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<sst xmlns="http://schemas.openxmlformats.org/spreadsheetml/2006/main" count="1457" uniqueCount="1457">
  <si>
    <t>Date Type:</t>
  </si>
  <si>
    <t>Shipped Date</t>
  </si>
  <si>
    <t>Start Date:</t>
  </si>
  <si>
    <t>10/01/2024</t>
  </si>
  <si>
    <t>End Date:</t>
  </si>
  <si>
    <t>10/27/2024</t>
  </si>
  <si>
    <t>Report Run Date:</t>
  </si>
  <si>
    <t>10/28/2024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</si>
  <si>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</si>
  <si>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</si>
  <si>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</si>
  <si>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</si>
  <si>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</si>
  <si>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</si>
  <si>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</si>
  <si>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</si>
  <si>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</si>
  <si>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</si>
  <si>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</si>
  <si>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</si>
  <si>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</si>
  <si>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</si>
  <si>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</si>
  <si>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</si>
  <si>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</si>
  <si>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</si>
  <si>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</si>
  <si>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</si>
  <si>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</si>
  <si>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</si>
  <si>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</si>
  <si>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</si>
  <si>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</si>
  <si>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</si>
  <si>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</si>
  <si>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</si>
  <si>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</si>
  <si>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</si>
  <si>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</si>
  <si>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</si>
  <si>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</si>
  <si>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</si>
  <si>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</si>
  <si>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</si>
  <si>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</si>
  <si>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</si>
  <si>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</si>
  <si>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</si>
  <si>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</si>
  <si>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</si>
  <si>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</si>
  <si>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</si>
  <si>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</si>
  <si>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</si>
  <si>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</si>
  <si>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</si>
  <si>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</si>
  <si>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</si>
  <si>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</si>
  <si>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</si>
  <si>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</si>
  <si>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</si>
  <si>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</si>
  <si>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</si>
  <si>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</si>
  <si>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</si>
  <si>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</si>
  <si>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</si>
  <si>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</si>
  <si>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</si>
  <si>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</si>
  <si>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</si>
  <si>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</si>
  <si>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</si>
  <si>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</si>
  <si>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</si>
  <si>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</si>
  <si>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</si>
  <si>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</si>
  <si>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</si>
  <si>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</si>
  <si>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</si>
  <si>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</si>
  <si>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</si>
  <si>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</si>
  <si>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</si>
  <si>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MP10-7420</t>
  </si>
  <si>
    <t>ADUL</t>
  </si>
  <si>
    <t>Madison Park</t>
  </si>
  <si>
    <t>COMFORTER (SET)</t>
  </si>
  <si>
    <t>Comforter (Set)</t>
  </si>
  <si>
    <t>Rhapsody</t>
  </si>
  <si>
    <t>Melody</t>
  </si>
  <si>
    <t>Harmony</t>
  </si>
  <si>
    <t>7 Piece Jacquard Comforter Set</t>
  </si>
  <si>
    <t>Queen</t>
  </si>
  <si>
    <t>Navy</t>
  </si>
  <si>
    <t>Active</t>
  </si>
  <si>
    <t>A+</t>
  </si>
  <si>
    <t>NO</t>
  </si>
  <si>
    <t/>
  </si>
  <si>
    <t>PP001573</t>
  </si>
  <si>
    <t>7</t>
  </si>
  <si>
    <t>Stripe</t>
  </si>
  <si>
    <t>Transitional</t>
  </si>
  <si>
    <t>Glam/Luxury|Modern/Contemporary</t>
  </si>
  <si>
    <t>6/29/2021</t>
  </si>
  <si>
    <t>11/23/2024</t>
  </si>
  <si>
    <t>AMAZON,AMAZONDS,BLK01,CSNSTORES,JCPENNEY01,KOHLDSN,MACY02,NEBFUR01,OLLIIX,OVERSTOCK01,TGTDVS,Zulily</t>
  </si>
  <si>
    <t>Setup</t>
  </si>
  <si>
    <t>7/28/2021</t>
  </si>
  <si>
    <t>8/2/2021</t>
  </si>
  <si>
    <t>No</t>
  </si>
  <si>
    <t>MP10-7421</t>
  </si>
  <si>
    <t>King</t>
  </si>
  <si>
    <t>6/23/2021</t>
  </si>
  <si>
    <t>11/5/2024</t>
  </si>
  <si>
    <t>AMAZONDS,BLK01,CSNSTORES,JCPENNEY01,KOHLDSN,MACY02,NRTPORT,OVERSTOCK01,TGTDVS</t>
  </si>
  <si>
    <t>7/6/2021</t>
  </si>
  <si>
    <t>MP10-7422</t>
  </si>
  <si>
    <t>Cal King</t>
  </si>
  <si>
    <t>11/27/2024</t>
  </si>
  <si>
    <t>AMAZON,CSNSTORES,JCPENNEY01,KOHLDSN,MACY02,OVERSTOCK01,TGTDVS</t>
  </si>
  <si>
    <t>6/28/2021</t>
  </si>
  <si>
    <t>MP10-3396</t>
  </si>
  <si>
    <t>Grey/Taupe</t>
  </si>
  <si>
    <t>A</t>
  </si>
  <si>
    <t>PF002618</t>
  </si>
  <si>
    <t>Modern/Contemporary|Glam/Luxury</t>
  </si>
  <si>
    <t>4/2/2017</t>
  </si>
  <si>
    <t>AMAZON,AMAZONDS,BLK01,CSNSTORES,JCPENNEY01,KOHLDSN,MACY02,OLLIIX,OVERSTOCK01,TGTDVS,WALMARTDS</t>
  </si>
  <si>
    <t>8/31/2016</t>
  </si>
  <si>
    <t>9/19/2016</t>
  </si>
  <si>
    <t>MP10-3397</t>
  </si>
  <si>
    <t>AMAZON,AMERSIGNDS,CSNSTORES,JCPENNEY01,KOHLDSN,MACY02,NEBFUR01,OLLIIX,OVERSTOCK01,TGTDVS</t>
  </si>
  <si>
    <t>10/3/2016</t>
  </si>
  <si>
    <t>MP10-3398</t>
  </si>
  <si>
    <t>AMAZON,BLK01,CSNSTORES,HSNDS,KOHLDSN,OLLIIX,OVERSTOCK01,ROOMECOM,WALMARTDS</t>
  </si>
  <si>
    <t>10/10/2016</t>
  </si>
  <si>
    <t>MP10-7327</t>
  </si>
  <si>
    <t>Purple</t>
  </si>
  <si>
    <t>B</t>
  </si>
  <si>
    <t>PF005291;PP001573</t>
  </si>
  <si>
    <t>1/28/2021</t>
  </si>
  <si>
    <t>AMAZON,CSNSTORES,HOUZZ,JCPENNEY01,KOHLDSN,MACY02,OLLIIX,OVERSCONSIGN,OVERSTOCK01,TGTDVS</t>
  </si>
  <si>
    <t>1/31/2021</t>
  </si>
  <si>
    <t>MP10-7328</t>
  </si>
  <si>
    <t>AMAZON,CSNSTORES,JCPENNEY01,KOHLDSN,MACY02,OLLIIX,OVERSTOCK01,TGTDVS</t>
  </si>
  <si>
    <t>2/2/2021</t>
  </si>
  <si>
    <t>MP10-7329</t>
  </si>
  <si>
    <t>AMAZONDS,CSNSTORES,JCPENNEY01,KOHLDSN,OVERSTOCK01,TGTDVS</t>
  </si>
  <si>
    <t>2/1/2021</t>
  </si>
  <si>
    <t>MP10-2583</t>
  </si>
  <si>
    <t>Palmer</t>
  </si>
  <si>
    <t>Teagan</t>
  </si>
  <si>
    <t>Dakota</t>
  </si>
  <si>
    <t>7 PC Pieced Faux Suede Comforter Set</t>
  </si>
  <si>
    <t>Full</t>
  </si>
  <si>
    <t>Natural</t>
  </si>
  <si>
    <t>PF002444</t>
  </si>
  <si>
    <t>Pieced</t>
  </si>
  <si>
    <t>Traditional|Casual</t>
  </si>
  <si>
    <t>10/23/2024</t>
  </si>
  <si>
    <t>AMAZON,AMAZONDS,CASTLEGATE,CSNSTORES,HDDS,JCPENNEY01,KOHLDSN,MACY02,NRTPORT,OLLIIX,OVERSTOCK01,TGTDVS</t>
  </si>
  <si>
    <t>7/30/2016</t>
  </si>
  <si>
    <t>6/21/2016</t>
  </si>
  <si>
    <t>MP10-301</t>
  </si>
  <si>
    <t>AMAZON,AMAZONDS,AMERSIGNDS,BLK01,CASTLEGATE,CSNSTORES,DESINC,HDDS,JCPENNEY01,KOHLDSN,MACY02,NRTPORT,OLLIIX,OVERSTOCK01,ROOMECOM,TGTDVS</t>
  </si>
  <si>
    <t>1/4/2015</t>
  </si>
  <si>
    <t>MP10-302</t>
  </si>
  <si>
    <t>10/24/2024</t>
  </si>
  <si>
    <t>AAFESDS,AMAZON,AMAZONDS,BLK01,CASTLEGATE,CSNSTORES,HDDS,JCPENNEY01,KOHLDSN,MACY02,NRTPORT,OLLIIX,OVERSTOCK01,ROOMECOM,TGTDVS</t>
  </si>
  <si>
    <t>1/2/2015</t>
  </si>
  <si>
    <t>MP10-303</t>
  </si>
  <si>
    <t>AMAZON,AMAZONDS,BLK01,CASTLEGATE,CSNSTORES,DESINC,HDDS,JCPENNEY01,KOHLDSN,MACY02,NRTPORT,OLLIIX,OVERSTOCK01,TGTDVS,WALMARTDS</t>
  </si>
  <si>
    <t>1/15/2015</t>
  </si>
  <si>
    <t>MP10-2266</t>
  </si>
  <si>
    <t>Red</t>
  </si>
  <si>
    <t>PF002446</t>
  </si>
  <si>
    <t>11/28/2024</t>
  </si>
  <si>
    <t>AMAZON,AMAZONDS,AMERSIGNDS,CASTLEGATE,CSNSTORES,FINGERHUTDS,JCPENNEY01,KOHLDSN,MACY02,NRTPORT,OLLIIX,OVERSTOCK01,TGTDVS</t>
  </si>
  <si>
    <t>9/27/2016</t>
  </si>
  <si>
    <t>10/28/2016</t>
  </si>
  <si>
    <t>MP10-2267</t>
  </si>
  <si>
    <t>11/14/2024</t>
  </si>
  <si>
    <t>AMAZON,AMAZONDS,BLK01,CASTLEGATE,CSNSTORES,FINGERHUTDS,JCPENNEY01,KOHLDSN,MACY02,NRTPORT,OLLIIX,OVERSTOCK01,ROOMECOM,TGTDVS</t>
  </si>
  <si>
    <t>MP10-2268</t>
  </si>
  <si>
    <t>AMAZON,AMAZONDS,BLK01,CSNSTORES,FINGERHUTDS,JCPENNEY01,KOHLDSN,MACY02,NRTPORT,OVERSTOCK01,ROOMECOM</t>
  </si>
  <si>
    <t>10/4/2016</t>
  </si>
  <si>
    <t>MP10-2584</t>
  </si>
  <si>
    <t>PF002443</t>
  </si>
  <si>
    <t>2/12/2025</t>
  </si>
  <si>
    <t>AMAZON,AMAZONDS,CSNSTORES,DESINC,JCPENNEY01,KOHLDSN,MACY02,OVERSTOCK01</t>
  </si>
  <si>
    <t>3/24/2016</t>
  </si>
  <si>
    <t>MP10-304</t>
  </si>
  <si>
    <t>1/10/2025</t>
  </si>
  <si>
    <t>AAFESDS,AMAZON,AMAZONDS,AMERSIGNDS,BLK01,CASTLEGATE,CSNSTORES,FINGERHUTDS,HDDS,HSNDS,JCPENNEY01,KOHLDSN,LOWESDS,MACY02,NEBFUR01,NRTPORT,OLLIIX,OVERSTOCK01,ROOMECOM,TGTDVS</t>
  </si>
  <si>
    <t>MP10-305</t>
  </si>
  <si>
    <t>AMAZON,AMAZONDS,BEALLSDS,BLK01,CSNSTORES,HDDS,HSNDS,JCPENNEY01,KOHLDSN,MACY02,NRTPORT,OLLIIX,OVERSTOCK01,ROOMECOM,TGTDVS</t>
  </si>
  <si>
    <t>MP10-306</t>
  </si>
  <si>
    <t>AMAZON,AMAZONDS,BLK01,CSNSTORES,HDDS,HSNDS,JCPENNEY01,KOHLDSN,LOWESDS,MACY02,NRTPORT,OLLIIX,OVERSTOCK01,ROOMECOM,TGTDVS</t>
  </si>
  <si>
    <t>1/5/2015</t>
  </si>
  <si>
    <t>MP10-2585</t>
  </si>
  <si>
    <t>Black</t>
  </si>
  <si>
    <t>PF002441</t>
  </si>
  <si>
    <t>AMAZON,AMERSIGNDS,CSNSTORES,FINGERHUTDS,HDDS,JCPENNEY01,KOHLDSN,MACY02,NRTPORT,OLLIIX,OVERSTOCK01,TGTDVS</t>
  </si>
  <si>
    <t>3/14/2016</t>
  </si>
  <si>
    <t>MP10-423</t>
  </si>
  <si>
    <t>AAFESDS,AMAZON,AMERSIGNDS,BLK01,CASTLEGATE,CSNSTORES,FINGERHUTDS,HDDS,JCPENNEY01,KOHLDSN,LOWESDS,MACY02,NRTPORT,OVERSTOCK01,ROOMECOM,TGTDVS</t>
  </si>
  <si>
    <t>1/9/2015</t>
  </si>
  <si>
    <t>MP10-424</t>
  </si>
  <si>
    <t>12/2/2024</t>
  </si>
  <si>
    <t>AAFESDS,AMAZON,AMAZONDS,AMERSIGNDS,BEALLSDS,CSNSTORES,HDDS,JCPENNEY01,KOHLDSN,LOWESDS,MACY02,NRTPORT,OVERSTOCK01,ROOMECOM,TGTDVS</t>
  </si>
  <si>
    <t>MP10-425</t>
  </si>
  <si>
    <t>AMAZON,AMAZONDS,BLK01,CSNSTORES,HDDS,JCPENNEY01,KOHLDSN,MACY02,NRTPORT,OVERSTOCK01,ROOMECOM,TGTDVS</t>
  </si>
  <si>
    <t>MP10-2263</t>
  </si>
  <si>
    <t>Blue</t>
  </si>
  <si>
    <t>PF002445</t>
  </si>
  <si>
    <t>12/10/2024</t>
  </si>
  <si>
    <t>AMAZON,AMAZONDS,BLK01,CASTLEGATE,CSNSTORES,JCPENNEY01,KOHLDSN,MACY02,NRTPORT,OLLIIX,OVERSTOCK01,ROOMECOM,TGTDVS</t>
  </si>
  <si>
    <t>7/20/2016</t>
  </si>
  <si>
    <t>MP10-2264</t>
  </si>
  <si>
    <t>4/4/2017</t>
  </si>
  <si>
    <t>AAFESDS,AMAZON,AMAZONDS,BLK01,CASTLEGATE,CSNSTORES,JCPENNEY01,KOHLDSN,MACY02,NRTPORT,OLLIIX,OVERSTOCK01,ROOMECOM,TGTDVS</t>
  </si>
  <si>
    <t>8/17/2016</t>
  </si>
  <si>
    <t>MP10-2265</t>
  </si>
  <si>
    <t>AMAZON,AMAZONDS,BLK01,CSNSTORES,DESINC,JCPENNEY01,KOHLDSN,MACY02,NRTPORT,OVERSTOCK01,TGTDVS</t>
  </si>
  <si>
    <t>7/28/2016</t>
  </si>
  <si>
    <t>MP10-7488</t>
  </si>
  <si>
    <t>Green</t>
  </si>
  <si>
    <t>PP001625;PF005454</t>
  </si>
  <si>
    <t>Microfiber</t>
  </si>
  <si>
    <t>Casual|Transitional</t>
  </si>
  <si>
    <t>5/20/2021</t>
  </si>
  <si>
    <t>AMAZON,ASHFURNDS,BLK01,CSNSTORES,JCPENNEY01,KOHLDSN,MACY02,NRTPORT,OLLIIX,OVERSTOCK01,TGTDVS</t>
  </si>
  <si>
    <t>5/21/2021</t>
  </si>
  <si>
    <t>5/31/2021</t>
  </si>
  <si>
    <t>MP10-7489</t>
  </si>
  <si>
    <t>AMAZON,AMAZONDS,BLK01,CSNSTORES,JCPENNEY01,KOHLDSN,MACY02,NRTPORT,OLLIIX,OVERSTOCK01,TGTDVS</t>
  </si>
  <si>
    <t>5/24/2021</t>
  </si>
  <si>
    <t>MP10-7490</t>
  </si>
  <si>
    <t>AMAZON,AMAZONDS,BLK01,CSNSTORES,JCPENNEY01,KOHLDSN,MACY02,NRTPORT,OVERSTOCK01,TGTDVS</t>
  </si>
  <si>
    <t>6/1/2021</t>
  </si>
  <si>
    <t>MP10-3829</t>
  </si>
  <si>
    <t>Vienna</t>
  </si>
  <si>
    <t>Marcella</t>
  </si>
  <si>
    <t>Adela</t>
  </si>
  <si>
    <t>7 Piece Cotton Printed Comforter Set</t>
  </si>
  <si>
    <t>Indigo</t>
  </si>
  <si>
    <t>PF003377</t>
  </si>
  <si>
    <t>Damask</t>
  </si>
  <si>
    <t>4/6/2017</t>
  </si>
  <si>
    <t>AMAZON,AMAZONDS,BLK01,CSNSTORES,FINGERHUTDS,HSNDS,JCPENNEY01,KOHLDSN,MACY02,OLLIIX,OVERSTOCK01,TGTDVS</t>
  </si>
  <si>
    <t>10/14/2016</t>
  </si>
  <si>
    <t>12/13/2016</t>
  </si>
  <si>
    <t>MP10-3830</t>
  </si>
  <si>
    <t>5/12/2017</t>
  </si>
  <si>
    <t>AMAZON,AMAZONDS,AMERSIGNDS,CSNSTORES,FINGERHUTDS,JCPENNEY01,KOHLDSN,MACY02,OLLIIX,OVERSTOCK01,TGTDVS,Zulily</t>
  </si>
  <si>
    <t>12/14/2016</t>
  </si>
  <si>
    <t>MP10-3831</t>
  </si>
  <si>
    <t>AMAZON,AMAZONDS,CSNSTORES,FINGERHUTDS,JCPENNEY01,KOHLDSN,MACY02,OLLIIX,OVERSTOCK01,TGTDVS</t>
  </si>
  <si>
    <t>MP10-7953</t>
  </si>
  <si>
    <t>PP001783;PF005735</t>
  </si>
  <si>
    <t>Cotton</t>
  </si>
  <si>
    <t>Casual|Traditional</t>
  </si>
  <si>
    <t>8/13/2022</t>
  </si>
  <si>
    <t>AMAZONDS,CSNSTORES,JCPENNEY01,KOHLDSN,MACY02,OLLIIX,OVERSTOCK01,TGTDVS</t>
  </si>
  <si>
    <t>8/24/2022</t>
  </si>
  <si>
    <t>9/7/2022</t>
  </si>
  <si>
    <t>MP10-7954</t>
  </si>
  <si>
    <t>12/19/2024</t>
  </si>
  <si>
    <t>9/1/2022</t>
  </si>
  <si>
    <t>MP10-7955</t>
  </si>
  <si>
    <t>AMAZONDS,BLK01,CSNSTORES,JCPENNEY01,KOHLDSN,MACY02,OLLIIX,OVERSTOCK01,TGTDVS</t>
  </si>
  <si>
    <t>9/18/2022</t>
  </si>
  <si>
    <t>MP10-501</t>
  </si>
  <si>
    <t>Grey</t>
  </si>
  <si>
    <t>PF003375;PP000530</t>
  </si>
  <si>
    <t>AMAZON,AMAZONDS,CSNSTORES,FINGERHUTDS,HSNDS,JCPENNEY01,KOHLDSN,MACY02,OLLIIX,OVERSTOCK01,TGTDVS</t>
  </si>
  <si>
    <t>MP10-502</t>
  </si>
  <si>
    <t>AMAZON,AMAZONDS,CSNSTORES,FINGERHUTDS,JCPENNEY01,KOHLDSN,MACY02,OVERSTOCK01</t>
  </si>
  <si>
    <t>MP10-503</t>
  </si>
  <si>
    <t>AMAZON,AMAZONDS,BLK01,CSNSTORES,FINGERHUTDS,HSNDS,JCPENNEY01,KOHLDSN,MACY02,OVERSTOCK01</t>
  </si>
  <si>
    <t>MP10-8079</t>
  </si>
  <si>
    <t>Odette</t>
  </si>
  <si>
    <t>Dillon</t>
  </si>
  <si>
    <t>Eilot</t>
  </si>
  <si>
    <t>8 Piece Jacquard Comforter Set</t>
  </si>
  <si>
    <t>Aqua/Silver</t>
  </si>
  <si>
    <t>PP000900;PF005801</t>
  </si>
  <si>
    <t>8</t>
  </si>
  <si>
    <t>Traditional</t>
  </si>
  <si>
    <t>Glam/Luxury|Transitional</t>
  </si>
  <si>
    <t>9/8/2022</t>
  </si>
  <si>
    <t>12/27/2024</t>
  </si>
  <si>
    <t>AMAZONDS,BLK01,CSNSTORES,JCPENNEY01,KOHLDSN,MACY02,OVERSTOCK01,TGTDVS</t>
  </si>
  <si>
    <t>9/13/2022</t>
  </si>
  <si>
    <t>9/19/2022</t>
  </si>
  <si>
    <t>MP10-8080</t>
  </si>
  <si>
    <t>11/29/2024</t>
  </si>
  <si>
    <t>AMAZONDS,BLK01,CSNSTORES,DESINC,JCPENNEY01,KOHLDSN,MACY02,NRTPORT,OVERSCONSIGN,OVERSTOCK01</t>
  </si>
  <si>
    <t>9/26/2022</t>
  </si>
  <si>
    <t>MP10-8081</t>
  </si>
  <si>
    <t>12/18/2024</t>
  </si>
  <si>
    <t>AMAZONDS,BLK01,CSNSTORES,JCPENNEY01,KOHLDSN,MACY02,NRTPORT,OVERSTOCK01</t>
  </si>
  <si>
    <t>MP10-6287</t>
  </si>
  <si>
    <t>Eliot</t>
  </si>
  <si>
    <t>Tan/Ivory</t>
  </si>
  <si>
    <t>PP000900;PF004650</t>
  </si>
  <si>
    <t>5/3/2019</t>
  </si>
  <si>
    <t>1/17/2025</t>
  </si>
  <si>
    <t>AMAZON,AMAZONDS,BLK01,CSNSTORES,JCPENNEY01,KOHLDSN,MACY02,OVERSTOCK01,ROOMECOM,TGTDVS,WALMARTDS</t>
  </si>
  <si>
    <t>5/24/2019</t>
  </si>
  <si>
    <t>5/29/2019</t>
  </si>
  <si>
    <t>MP10-6288</t>
  </si>
  <si>
    <t>2/5/2025</t>
  </si>
  <si>
    <t>AMAZON,AMAZONDS,AMERSIGNDS,BLK01,CASTLEGATE,CSNSTORES,JCPENNEY01,KOHLDSN,MACY02,NRTPORT,OLLIIX,OVERSTOCK01,ROOMECOM,TGTDVS</t>
  </si>
  <si>
    <t>MP10-6289</t>
  </si>
  <si>
    <t>AMAZON,AMAZONDS,BLK01,CSNSTORES,JCPENNEY01,KOHLDSN,MACY02,OLLIIX,OVERSTOCK01</t>
  </si>
  <si>
    <t>6/4/2019</t>
  </si>
  <si>
    <t>MP10-5885</t>
  </si>
  <si>
    <t>Silver/Silver</t>
  </si>
  <si>
    <t>PF004304;PP000900</t>
  </si>
  <si>
    <t>5/1/2018</t>
  </si>
  <si>
    <t>AMAZON,AMAZONDS,BLK01,CASTLEGATE,CSNSTORES,FINGERHUTDS,JCPENNEY01,KOHLDSN,MACY02,NRTPORT,OLLIIX,OVERSTOCK01,ZOLA</t>
  </si>
  <si>
    <t>5/10/2018</t>
  </si>
  <si>
    <t>5/17/2018</t>
  </si>
  <si>
    <t>MP10-5886</t>
  </si>
  <si>
    <t>AMAZON,AMAZONDS,AMERSIGNDS,BLK01,CSNSTORES,FINGERHUTDS,JCPENNEY01,KOHLDSN,MACY02,NRTPORT,OLLIIX,OVERSTOCK01,ROOMECOM,TGTDVS</t>
  </si>
  <si>
    <t>5/25/2018</t>
  </si>
  <si>
    <t>MP10-5887</t>
  </si>
  <si>
    <t>AMAZON,AMAZONDS,AMERSIGNDS,BLK01,CASTLEGATE,CSNSTORES,JCPENNEY01,KOHLDSN,MACY02,NRTPORT,OVERSTOCK01,ROOMECOM,WALMARTDS</t>
  </si>
  <si>
    <t>6/5/2018</t>
  </si>
  <si>
    <t>MP10-6836</t>
  </si>
  <si>
    <t>Navy/Silver</t>
  </si>
  <si>
    <t>PP000900;PF004968</t>
  </si>
  <si>
    <t>12/17/2019</t>
  </si>
  <si>
    <t>AMAZON,AMAZONDS,CSNSTORES,JCPENNEY01,KOHLDSN,MACY02,OVERSTOCK01,TGTDVS,ZOLA</t>
  </si>
  <si>
    <t>12/18/2019</t>
  </si>
  <si>
    <t>MP10-6837</t>
  </si>
  <si>
    <t>AMAZON,AMAZONDS,BLK01,CASTLEGATE,CSNSTORES,JCPENNEY01,KOHLDSN,MACY02,NRTPORT,OLLIIX,OVERSTOCK01</t>
  </si>
  <si>
    <t>12/27/2019</t>
  </si>
  <si>
    <t>MP10-6838</t>
  </si>
  <si>
    <t>AMAZON,AMAZONDS,BLK01,CASTLEGATE,CSNSTORES,JCPENNEY01,KOHLDSN,MACY02,OVERSTOCK01,TGTDVS</t>
  </si>
  <si>
    <t>MP10-904</t>
  </si>
  <si>
    <t>Boone</t>
  </si>
  <si>
    <t>Westbrook</t>
  </si>
  <si>
    <t>Powell</t>
  </si>
  <si>
    <t>7 Piece Faux Suede Comforter Set</t>
  </si>
  <si>
    <t>Brown</t>
  </si>
  <si>
    <t>PF002685</t>
  </si>
  <si>
    <t>Lodge/Cabin</t>
  </si>
  <si>
    <t>AMAZON,AMAZONDS,BLK01,CSNSTORES,DESINC,FINGERHUTDS,JCPENNEY01,KOHLDSN,MACY02,OLLIIX,OVERSCONSIGN,OVERSTOCK01,TGTDVS,Zulily</t>
  </si>
  <si>
    <t>MP10-905</t>
  </si>
  <si>
    <t>AMAZON,AMAZONDS,BLK01,CSNSTORES,FINGERHUTDS,JCPENNEY01,KOHLDSN,MACY02,NRTPORT,OLLIIX,OVERSTOCK01,TGTDVS</t>
  </si>
  <si>
    <t>MP10-906</t>
  </si>
  <si>
    <t>AAFESDS,AMAZON,AMAZONDS,BLK01,CSNSTORES,DESINC,FINGERHUTDS,JCPENNEY01,KOHLDSN,MACY02,OLLIIX,OVERSTOCK01</t>
  </si>
  <si>
    <t>2/24/2015</t>
  </si>
  <si>
    <t>MP10-6434</t>
  </si>
  <si>
    <t>Tan</t>
  </si>
  <si>
    <t>PF004738</t>
  </si>
  <si>
    <t>9/1/2019</t>
  </si>
  <si>
    <t>9/16/2019</t>
  </si>
  <si>
    <t>9/18/2019</t>
  </si>
  <si>
    <t>MP10-6435</t>
  </si>
  <si>
    <t>AMAZON,AMAZONDS,AMERSIGNDS,BLK01,CSNSTORES,FINGERHUTDS,JCPENNEY01,KIRKLANDDS,KOHLDSN,MACY02,NRTPORT,OLLIIX,OVERSTOCK01,TGTDVS</t>
  </si>
  <si>
    <t>9/29/2019</t>
  </si>
  <si>
    <t>MP10-6436</t>
  </si>
  <si>
    <t>AMAZON,BLK01,CSNSTORES,JCPENNEY01,KOHLDSN,MACY02,OVERSTOCK01,ROOMECOM,TGTDVS</t>
  </si>
  <si>
    <t>9/26/2019</t>
  </si>
  <si>
    <t>MP10-2790</t>
  </si>
  <si>
    <t>PF002686</t>
  </si>
  <si>
    <t>AMAZON,AMAZONDS,ASHFURNDS,BLK01,CSNSTORES,DESINC,JCPENNEY01,KOHLDSN,MACY02,NRTPORT,OLLIIX,OVERSTOCK01</t>
  </si>
  <si>
    <t>6/9/2016</t>
  </si>
  <si>
    <t>MP10-2791</t>
  </si>
  <si>
    <t>AMAZON,AMAZONDS,ASHFURNDS,BEALLSDS,BLK01,CSNSTORES,FINGERHUTDS,JCPENNEY01,KOHLDSN,MACY02,NRTPORT,OLLIIX,OVERSTOCK01,Zulily</t>
  </si>
  <si>
    <t>7/5/2016</t>
  </si>
  <si>
    <t>MP10-2792</t>
  </si>
  <si>
    <t>AMAZON,BLK01,CSNSTORES,FINGERHUTDS,HOUZZ,JCPENNEY01,KOHLDSN,MACY02,OLLIIX,OVERSTOCK01</t>
  </si>
  <si>
    <t>6/14/2016</t>
  </si>
  <si>
    <t>MP10-7392</t>
  </si>
  <si>
    <t>Bennett</t>
  </si>
  <si>
    <t>Christian</t>
  </si>
  <si>
    <t>William</t>
  </si>
  <si>
    <t>PP001609;PF005404</t>
  </si>
  <si>
    <t>Geometric</t>
  </si>
  <si>
    <t>5/10/2021</t>
  </si>
  <si>
    <t>AMAZON,BLK01,CSNSTORES,JCPENNEY01,KOHLDSN,MACY02,NRTPORT,OLLIIX,OVERSTOCK01,TGTDVS,Zulily</t>
  </si>
  <si>
    <t>5/15/2021</t>
  </si>
  <si>
    <t>MP10-7393</t>
  </si>
  <si>
    <t>11/7/2024</t>
  </si>
  <si>
    <t>5/12/2021</t>
  </si>
  <si>
    <t>MP10-7394</t>
  </si>
  <si>
    <t>AMAZON,BLK01,CSNSTORES,JCPENNEY01,KOHLDSN,MACY02,NRTPORT,OVERSTOCK01,TGTDVS,Zulily</t>
  </si>
  <si>
    <t>5/14/2021</t>
  </si>
  <si>
    <t>MP10-2415</t>
  </si>
  <si>
    <t>7 Piece Comforter Set</t>
  </si>
  <si>
    <t>Aqua</t>
  </si>
  <si>
    <t>PF002753</t>
  </si>
  <si>
    <t>Transitional|Glam/Luxury</t>
  </si>
  <si>
    <t>AMAZON,BLK01,CSNSTORES,DESINC,JCPENNEY01,KOHLDSN,MACY02,OLLIIX,OVERSTOCK01,TGTDVS</t>
  </si>
  <si>
    <t>1/11/2016</t>
  </si>
  <si>
    <t>MP10-2416</t>
  </si>
  <si>
    <t>AMAZON,BLK01,CSNSTORES,JCPENNEY01,KOHLDSN,MACY02,OVERSTOCK01,TGTDVS</t>
  </si>
  <si>
    <t>1/20/2016</t>
  </si>
  <si>
    <t>MP10-2417</t>
  </si>
  <si>
    <t>AMAZON,AMAZONDS,CSNSTORES,KOHLDSN,MACY02,OLLIIX,WALMARTDS</t>
  </si>
  <si>
    <t>1/12/2016</t>
  </si>
  <si>
    <t>MP10-2418</t>
  </si>
  <si>
    <t>B+</t>
  </si>
  <si>
    <t>PF002754</t>
  </si>
  <si>
    <t>AMAZON,CSNSTORES,JCPENNEY01,KOHLDSN,OLLIIX,OVERSCONSIGN,OVERSTOCK01</t>
  </si>
  <si>
    <t>MP10-2419</t>
  </si>
  <si>
    <t>AMAZON,BLK01,CSNSTORES,HOUZZ,JCPENNEY01,KIRKLANDDS,KOHLDSN,OLLIIX,OVERSTOCK01,TGTDVS</t>
  </si>
  <si>
    <t>MP10-2420</t>
  </si>
  <si>
    <t>AMAZON,AMAZONDS,CSNSTORES,JCPENNEY01,KOHLDSN,OLLIIX,OVERSTOCK01</t>
  </si>
  <si>
    <t>MP13-2632</t>
  </si>
  <si>
    <t>COVERLET&amp;BEDSPR</t>
  </si>
  <si>
    <t>Bedspread</t>
  </si>
  <si>
    <t>Quebec</t>
  </si>
  <si>
    <t>Mansfield</t>
  </si>
  <si>
    <t>Vancouver</t>
  </si>
  <si>
    <t>Reversible Bedspread Set</t>
  </si>
  <si>
    <t>Twin</t>
  </si>
  <si>
    <t>Cream</t>
  </si>
  <si>
    <t>PF002442</t>
  </si>
  <si>
    <t>2</t>
  </si>
  <si>
    <t>Solid</t>
  </si>
  <si>
    <t>Casual</t>
  </si>
  <si>
    <t>AMAZON,AMAZONDS,ASHFURNDS,BLK01,CSNSTORES,JCPENNEY01,KOHLDSN,MACY02,OLLIIX,OVERSTOCK01,TGTDVS</t>
  </si>
  <si>
    <t>5/31/2016</t>
  </si>
  <si>
    <t>MP13-2633</t>
  </si>
  <si>
    <t>3</t>
  </si>
  <si>
    <t>AMAZON,BLK01,CSNSTORES,HOUZZ,JCPENNEY01,KOHLDSN,MACY02,OLLIIX,OVERSTOCK01,TGTDVS</t>
  </si>
  <si>
    <t>6/8/2016</t>
  </si>
  <si>
    <t>MP13-708</t>
  </si>
  <si>
    <t>11/9/2024</t>
  </si>
  <si>
    <t>MP13-709</t>
  </si>
  <si>
    <t>AMAZON,AMAZONDS,BIGLOTSDS,BLK01,CSNSTORES,JCPENNEY01,KOHLDSN,MACY02,OLLIIX,OVERSCONSIGN,OVERSTOCK01,TGTDVS</t>
  </si>
  <si>
    <t>MP13-6128</t>
  </si>
  <si>
    <t>White</t>
  </si>
  <si>
    <t>PF002486;PP000488</t>
  </si>
  <si>
    <t>12/17/2018</t>
  </si>
  <si>
    <t>AMAZON,AMAZONDS,CSNSTORES,JCPENNEY01,KOHLDSN,MACY02,OLLIIX,OVERSTOCK01,TGTDVS</t>
  </si>
  <si>
    <t>1/2/2019</t>
  </si>
  <si>
    <t>MP13-6129</t>
  </si>
  <si>
    <t>11/15/2024</t>
  </si>
  <si>
    <t>AMAZON,AMAZONDS,CSNSTORES,JCPENNEY01,KOHLDSN,MACY02,OVERSTOCK01,TGTDVS</t>
  </si>
  <si>
    <t>1/11/2019</t>
  </si>
  <si>
    <t>MP13-1569</t>
  </si>
  <si>
    <t>PF002486</t>
  </si>
  <si>
    <t>AMAZON,AMAZONDS,ASHFURNDS,BIGLOTSDS,BLK01,CSNSTORES,JCPENNEY01,KOHLDSN,MACY02,OLLIIX,OVERSTOCK01,TGTDVS</t>
  </si>
  <si>
    <t>7/27/2015</t>
  </si>
  <si>
    <t>MP13-1570</t>
  </si>
  <si>
    <t>AMAZON,AMAZONDS,BIGLOTSDS,BLK01,CSNSTORES,JCPENNEY01,KOHLDSN,MACY02,NRTPORT,OLLIIX,OVERSTOCK01,TGTDVS</t>
  </si>
  <si>
    <t>7/22/2015</t>
  </si>
  <si>
    <t>MP13-6497</t>
  </si>
  <si>
    <t>Mocha</t>
  </si>
  <si>
    <t>PP000488</t>
  </si>
  <si>
    <t>7/30/2019</t>
  </si>
  <si>
    <t>AMAZON,AMAZONDS,BLK01,CSNSTORES,HOUZZ,JCPENNEY01,KOHLDSN,MACY02,OVERSTOCK01,TGTDVS</t>
  </si>
  <si>
    <t>9/6/2019</t>
  </si>
  <si>
    <t>MP13-6498</t>
  </si>
  <si>
    <t>AMAZON,AMAZONDS,BEALLSDS,BIGLOTSDS,BLK01,CSNSTORES,JCPENNEY01,KOHLDSN,MACY02,OVERSCONSIGN,OVERSTOCK01,TGTDVS</t>
  </si>
  <si>
    <t>8/6/2019</t>
  </si>
  <si>
    <t>MP13-6444</t>
  </si>
  <si>
    <t>Seafoam</t>
  </si>
  <si>
    <t>7/11/2019</t>
  </si>
  <si>
    <t>AMAZON,AMAZONDS,BLK01,CSNSTORES,JCPENNEY01,KOHLDSN,MACY02,OVERSTOCK01,TGTDVS</t>
  </si>
  <si>
    <t>7/18/2019</t>
  </si>
  <si>
    <t>9/9/2019</t>
  </si>
  <si>
    <t>MP13-6445</t>
  </si>
  <si>
    <t>AMAZON,BLK01,CSNSTORES,HSNDS,JCPENNEY01,KOHLDSN,MACY02,OVERSTOCK01,TGTDVS</t>
  </si>
  <si>
    <t>8/26/2019</t>
  </si>
  <si>
    <t>MP13-1567</t>
  </si>
  <si>
    <t>PF002464</t>
  </si>
  <si>
    <t>AMAZON,BLK01,CSNSTORES,HSNDS,JCPENNEY01,KOHLDSN,MACY02,OLLIIX,OVERSTOCK01,TGTDVS</t>
  </si>
  <si>
    <t>MP13-1568</t>
  </si>
  <si>
    <t>AMAZON,AMAZONDS,BLK01,CSNSTORES,HSNDS,JCPENNEY01,KOHLDSN,MACY02,OVERSTOCK01,Zulily</t>
  </si>
  <si>
    <t>7/24/2015</t>
  </si>
  <si>
    <t>MP13-8480</t>
  </si>
  <si>
    <t>3 Piece Reversible Bedspread Set</t>
  </si>
  <si>
    <t>Balsam Green</t>
  </si>
  <si>
    <t>TBD</t>
  </si>
  <si>
    <t>PP000640</t>
  </si>
  <si>
    <t>7/18/2024</t>
  </si>
  <si>
    <t>AMAZON,AMAZONDS,CSNSTORES,JCPENNEY01,KOHLDSN,MACY02,OVERSTOCK01</t>
  </si>
  <si>
    <t>9/2/2024</t>
  </si>
  <si>
    <t>9/5/2024</t>
  </si>
  <si>
    <t>MP13-8481</t>
  </si>
  <si>
    <t>AMAZON,CSNSTORES,JCPENNEY01,KOHLDSN,MACY02,OVERSTOCK01</t>
  </si>
  <si>
    <t>MP13-1565</t>
  </si>
  <si>
    <t>Khaki</t>
  </si>
  <si>
    <t>PF002453</t>
  </si>
  <si>
    <t>AMAZON,AMAZONDS,BIGLOTSDS,BLK01,CSNSTORES,JCPENNEY01,KOHLDSN,MACY02,OLLIIX,OVERSTOCK01,TGTDVS</t>
  </si>
  <si>
    <t>7/23/2015</t>
  </si>
  <si>
    <t>MP13-1566</t>
  </si>
  <si>
    <t>Transitional Modern</t>
  </si>
  <si>
    <t>Coastal/Nautical</t>
  </si>
  <si>
    <t>AMAZON,BEALLSDS,BLK01,CSNSTORES,HOUZZ,JCPENNEY01,KOHLDSN,MACY02,OLLIIX,OVERSTOCK01,TGTDVS</t>
  </si>
  <si>
    <t>MP13-6130</t>
  </si>
  <si>
    <t>PF002402;PP000488</t>
  </si>
  <si>
    <t>AMAZON,AMAZONDS,BIGLOTSDS,BLK01,CSNSTORES,JCPENNEY01,KOHLDSN,MACY02,OVERSTOCK01,TGTDVS</t>
  </si>
  <si>
    <t>12/31/2018</t>
  </si>
  <si>
    <t>MP13-6131</t>
  </si>
  <si>
    <t>AMAZON,AMAZONDS,CSNSTORES,JCPENNEY01,KOHLDSN,MACY02,OVERSTOCK01,TGTDVS,WALMARTDS</t>
  </si>
  <si>
    <t>1/7/2019</t>
  </si>
  <si>
    <t>MP13-2991</t>
  </si>
  <si>
    <t>PF002402</t>
  </si>
  <si>
    <t>AMAZON,BLK01,CSNSTORES,JCPENNEY01,KOHLDSN,MACY02,OVERSCONSIGN,OVERSTOCK01,TGTDVS</t>
  </si>
  <si>
    <t>MP13-2992</t>
  </si>
  <si>
    <t>AMAZON,AMAZONDS,BEALLSDS,BLK01,CSNSTORES,HSNDS,JCPENNEY01,KOHLDSN,MACY02,OLLIIX,OVERSTOCK01,TGTDVS</t>
  </si>
  <si>
    <t>6/7/2016</t>
  </si>
  <si>
    <t>MP13-1563</t>
  </si>
  <si>
    <t>PF002475</t>
  </si>
  <si>
    <t>AMAZON,BIGLOTSDS,BLK01,CSNSTORES,JCPENNEY01,KOHLDSN,MACY02,NRTPORT,OVERSTOCK01,TGTDVS</t>
  </si>
  <si>
    <t>MP13-1564</t>
  </si>
  <si>
    <t>AMAZON,BIGLOTSDS,BLK01,CSNSTORES,HOUZZ,JCPENNEY01,KOHLDSN,MACY02,OVERSTOCK01,TGTDVS</t>
  </si>
  <si>
    <t>MP13-8484</t>
  </si>
  <si>
    <t>Clay Red</t>
  </si>
  <si>
    <t>9/10/2024</t>
  </si>
  <si>
    <t>MP13-8485</t>
  </si>
  <si>
    <t>7/17/2024</t>
  </si>
  <si>
    <t>MP13-2989</t>
  </si>
  <si>
    <t>PF002400</t>
  </si>
  <si>
    <t>AMAZON,AMAZONDS,BLK01,CSNSTORES,JCPENNEY01,KOHLDSN,MACY02,OLLIIX,OVERSTOCK01,TGTDVS</t>
  </si>
  <si>
    <t>MP13-2990</t>
  </si>
  <si>
    <t>5/18/2017</t>
  </si>
  <si>
    <t>AMAZON,BIGLOTSDS,BLK01,CSNSTORES,JCPENNEY01,KOHLDSN,MACY02,OVERSTOCK01,TGTDVS</t>
  </si>
  <si>
    <t>6/6/2016</t>
  </si>
  <si>
    <t>MP13-6153</t>
  </si>
  <si>
    <t>PP000488;PF004538</t>
  </si>
  <si>
    <t>1/20/2019</t>
  </si>
  <si>
    <t>AMAZON,AMAZONDS,BLK01,CSNSTORES,JCPENNEY01,KOHLDSN,MACY02,OVERSTOCK01,TGTDVS,Zulily</t>
  </si>
  <si>
    <t>1/27/2019</t>
  </si>
  <si>
    <t>2/6/2019</t>
  </si>
  <si>
    <t>MP13-6154</t>
  </si>
  <si>
    <t>AMAZON,AMAZONDS,CSNSTORES,JCPENNEY01,KOHLDSN,MACY02,OLLIIX,OVERSTOCK01,TGTDVS,Zulily</t>
  </si>
  <si>
    <t>1/30/2019</t>
  </si>
  <si>
    <t>MP13-6455</t>
  </si>
  <si>
    <t>Dark Grey</t>
  </si>
  <si>
    <t>7/9/2019</t>
  </si>
  <si>
    <t>AMAZON,AMAZONDS,CSNSTORES,HOUZZ,HSNDS,JCPENNEY01,KOHLDSN,MACY02,NEBFUR01,OVERSTOCK01</t>
  </si>
  <si>
    <t>7/23/2019</t>
  </si>
  <si>
    <t>MP13-6126</t>
  </si>
  <si>
    <t>MP13-6127</t>
  </si>
  <si>
    <t>12/21/2018</t>
  </si>
  <si>
    <t>MP13-2993</t>
  </si>
  <si>
    <t>PF002401</t>
  </si>
  <si>
    <t>4/7/2017</t>
  </si>
  <si>
    <t>AMAZON,BEALLSDS,BLK01,CSNSTORES,JCPENNEY01,KOHLDSN,MACY02,OLLIIX,OVERSTOCK01</t>
  </si>
  <si>
    <t>6/1/2016</t>
  </si>
  <si>
    <t>MP13-2994</t>
  </si>
  <si>
    <t>AMAZON,BIGLOTSDS,BLK01,CSNSTORES,JCPENNEY01,KOHLDSN,MACY02,OVERSCONSIGN,OVERSTOCK01,TGTDVS,Zulily</t>
  </si>
  <si>
    <t>6/3/2016</t>
  </si>
  <si>
    <t>MP13-7423</t>
  </si>
  <si>
    <t>Coverlet</t>
  </si>
  <si>
    <t>6 Piece Reversible Jacquard Quilt Set with Throw Pillows</t>
  </si>
  <si>
    <t>Full/Queen</t>
  </si>
  <si>
    <t>6</t>
  </si>
  <si>
    <t>AMAZON,AMAZONDS,BLK01,CSNSTORES,FINGERHUTDS,JCPENNEY01,KOHLDSN,MACY02,OVERSCONSIGN,OVERSTOCK01</t>
  </si>
  <si>
    <t>6/25/2021</t>
  </si>
  <si>
    <t>MP13-7424</t>
  </si>
  <si>
    <t>King/Cal King</t>
  </si>
  <si>
    <t>AMAZON,BLK01,CSNSTORES,HDDS,JCPENNEY01,KOHLDSN,MACY02,OLLIIX,OVERSCONSIGN,OVERSTOCK01,TGTDVS</t>
  </si>
  <si>
    <t>MP13-3399</t>
  </si>
  <si>
    <t>5/4/2017</t>
  </si>
  <si>
    <t>AMAZON,AMERSIGNDS,BLK01,CASTLEGATE,CSNSTORES,FINGERHUTDS,HOUZZ,JCPENNEY01,KOHLDSN,MACY02,OLLIIX,OVERSTOCK01,TGTDVS</t>
  </si>
  <si>
    <t>9/2/2016</t>
  </si>
  <si>
    <t>MP13-3400</t>
  </si>
  <si>
    <t>AMAZON,BLK01,CSNSTORES,FINGERHUTDS,JCPENNEY01,KOHLDSN,MACY02,OLLIIX,OVERSTOCK01,TGTDVS,Zulily</t>
  </si>
  <si>
    <t>MPS10-463</t>
  </si>
  <si>
    <t>Madison Park Signature</t>
  </si>
  <si>
    <t>Essence</t>
  </si>
  <si>
    <t>Oversized Cotton Clipped Jacquard Comforter Set with Euro Shams and Throw Pillows</t>
  </si>
  <si>
    <t>Gray</t>
  </si>
  <si>
    <t>A++</t>
  </si>
  <si>
    <t>PP001967;PF005183</t>
  </si>
  <si>
    <t>Farmhouse</t>
  </si>
  <si>
    <t>9/30/2020</t>
  </si>
  <si>
    <t>AMAZON,AMAZONDS,BLK01,CASTLEGATE,CSNSTORES,JCPENNEY01,KOHLDSN,MACY02,OLLIIX,OVERSTOCK01,TGTDVS</t>
  </si>
  <si>
    <t>10/1/2020</t>
  </si>
  <si>
    <t>10/8/2020</t>
  </si>
  <si>
    <t>MPS10-464</t>
  </si>
  <si>
    <t>9</t>
  </si>
  <si>
    <t>AMAZON,AMAZONDS,BLK01,CASTLEGATE,CSNSTORES,JCPENNEY01,KOHLDSN,MACY02,NRTPORT,OLLIIX,OVERSCONSIGN,OVERSTOCK01,TGTDVS</t>
  </si>
  <si>
    <t>10/5/2020</t>
  </si>
  <si>
    <t>MPS10-496</t>
  </si>
  <si>
    <t>Ivory</t>
  </si>
  <si>
    <t>PP001967;PF005935</t>
  </si>
  <si>
    <t>Farm House</t>
  </si>
  <si>
    <t>5/4/2023</t>
  </si>
  <si>
    <t>10/22/2024</t>
  </si>
  <si>
    <t>AMAZONDS,CSNSTORES,JCPENNEY01,KOHLDSN,MACY02,OLLIIX,OVERSCONSIGN,OVERSTOCK01,TGTDVS</t>
  </si>
  <si>
    <t>5/9/2023</t>
  </si>
  <si>
    <t>5/14/2023</t>
  </si>
  <si>
    <t>MPS10-497</t>
  </si>
  <si>
    <t>12/8/2024</t>
  </si>
  <si>
    <t>AMAZON,AMAZONDS,BLK01,CSNSTORES,JCPENNEY01,KOHLDSN,MACY02,OLLIIX,OVERSCONSIGN,OVERSTOCK01,TGTDVS</t>
  </si>
  <si>
    <t>5/10/2023</t>
  </si>
  <si>
    <t>MPS10-537</t>
  </si>
  <si>
    <t>PF006266</t>
  </si>
  <si>
    <t>7/4/2024</t>
  </si>
  <si>
    <t>1/8/2025</t>
  </si>
  <si>
    <t>AMAZON,CSNSTORES,JCPENNEY01,KOHLDSN,OLLIIX,OVERSTOCK01</t>
  </si>
  <si>
    <t>7/10/2024</t>
  </si>
  <si>
    <t>8/8/2024</t>
  </si>
  <si>
    <t>MPS10-538</t>
  </si>
  <si>
    <t>AMAZON,CSNSTORES,DESINC,JCPENNEY01,KOHLDSN,OVERSTOCK01</t>
  </si>
  <si>
    <t>7/15/2024</t>
  </si>
  <si>
    <t>MPS10-345</t>
  </si>
  <si>
    <t>Urban Cabin</t>
  </si>
  <si>
    <t>Cotton Jacquard Comforter Set</t>
  </si>
  <si>
    <t>PF004061;PP001989</t>
  </si>
  <si>
    <t>Plaid</t>
  </si>
  <si>
    <t>Glam/Luxury|Lodge/Cabin</t>
  </si>
  <si>
    <t>11/30/2017</t>
  </si>
  <si>
    <t>2/14/2025</t>
  </si>
  <si>
    <t>AMAZON,AMAZONDS,BLK01,CSNSTORES,FINGERHUTDS,JCPENNEY01,KOHLDSN,MACY02,OLLIIX,OVERSTOCK01,TGTDVS</t>
  </si>
  <si>
    <t>3/28/2019</t>
  </si>
  <si>
    <t>4/1/2019</t>
  </si>
  <si>
    <t>MPS10-346</t>
  </si>
  <si>
    <t>MPS10-544</t>
  </si>
  <si>
    <t>Neutral</t>
  </si>
  <si>
    <t>PP001989;PF006386</t>
  </si>
  <si>
    <t>9/13/2024</t>
  </si>
  <si>
    <t>CSNSTORES,KOHLDSN,OVERSTOCK01</t>
  </si>
  <si>
    <t>9/15/2024</t>
  </si>
  <si>
    <t>10/4/2024</t>
  </si>
  <si>
    <t>MPS10-545</t>
  </si>
  <si>
    <t>CSNSTORES,KOHLDSN,OLLIIX</t>
  </si>
  <si>
    <t>9/26/2024</t>
  </si>
  <si>
    <t>MPS10-257</t>
  </si>
  <si>
    <t>Shades of Grey</t>
  </si>
  <si>
    <t>Comforter Set</t>
  </si>
  <si>
    <t>PF003293</t>
  </si>
  <si>
    <t>Modern/Contemporary</t>
  </si>
  <si>
    <t>1/22/2025</t>
  </si>
  <si>
    <t>AMAZON,AMAZONDS,BLK01,CSNSTORES,HSNDS,JCPENNEY01,KOHLDSN,MACY02,OLLIIX,OVERSTOCK01</t>
  </si>
  <si>
    <t>9/30/2017</t>
  </si>
  <si>
    <t>11/10/2017</t>
  </si>
  <si>
    <t>MPS10-258</t>
  </si>
  <si>
    <t>1/7/2025</t>
  </si>
  <si>
    <t>10/21/2017</t>
  </si>
  <si>
    <t>MPE10-980</t>
  </si>
  <si>
    <t>Madison Park Essentials</t>
  </si>
  <si>
    <t>RIAB</t>
  </si>
  <si>
    <t>Brystol</t>
  </si>
  <si>
    <t>Cadence</t>
  </si>
  <si>
    <t>Isabella</t>
  </si>
  <si>
    <t>24 Piece Room in a Bag</t>
  </si>
  <si>
    <t>PP001789;PF005756</t>
  </si>
  <si>
    <t>24</t>
  </si>
  <si>
    <t>Paisley</t>
  </si>
  <si>
    <t>9/2/2022</t>
  </si>
  <si>
    <t>AAFESDS,AMAZONDS,BLK01,CSNSTORES,HOUZZ,JCPENNEY01,KOHLDSN,LOWESDS,MACY02,NRTPORT,OLLIIX,OVERSTOCK01,TGTDVS</t>
  </si>
  <si>
    <t>9/14/2022</t>
  </si>
  <si>
    <t>MPE10-981</t>
  </si>
  <si>
    <t>AAFESDS,AMAZONDS,BLK01,CSNSTORES,HOUZZ,JCPENNEY01,KOHLDSN,MACY02,NRTPORT,OLLIIX,OVERSTOCK01,TGTDVS</t>
  </si>
  <si>
    <t>MPE10-982</t>
  </si>
  <si>
    <t>AMAZONDS,BLK01,CSNSTORES,JCPENNEY01,KOHLDSN,MACY02,NRTPORT,OLLIIX,OVERSTOCK01,TGTDVS</t>
  </si>
  <si>
    <t>10/5/2022</t>
  </si>
  <si>
    <t>MPE10-636</t>
  </si>
  <si>
    <t>Teal</t>
  </si>
  <si>
    <t>PF003680</t>
  </si>
  <si>
    <t>8/19/2017</t>
  </si>
  <si>
    <t>2/4/2025</t>
  </si>
  <si>
    <t>AMAZON,AMAZONDS,BIGLOTSDS,BLK01,CSNSTORES,FINGERHUTDS,HSNDS,JCPENNEY01,KOHLDSN,MACY02,NRTPORT,OLLIIX,OVERSTOCK01,ROOMECOM,TGTDVS,Zulily</t>
  </si>
  <si>
    <t>8/2/2017</t>
  </si>
  <si>
    <t>8/28/2017</t>
  </si>
  <si>
    <t>MPE10-637</t>
  </si>
  <si>
    <t>12/7/2024</t>
  </si>
  <si>
    <t>AMAZON,AMAZONDS,BLK01,CSNSTORES,FINGERHUTDS,JCPENNEY01,KOHLDSN,MACY02,NRTPORT,OLLIIX,OVERSTOCK01,ROOMECOM,TGTDVS,Zulily</t>
  </si>
  <si>
    <t>8/25/2017</t>
  </si>
  <si>
    <t>MPE10-638</t>
  </si>
  <si>
    <t>AMAZON,AMAZONDS,BLK01,CSNSTORES,FINGERHUTDS,HSNDS,JCPENNEY01,KOHLDSN,MACY02,NRTPORT,OVERSTOCK01,TGTDVS</t>
  </si>
  <si>
    <t>8/23/2017</t>
  </si>
  <si>
    <t>MPE10-784</t>
  </si>
  <si>
    <t>PF004547</t>
  </si>
  <si>
    <t>1/15/2019</t>
  </si>
  <si>
    <t>AMAZON,AMAZONDS,BIGLOTSDS,BLK01,CSNSTORES,FINGERHUTDS,HSNDS,JCPENNEY01,KOHLDSN,MACY02,NRTPORT,OVERSCONSIGN,OVERSTOCK01,ROOMECOM,TGTDVS,Zulily</t>
  </si>
  <si>
    <t>1/16/2019</t>
  </si>
  <si>
    <t>1/17/2019</t>
  </si>
  <si>
    <t>MPE10-785</t>
  </si>
  <si>
    <t>AAFESDS,AMAZON,AMAZONDS,BLK01,CSNSTORES,FINGERHUTDS,HSNDS,JCPENNEY01,KOHLDSN,MACY02,NRTPORT,OVERSTOCK01,ROOMECOM,TGTDVS</t>
  </si>
  <si>
    <t>1/28/2019</t>
  </si>
  <si>
    <t>MPE10-786</t>
  </si>
  <si>
    <t>AMAZON,AMAZONDS,BLK01,CSNSTORES,FINGERHUTDS,HSNDS,JCPENNEY01,KOHLDSN,MACY02,NRTPORT,OVERSTOCK01,ROOMECOM,TGTDVS</t>
  </si>
  <si>
    <t>1/22/2019</t>
  </si>
  <si>
    <t>MPE10-633</t>
  </si>
  <si>
    <t>PF003679</t>
  </si>
  <si>
    <t>AMAZON,AMAZONDS,BLK01,CSNSTORES,FINGERHUTDS,JCPENNEY01,KOHLDSN,MACY02,NRTPORT,OLLIIX,OVERSTOCK01,ROOMECOM</t>
  </si>
  <si>
    <t>8/29/2017</t>
  </si>
  <si>
    <t>MPE10-634</t>
  </si>
  <si>
    <t>AMAZON,BLK01,CASTLEGATE,CSNSTORES,FINGERHUTDS,HOUZZ,HSNDS,JCPENNEY01,KOHLDSN,MACY02,NRTPORT,OVERSTOCK01,ROOMECOM</t>
  </si>
  <si>
    <t>MPE10-635</t>
  </si>
  <si>
    <t>11/17/2024</t>
  </si>
  <si>
    <t>AMAZON,BLK01,CASTLEGATE,CSNSTORES,FINGERHUTDS,JCPENNEY01,KOHLDSN,MACY02,NRTPORT,OLLIIX,OVERSTOCK01,TGTDVS</t>
  </si>
  <si>
    <t>MPE10-977</t>
  </si>
  <si>
    <t>PP001789;PF005757</t>
  </si>
  <si>
    <t>AAFESDS,AMAZONDS,BLK01,CSNSTORES,JCPENNEY01,KOHLDSN,MACY02,NRTPORT,OLLIIX,OVERSTOCK01</t>
  </si>
  <si>
    <t>MPE10-978</t>
  </si>
  <si>
    <t>AMAZONDS,BLK01,CSNSTORES,DESINC,JCPENNEY01,KOHLDSN,MACY02,NRTPORT,OVERSTOCK01,TGTDVS</t>
  </si>
  <si>
    <t>9/23/2022</t>
  </si>
  <si>
    <t>MPE10-979</t>
  </si>
  <si>
    <t>MPE10-223</t>
  </si>
  <si>
    <t>PF003678</t>
  </si>
  <si>
    <t>AMAZON,AMAZONDS,BLK01,CASTLEGATE,CSNSTORES,FINGERHUTDS,HSNDS,JCPENNEY01,KOHLDSN,MACY02,NRTPORT,OVERSCONSIGN,OVERSTOCK01,ROOMECOM,TGTDVS</t>
  </si>
  <si>
    <t>4/4/2016</t>
  </si>
  <si>
    <t>MPE10-224</t>
  </si>
  <si>
    <t>AAFESDS,AMAZON,AMAZONDS,BLK01,CASTLEGATE,CSNSTORES,FINGERHUTDS,HSNDS,JCPENNEY01,KOHLDSN,MACY02,NRTPORT,OLLIIX,OVERSTOCK01</t>
  </si>
  <si>
    <t>4/5/2016</t>
  </si>
  <si>
    <t>MPE10-225</t>
  </si>
  <si>
    <t>AMAZON,AMAZONDS,BLK01,CASTLEGATE,CSNSTORES,FINGERHUTDS,JCPENNEY01,KOHLDSN,MACY02,OLLIIX,OVERSTOCK01,ROOMECOM,TGTDVS</t>
  </si>
  <si>
    <t>3/28/2016</t>
  </si>
  <si>
    <t>MPE10-476</t>
  </si>
  <si>
    <t>Joella</t>
  </si>
  <si>
    <t>Loretta</t>
  </si>
  <si>
    <t>Emma</t>
  </si>
  <si>
    <t>Taupe</t>
  </si>
  <si>
    <t>PF003692</t>
  </si>
  <si>
    <t>Glam/Luxury|Casual</t>
  </si>
  <si>
    <t>6/7/2017</t>
  </si>
  <si>
    <t>AMAZON,AMAZONDS,BLK01,CSNSTORES,FINGERHUTDS,HSNDS,JCPENNEY01,KOHLDSN,MACY02,NRTPORT,OLLIIX,OVERSTOCK01,WALMARTDS</t>
  </si>
  <si>
    <t>5/16/2017</t>
  </si>
  <si>
    <t>6/8/2017</t>
  </si>
  <si>
    <t>MPE10-477</t>
  </si>
  <si>
    <t>12/3/2024</t>
  </si>
  <si>
    <t>AMAZON,BLK01,CSNSTORES,HSNDS,JCPENNEY01,KOHLDSN,MACY02,NEBFUR01,NRTPORT,OVERSTOCK01</t>
  </si>
  <si>
    <t>6/9/2017</t>
  </si>
  <si>
    <t>MPE10-478</t>
  </si>
  <si>
    <t>AMAZON,AMAZONDS,BLK01,CSNSTORES,FINGERHUTDS,HSNDS,JCPENNEY01,KOHLDSN,MACY02,NRTPORT,OLLIIX,OVERSTOCK01,TGTDVS,Zulily</t>
  </si>
  <si>
    <t>6/11/2017</t>
  </si>
  <si>
    <t>MPE10-698</t>
  </si>
  <si>
    <t>24 Piece Room In a Bag</t>
  </si>
  <si>
    <t>Plum</t>
  </si>
  <si>
    <t>PP000636;PF004062</t>
  </si>
  <si>
    <t>11/6/2017</t>
  </si>
  <si>
    <t>AMAZON,AMAZONDS,BLK01,CSNSTORES,FINGERHUTDS,JCPENNEY01,KOHLDSN,MACY02,NEBFUR01,NRTPORT,OLLIIX,OVERSTOCK01,ROOMECOM,TGTDVS,WALMARTDS</t>
  </si>
  <si>
    <t>12/13/2017</t>
  </si>
  <si>
    <t>12/19/2017</t>
  </si>
  <si>
    <t>MPE10-699</t>
  </si>
  <si>
    <t>1/29/2025</t>
  </si>
  <si>
    <t>AMAZON,BLK01,CSNSTORES,FINGERHUTDS,JCPENNEY01,KOHLDSN,MACY02,NRTPORT,OLLIIX,OVERSTOCK01,ROOMECOM,WALMARTDS</t>
  </si>
  <si>
    <t>12/29/2017</t>
  </si>
  <si>
    <t>MPE10-700</t>
  </si>
  <si>
    <t>AMAZON,AMAZONDS,BLK01,CSNSTORES,FINGERHUTDS,JCPENNEY01,KOHLDSN,MACY02,OVERSTOCK01,TGTDVS,WALMARTDS</t>
  </si>
  <si>
    <t>1/16/2018</t>
  </si>
  <si>
    <t>MPE10-765</t>
  </si>
  <si>
    <t>PP000636;PF004504</t>
  </si>
  <si>
    <t>Cottage/Country|Glam/Luxury</t>
  </si>
  <si>
    <t>11/20/2018</t>
  </si>
  <si>
    <t>11/10/2024</t>
  </si>
  <si>
    <t>AMAZON,AMAZONDS,BLK01,CSNSTORES,FINGERHUTDS,JCPENNEY01,KOHLDSN,MACY02,NRTPORT,OVERSTOCK01,WALMARTDS,Zulily</t>
  </si>
  <si>
    <t>11/23/2018</t>
  </si>
  <si>
    <t>12/4/2018</t>
  </si>
  <si>
    <t>MPE10-766</t>
  </si>
  <si>
    <t>AMAZON,BLK01,CSNSTORES,JCPENNEY01,KOHLDSN,MACY02,NRTPORT,OLLIIX,OVERSTOCK01,TGTDVS</t>
  </si>
  <si>
    <t>1/6/2019</t>
  </si>
  <si>
    <t>MPE10-767</t>
  </si>
  <si>
    <t>AMAZON,AMAZONDS,CSNSTORES,FINGERHUTDS,JCPENNEY01,KOHLDSN,MACY02,NRTPORT,OVERSTOCK01,Zulily</t>
  </si>
  <si>
    <t>11/21/2018</t>
  </si>
  <si>
    <t>11/26/2018</t>
  </si>
  <si>
    <t>MPE10-809</t>
  </si>
  <si>
    <t>Blush</t>
  </si>
  <si>
    <t>PP000636;PF004747</t>
  </si>
  <si>
    <t>7/12/2019</t>
  </si>
  <si>
    <t>AMAZON,AMAZONDS,BLK01,CSNSTORES,FINGERHUTDS,JCPENNEY01,KOHLDSN,MACY02,NRTPORT,OVERSTOCK01,TGTDVS</t>
  </si>
  <si>
    <t>7/15/2019</t>
  </si>
  <si>
    <t>MPE10-810</t>
  </si>
  <si>
    <t>AMAZON,BLK01,CSNSTORES,JCPENNEY01,KOHLDSN,MACY02,NRTPORT,OVERSTOCK01</t>
  </si>
  <si>
    <t>8/5/2019</t>
  </si>
  <si>
    <t>MPE10-811</t>
  </si>
  <si>
    <t>AMAZON,BLK01,CASTLEGATE,CSNSTORES,JCPENNEY01,MACY02,NRTPORT,OVERSTOCK01</t>
  </si>
  <si>
    <t>MPE10-479</t>
  </si>
  <si>
    <t>PF003691</t>
  </si>
  <si>
    <t>6/1/2017</t>
  </si>
  <si>
    <t>AMAZON,AMAZONDS,BLK01,CSNSTORES,FINGERHUTDS,JCPENNEY01,KOHLDSN,MACY02,NEBFUR01,OVERSTOCK01,ROOMECOM,TGTDVS,WALMARTDS</t>
  </si>
  <si>
    <t>6/14/2017</t>
  </si>
  <si>
    <t>MPE10-480</t>
  </si>
  <si>
    <t>AAFESDS,AMAZON,AMAZONDS,BLK01,CSNSTORES,JCPENNEY01,KOHLDSN,MACY02,NRTPORT,OVERSTOCK01,ROOMECOM,TGTDVS,WALMARTDS</t>
  </si>
  <si>
    <t>6/28/2017</t>
  </si>
  <si>
    <t>MPE10-481</t>
  </si>
  <si>
    <t>AMAZON,BLK01,CSNSTORES,FINGERHUTDS,JCPENNEY01,KOHLDSN,MACY02,NRTPORT,OVERSTOCK01,ROOMECOM,TGTDVS</t>
  </si>
  <si>
    <t>AM10-0022</t>
  </si>
  <si>
    <t>Super Listing</t>
  </si>
  <si>
    <t>Comforter Mini Set</t>
  </si>
  <si>
    <t>Mina</t>
  </si>
  <si>
    <t>Hanna</t>
  </si>
  <si>
    <t>Aera</t>
  </si>
  <si>
    <t>Waffle Weave Textured Comforter Set</t>
  </si>
  <si>
    <t>Twin/Twin XL</t>
  </si>
  <si>
    <t>PP001928;PF006156</t>
  </si>
  <si>
    <t>Polyester</t>
  </si>
  <si>
    <t>9/29/2023</t>
  </si>
  <si>
    <t>11/21/2024</t>
  </si>
  <si>
    <t>AMAZON,CSNSTORES,HDDS,JCPENNEY01,KIRKLANDDS,KOHLDSN,MACY02,NRTPORT,OVERSTOCK01</t>
  </si>
  <si>
    <t>11/10/2023</t>
  </si>
  <si>
    <t>11/24/2023</t>
  </si>
  <si>
    <t>AM10-0023</t>
  </si>
  <si>
    <t>AMAZON,CSNSTORES,HDDS,JCPENNEY01,KIRKLANDDS,KOHLDSN,MACY02,NRTPORT,OVERSTOCK01,TGTDVS</t>
  </si>
  <si>
    <t>11/14/2023</t>
  </si>
  <si>
    <t>AM10-0024</t>
  </si>
  <si>
    <t>AMAZON,CSNSTORES,DESINC,HDDS,JCPENNEY01,KIRKLANDDS,KOHLDSN,MACY02,NRTPORT,OVERSTOCK01,TGTDVS</t>
  </si>
  <si>
    <t>11/13/2023</t>
  </si>
  <si>
    <t>11/20/2023</t>
  </si>
  <si>
    <t>AM10-0016</t>
  </si>
  <si>
    <t>PP001928;PF006155</t>
  </si>
  <si>
    <t>11/28/2023</t>
  </si>
  <si>
    <t>AMAZON,DESINC,HDDS,JCPENNEY01,KOHLDSN,MACY02,NRTPORT,OVERSTOCK01</t>
  </si>
  <si>
    <t>12/3/2023</t>
  </si>
  <si>
    <t>AM10-0017</t>
  </si>
  <si>
    <t>AMAZON,BLK01,CSNSTORES,DESINC,HDDS,JCPENNEY01,KIRKLANDDS,KOHLDSN,MACY02,NRTPORT,OVERSTOCK01,TGTDVS</t>
  </si>
  <si>
    <t>11/29/2023</t>
  </si>
  <si>
    <t>AM10-0018</t>
  </si>
  <si>
    <t>CSNSTORES,DESINC,HDDS,JCPENNEY01,KIRKLANDDS,KOHLDSN,MACY02,NRTPORT,OVERSTOCK01,TGTDVS</t>
  </si>
  <si>
    <t>AM10-0013</t>
  </si>
  <si>
    <t>Sage Green</t>
  </si>
  <si>
    <t>PP001928;PF006154</t>
  </si>
  <si>
    <t>10/27/2023</t>
  </si>
  <si>
    <t>AMAZON,CSNSTORES,HDDS,JCPENNEY01,KOHLDSN,MACY02,NRTPORT,OVERSTOCK01</t>
  </si>
  <si>
    <t>10/26/2023</t>
  </si>
  <si>
    <t>AM10-0014</t>
  </si>
  <si>
    <t>11/2/2023</t>
  </si>
  <si>
    <t>CSNSTORES,DESINC,HDDS,JCPENNEY01,KOHLDSN,MACY02,NRTPORT,OVERSTOCK01,TGTDVS</t>
  </si>
  <si>
    <t>11/6/2023</t>
  </si>
  <si>
    <t>AM10-0015</t>
  </si>
  <si>
    <t>CSNSTORES,HDDS,JCPENNEY01,KIRKLANDDS,KOHLDSN,MACY02,NRTPORT,OVERSTOCK01,TGTDVS</t>
  </si>
  <si>
    <t>11/7/2023</t>
  </si>
  <si>
    <t>AM10-0010</t>
  </si>
  <si>
    <t>Light Grey</t>
  </si>
  <si>
    <t>PP001928;PF006153</t>
  </si>
  <si>
    <t>BLK01,HDDS,JCPENNEY01,KOHLDSN,MACY02,NRTPORT,OVERSTOCK01,TGTDVS</t>
  </si>
  <si>
    <t>AM10-0011</t>
  </si>
  <si>
    <t>AMAZON,CSNSTORES,JCPENNEY01,KOHLDSN,MACY02,NRTPORT,OVERSTOCK01,TGTDVS</t>
  </si>
  <si>
    <t>11/15/2023</t>
  </si>
  <si>
    <t>AM10-0012</t>
  </si>
  <si>
    <t>11/11/2023</t>
  </si>
  <si>
    <t>BLK01,CSNSTORES,DESINC,HDDS,JCPENNEY01,KOHLDSN,MACY02,NRTPORT,OVERSTOCK01,TGTDVS</t>
  </si>
  <si>
    <t>AM10-0004</t>
  </si>
  <si>
    <t>Porter</t>
  </si>
  <si>
    <t>Evans</t>
  </si>
  <si>
    <t>Walker</t>
  </si>
  <si>
    <t>Soft Washed Pleated Comforter Set</t>
  </si>
  <si>
    <t>PP001927;PF006151</t>
  </si>
  <si>
    <t>12/6/2024</t>
  </si>
  <si>
    <t>AMAZON,CSNSTORES,KOHLDSN,MACY02,NRTPORT,OVERSTOCK01,TGTDVS</t>
  </si>
  <si>
    <t>AM10-0470</t>
  </si>
  <si>
    <t>AMAZON,AMAZONDS,KOHLDSN,NRTPORT,OVERSTOCK01</t>
  </si>
  <si>
    <t>9/9/2024</t>
  </si>
  <si>
    <t>AM10-0005</t>
  </si>
  <si>
    <t>11/16/2024</t>
  </si>
  <si>
    <t>AMAZON,AMAZONDS,BLK01,CSNSTORES,DESINC,HDDS,JCPENNEY01,KIRKLANDDS,KOHLDSN,MACY02,NRTPORT,OVERSTOCK01,TGTDVS</t>
  </si>
  <si>
    <t>11/1/2023</t>
  </si>
  <si>
    <t>AM10-0006</t>
  </si>
  <si>
    <t>AMAZON,AMAZONDS,BLK01,CSNSTORES,DESINC,HDDS,HHGLOBALTTS,JCPENNEY01,KIRKLANDDS,KOHLDSN,MACY02,NRTPORT,OVERSTOCK01,TGTDVS</t>
  </si>
  <si>
    <t>11/3/2023</t>
  </si>
  <si>
    <t>AM10-0471</t>
  </si>
  <si>
    <t>9/4/2024</t>
  </si>
  <si>
    <t>AMAZON,AMAZONDS,BLK01,KOHLDSN,NRTPORT,OVERSTOCK01,TGTDVS</t>
  </si>
  <si>
    <t>9/6/2024</t>
  </si>
  <si>
    <t>AM10-0007</t>
  </si>
  <si>
    <t>PP001927;PF006152</t>
  </si>
  <si>
    <t>1/30/2024</t>
  </si>
  <si>
    <t>AM10-0472</t>
  </si>
  <si>
    <t>AMAZON,AMAZONDS,HDDS,KOHLDSN,OVERSTOCK01</t>
  </si>
  <si>
    <t>AM10-0008</t>
  </si>
  <si>
    <t>AMAZON,BLK01,CSNSTORES,HDDS,HHGLOBALTTS,JCPENNEY01,KIRKLANDDS,KOHLDSN,MACY02,OVERSTOCK01,TGTDVS</t>
  </si>
  <si>
    <t>AM10-0009</t>
  </si>
  <si>
    <t>AMAZON,BLK01,CSNSTORES,HHGLOBALTTS,JCPENNEY01,KIRKLANDDS,KOHLDSN,MACY02,NRTPORT,OVERSTOCK01,TGTDVS</t>
  </si>
  <si>
    <t>AM10-0473</t>
  </si>
  <si>
    <t>9/23/2024</t>
  </si>
  <si>
    <t>AM10-0143</t>
  </si>
  <si>
    <t>PP001927;PF006241</t>
  </si>
  <si>
    <t>4/2/2024</t>
  </si>
  <si>
    <t>AMAZON,CSNSTORES,JCPENNEY01,KOHLDSN,MACY02,NRTPORT,TGTDVS</t>
  </si>
  <si>
    <t>4/3/2024</t>
  </si>
  <si>
    <t>5/13/2024</t>
  </si>
  <si>
    <t>AM10-0466</t>
  </si>
  <si>
    <t>9/18/2024</t>
  </si>
  <si>
    <t>AMAZON,AMAZONDS,BLK01,KOHLDSN,OVERSTOCK01</t>
  </si>
  <si>
    <t>9/20/2024</t>
  </si>
  <si>
    <t>10/8/2024</t>
  </si>
  <si>
    <t>AM10-0144</t>
  </si>
  <si>
    <t>AMAZON,BLK01,CSNSTORES,DESINC,HDDS,HHGLOBALTTS,JCPENNEY01,KOHLDSN,MACY02,OVERSTOCK01,TGTDVS</t>
  </si>
  <si>
    <t>4/4/2024</t>
  </si>
  <si>
    <t>AM10-0145</t>
  </si>
  <si>
    <t>3/30/2024</t>
  </si>
  <si>
    <t>BLK01,CSNSTORES,DESINC,HDDS,HHGLOBALTTS,JCPENNEY01,KOHLDSN,MACY02,OVERSTOCK01,TGTDVS</t>
  </si>
  <si>
    <t>3/29/2024</t>
  </si>
  <si>
    <t>4/1/2024</t>
  </si>
  <si>
    <t>AM10-0467</t>
  </si>
  <si>
    <t>BLK01,DESINC,KOHLDSN,NRTPORT,OVERSTOCK01</t>
  </si>
  <si>
    <t>9/24/2024</t>
  </si>
  <si>
    <t>AM10-0140</t>
  </si>
  <si>
    <t>Blue/Grey</t>
  </si>
  <si>
    <t>PP001927;PF006243</t>
  </si>
  <si>
    <t>10/21/2024</t>
  </si>
  <si>
    <t>AMAZON,CSNSTORES,KIRKLANDDS,KOHLDSN,NRTPORT,TGTDVS</t>
  </si>
  <si>
    <t>6/24/2024</t>
  </si>
  <si>
    <t>AM10-0464</t>
  </si>
  <si>
    <t>AMAZON,AMAZONDS,KOHLDSN,OVERSTOCK01</t>
  </si>
  <si>
    <t>AM10-0141</t>
  </si>
  <si>
    <t>4/8/2024</t>
  </si>
  <si>
    <t>AM10-0142</t>
  </si>
  <si>
    <t>AMAZON,AMAZONDS,BLK01,CSNSTORES,DESINC,HHGLOBALTTS,JCPENNEY01,KIRKLANDDS,KOHLDSN,MACY02,NRTPORT,OVERSTOCK01,TGTDVS</t>
  </si>
  <si>
    <t>4/5/2024</t>
  </si>
  <si>
    <t>AM10-0465</t>
  </si>
  <si>
    <t>AMAZON,AMAZONDS,BLK01,KOHLDSN,NRTPORT,OVERSTOCK01</t>
  </si>
  <si>
    <t>AM10-0001</t>
  </si>
  <si>
    <t>PP001927;PF006150</t>
  </si>
  <si>
    <t>BLK01,CSNSTORES,JCPENNEY01,KOHLDSN,MACY02,NRTPORT,TGTDVS</t>
  </si>
  <si>
    <t>AM10-0468</t>
  </si>
  <si>
    <t>10/11/2024</t>
  </si>
  <si>
    <t>AM10-0002</t>
  </si>
  <si>
    <t>AMAZON,BLK01,CSNSTORES,HDDS,JCPENNEY01,KOHLDSN,MACY02,NRTPORT,OVERSTOCK01,TGTDVS</t>
  </si>
  <si>
    <t>11/8/2023</t>
  </si>
  <si>
    <t>AM10-0003</t>
  </si>
  <si>
    <t>AMAZON,BLK01,CSNSTORES,HDDS,JCPENNEY01,KOHLDSN,MACY02,OVERSTOCK01,TGTDVS</t>
  </si>
  <si>
    <t>AM10-0469</t>
  </si>
  <si>
    <t>AMAZON,AMAZONDS,BLK01,DESINC,HDDS,KOHLDSN,NRTPORT,OVERSTOCK01</t>
  </si>
  <si>
    <t>9/11/2024</t>
  </si>
  <si>
    <t>AM10-0401</t>
  </si>
  <si>
    <t>Olive Green</t>
  </si>
  <si>
    <t>PP001927;PF006424</t>
  </si>
  <si>
    <t>8/16/2024</t>
  </si>
  <si>
    <t>AMAZON,AMAZONDS,BLK01,DESINC,KOHLDSN,NRTPORT</t>
  </si>
  <si>
    <t>8/27/2024</t>
  </si>
  <si>
    <t>AM10-0458</t>
  </si>
  <si>
    <t>9/17/2024</t>
  </si>
  <si>
    <t>AMAZON,AMAZONDS,KOHLDSN</t>
  </si>
  <si>
    <t>AM10-0402</t>
  </si>
  <si>
    <t>AMAZON,AMAZONDS,BLK01,CSNSTORES,DESINC,HDDS,KOHLDSN,MACY02,NRTPORT,OVERSTOCK01,TGTDVS</t>
  </si>
  <si>
    <t>AM10-0403</t>
  </si>
  <si>
    <t>AM10-0459</t>
  </si>
  <si>
    <t>9/14/2024</t>
  </si>
  <si>
    <t>BLK01,DESINC,HDDS,KOHLDSN,MACY02,NRTPORT,OVERSTOCK01,TGTDVS</t>
  </si>
  <si>
    <t>10/16/2024</t>
  </si>
  <si>
    <t>AM10-0395</t>
  </si>
  <si>
    <t>PP001927;PF006421</t>
  </si>
  <si>
    <t>8/22/2024</t>
  </si>
  <si>
    <t>AMAZON,AMAZONDS,BLK01,CSNSTORES,KOHLDSN,NRTPORT,TGTDVS</t>
  </si>
  <si>
    <t>9/30/2024</t>
  </si>
  <si>
    <t>AM10-0454</t>
  </si>
  <si>
    <t>AMAZON,AMAZONDS,KOHLDSN,NRTPORT</t>
  </si>
  <si>
    <t>AM10-0396</t>
  </si>
  <si>
    <t>AMAZON,AMAZONDS,BLK01,CSNSTORES,KOHLDSN,NRTPORT,OVERSTOCK01,TGTDVS</t>
  </si>
  <si>
    <t>AM10-0397</t>
  </si>
  <si>
    <t>11/26/2024</t>
  </si>
  <si>
    <t>AMAZON,CSNSTORES,DESINC,KOHLDSN,MACY02,NRTPORT,OVERSTOCK01</t>
  </si>
  <si>
    <t>AM10-0455</t>
  </si>
  <si>
    <t>AMAZON,BLK01,KOHLDSN,MACY02,NRTPORT,OVERSTOCK01,TGTDVS</t>
  </si>
  <si>
    <t>AM10-0389</t>
  </si>
  <si>
    <t>PP001927;PF006420</t>
  </si>
  <si>
    <t>8/21/2024</t>
  </si>
  <si>
    <t>AMAZON,AMAZONDS,BLK01,CSNSTORES,KOHLDSN,MACY02,NRTPORT</t>
  </si>
  <si>
    <t>AM10-0450</t>
  </si>
  <si>
    <t>AMAZON,KOHLDSN</t>
  </si>
  <si>
    <t>AM10-0390</t>
  </si>
  <si>
    <t>AMAZON,AMAZONDS,BLK01,CSNSTORES,HDDS,KOHLDSN,NRTPORT,OVERSTOCK01</t>
  </si>
  <si>
    <t>AM10-0391</t>
  </si>
  <si>
    <t>8/17/2024</t>
  </si>
  <si>
    <t>AMAZON,AMAZONDS,BLK01,CSNSTORES,KOHLDSN,MACY02,NRTPORT,OVERSTOCK01,TGTDVS</t>
  </si>
  <si>
    <t>9/3/2024</t>
  </si>
  <si>
    <t>AM10-0451</t>
  </si>
  <si>
    <t>AMAZON,AMAZONDS,BLK01,KOHLDSN,MACY02,NRTPORT,OVERSTOCK01</t>
  </si>
  <si>
    <t>9/19/2024</t>
  </si>
  <si>
    <t>AM10-0134</t>
  </si>
  <si>
    <t>Sage</t>
  </si>
  <si>
    <t>PP001927;PF006242</t>
  </si>
  <si>
    <t>CSNSTORES,HDDS,HHGLOBALTTS,KOHLDSN,NRTPORT,OVERSTOCK01,TGTDVS</t>
  </si>
  <si>
    <t>4/12/2024</t>
  </si>
  <si>
    <t>AM10-0460</t>
  </si>
  <si>
    <t>AMAZON,AMAZONDS,BLK01,KOHLDSN</t>
  </si>
  <si>
    <t>AM10-0135</t>
  </si>
  <si>
    <t>AMAZON,BLK01,CSNSTORES,HDDS,HHGLOBALTTS,JCPENNEY01,KOHLDSN,MACY02,NRTPORT,OVERSTOCK01,TGTDVS</t>
  </si>
  <si>
    <t>AM10-0136</t>
  </si>
  <si>
    <t>AMAZON,BLK01,CSNSTORES,DESINC,HHGLOBALTTS,JCPENNEY01,KOHLDSN,MACY02,TGTDVS</t>
  </si>
  <si>
    <t>4/15/2024</t>
  </si>
  <si>
    <t>AM10-0461</t>
  </si>
  <si>
    <t>AMAZON,AMAZONDS,KOHLDSN,OVERSTOCK01,TGTDVS</t>
  </si>
  <si>
    <t>AM10-0398</t>
  </si>
  <si>
    <t>PP001927;PF006423</t>
  </si>
  <si>
    <t>AMAZON,AMAZONDS,CSNSTORES,KOHLDSN,MACY02,NRTPORT,OVERSTOCK01</t>
  </si>
  <si>
    <t>AM10-0456</t>
  </si>
  <si>
    <t>AMAZON,AMAZONDS,KOHLDSN,MACY02,OVERSTOCK01</t>
  </si>
  <si>
    <t>10/15/2024</t>
  </si>
  <si>
    <t>AM10-0399</t>
  </si>
  <si>
    <t>8/20/2024</t>
  </si>
  <si>
    <t>AMAZON,AMAZONDS,BLK01,CSNSTORES,DESINC,HDDS,KOHLDSN,MACY02,NRTPORT,TGTDVS</t>
  </si>
  <si>
    <t>AM10-0400</t>
  </si>
  <si>
    <t>AM10-0457</t>
  </si>
  <si>
    <t>AMAZON,AMAZONDS,KOHLDSN,MACY02,NRTPORT,OVERSTOCK01,TGTDVS</t>
  </si>
  <si>
    <t>10/18/2024</t>
  </si>
  <si>
    <t>AM10-0137</t>
  </si>
  <si>
    <t>PP001927;PF006240</t>
  </si>
  <si>
    <t>AMAZONDS,CSNSTORES,JCPENNEY01,KOHLDSN,MACY02,NRTPORT,OVERSTOCK01,TGTDVS</t>
  </si>
  <si>
    <t>4/22/2024</t>
  </si>
  <si>
    <t>AM10-0462</t>
  </si>
  <si>
    <t>AM10-0138</t>
  </si>
  <si>
    <t>BLK01,CSNSTORES,HHGLOBALTTS,JCPENNEY01,KOHLDSN,MACY02,OVERSTOCK01,TGTDVS</t>
  </si>
  <si>
    <t>AM10-0139</t>
  </si>
  <si>
    <t>AMAZON,BLK01,CSNSTORES,HDDS,HHGLOBALTTS,JCPENNEY01,KOHLDSN,MACY02,TGTDVS</t>
  </si>
  <si>
    <t>AM10-0463</t>
  </si>
  <si>
    <t>AM10-0392</t>
  </si>
  <si>
    <t>Clay</t>
  </si>
  <si>
    <t>PP001927;PF006422</t>
  </si>
  <si>
    <t>AMAZON,AMAZONDS,CSNSTORES,KOHLDSN</t>
  </si>
  <si>
    <t>AM10-0452</t>
  </si>
  <si>
    <t>AMAZON,AMAZONDS,KOHLDSN,MACY02,TGTDVS</t>
  </si>
  <si>
    <t>AM10-0393</t>
  </si>
  <si>
    <t>AMAZON,AMAZONDS,BLK01,CSNSTORES,HDDS,KOHLDSN,MACY02,NRTPORT,OVERSTOCK01</t>
  </si>
  <si>
    <t>AM10-0394</t>
  </si>
  <si>
    <t>AMAZON,AMAZONDS,BLK01,CSNSTORES,HDDS,KOHLDSN,MACY02,NRTPORT,TGTDVS</t>
  </si>
  <si>
    <t>9/12/2024</t>
  </si>
  <si>
    <t>AM10-0453</t>
  </si>
  <si>
    <t>9/27/2024</t>
  </si>
  <si>
    <t>AM10-0386</t>
  </si>
  <si>
    <t>Silver</t>
  </si>
  <si>
    <t>PP001927;PF006419</t>
  </si>
  <si>
    <t>AMAZON,CSNSTORES,KOHLDSN</t>
  </si>
  <si>
    <t>AM10-0448</t>
  </si>
  <si>
    <t>AMAZON,AMAZONDS,KOHLDSN,MACY02</t>
  </si>
  <si>
    <t>AM10-0387</t>
  </si>
  <si>
    <t>AMAZON,AMAZONDS,BLK01,CSNSTORES,HDDS,KOHLDSN,NRTPORT</t>
  </si>
  <si>
    <t>AM10-0388</t>
  </si>
  <si>
    <t>AMAZON,AMAZONDS,BLK01,CSNSTORES,KOHLDSN,NRTPORT,OVERSTOCK01</t>
  </si>
  <si>
    <t>AM10-0449</t>
  </si>
  <si>
    <t>AMAZON,AMAZONDS,KOHLDSN,MACY02,NRTPORT</t>
  </si>
  <si>
    <t>AM10-0025</t>
  </si>
  <si>
    <t>Boulder Stripe</t>
  </si>
  <si>
    <t>Cascade Stripe</t>
  </si>
  <si>
    <t>Highland Stripe</t>
  </si>
  <si>
    <t>Pieced Faux Suede Comforter Set</t>
  </si>
  <si>
    <t>PP001926;PF006147</t>
  </si>
  <si>
    <t>AMAZON,AMAZONDS,CSNSTORES,DESINC,HDDS,JCPENNEY01,KOHLDSN,MACY02,NRTPORT,OVERSTOCK01</t>
  </si>
  <si>
    <t>3/4/2024</t>
  </si>
  <si>
    <t>AM10-0026</t>
  </si>
  <si>
    <t>AMAZON,CSNSTORES,HDDS,JCPENNEY01,KOHLDSN,MACY02,NRTPORT,OVERSTOCK01,TGTDVS</t>
  </si>
  <si>
    <t>AM10-0027</t>
  </si>
  <si>
    <t>11/4/2023</t>
  </si>
  <si>
    <t>AM10-0031</t>
  </si>
  <si>
    <t>PP001926;PF006149</t>
  </si>
  <si>
    <t>11/21/2023</t>
  </si>
  <si>
    <t>AMAZON,DESINC,HDDS,JCPENNEY01,KOHLDSN,MACY02,OVERSTOCK01</t>
  </si>
  <si>
    <t>AM10-0032</t>
  </si>
  <si>
    <t>AMAZON,BLK01,DESINC,HDDS,JCPENNEY01,KOHLDSN,MACY02,OVERSTOCK01,TGTDVS</t>
  </si>
  <si>
    <t>11/26/2023</t>
  </si>
  <si>
    <t>AM10-0033</t>
  </si>
  <si>
    <t>AMAZON,CSNSTORES,DESINC,HDDS,JCPENNEY01,KOHLDSN,MACY02,OVERSTOCK01,TGTDVS</t>
  </si>
  <si>
    <t>11/27/2023</t>
  </si>
  <si>
    <t>AM10-0296</t>
  </si>
  <si>
    <t>PP001926;PF006377</t>
  </si>
  <si>
    <t>AMAZON,CSNSTORES,JCPENNEY01,KOHLDSN,MACY02,TGTDVS</t>
  </si>
  <si>
    <t>7/30/2024</t>
  </si>
  <si>
    <t>AM10-0297</t>
  </si>
  <si>
    <t>AMAZON,AMAZONDS,BLK01,CSNSTORES,HDDS,JCPENNEY01,KOHLDSN,MACY02,OVERSTOCK01</t>
  </si>
  <si>
    <t>8/9/2024</t>
  </si>
  <si>
    <t>AM10-0298</t>
  </si>
  <si>
    <t>7/19/2024</t>
  </si>
  <si>
    <t>7/26/2024</t>
  </si>
  <si>
    <t>AM10-0290</t>
  </si>
  <si>
    <t>Brick</t>
  </si>
  <si>
    <t>PP001926;PF006375</t>
  </si>
  <si>
    <t>AMAZON,JCPENNEY01,MACY02,OVERSTOCK01</t>
  </si>
  <si>
    <t>AM10-0291</t>
  </si>
  <si>
    <t>AMAZON,AMAZONDS,BLK01,CSNSTORES,HDDS,JCPENNEY01,KOHLDSN,MACY02,OVERSTOCK01,TGTDVS</t>
  </si>
  <si>
    <t>AM10-0292</t>
  </si>
  <si>
    <t>10/9/2024</t>
  </si>
  <si>
    <t>AM10-0028</t>
  </si>
  <si>
    <t>PP001926;PF006148</t>
  </si>
  <si>
    <t>AMAZON,BLK01,HDDS,JCPENNEY01,KOHLDSN,MACY02,OVERSTOCK01,TGTDVS</t>
  </si>
  <si>
    <t>3/14/2024</t>
  </si>
  <si>
    <t>AM10-0029</t>
  </si>
  <si>
    <t>AM10-0030</t>
  </si>
  <si>
    <t>AMAZON,BLK01,CSNSTORES,HDDS,JCPENNEY01,KOHLDSN,MACY02,NRTPORT,TGTDVS</t>
  </si>
  <si>
    <t>AM10-0293</t>
  </si>
  <si>
    <t>PP001926;PF006376</t>
  </si>
  <si>
    <t>CSNSTORES,HDDS,JCPENNEY01,KOHLDSN</t>
  </si>
  <si>
    <t>8/6/2024</t>
  </si>
  <si>
    <t>AM10-0294</t>
  </si>
  <si>
    <t>BLK01,CSNSTORES,HDDS,JCPENNEY01,KOHLDSN,MACY02,OVERSTOCK01</t>
  </si>
  <si>
    <t>7/22/2024</t>
  </si>
  <si>
    <t>AM10-0295</t>
  </si>
  <si>
    <t>AMAZON,AMAZONDS,CSNSTORES,HDDS,JCPENNEY01,KOHLDSN,MACY02</t>
  </si>
  <si>
    <t>AM10-0061</t>
  </si>
  <si>
    <t>Camden</t>
  </si>
  <si>
    <t>Reese</t>
  </si>
  <si>
    <t>Leighton</t>
  </si>
  <si>
    <t>Chambray Print Solid Comforter Set</t>
  </si>
  <si>
    <t>PP001923;PF006140</t>
  </si>
  <si>
    <t>Print</t>
  </si>
  <si>
    <t>AMAZON,BLK01,CSNSTORES,DESINC,JCPENNEY01,KOHLDSN,MACY02,NRTPORT,OVERSTOCK01,TGTDVS</t>
  </si>
  <si>
    <t>2/19/2024</t>
  </si>
  <si>
    <t>AM10-0062</t>
  </si>
  <si>
    <t>AM10-0063</t>
  </si>
  <si>
    <t>12/5/2024</t>
  </si>
  <si>
    <t>BLK01,CSNSTORES,HDDS,JCPENNEY01,KOHLDSN,MACY02,NRTPORT,OVERSTOCK01,TGTDVS</t>
  </si>
  <si>
    <t>11/17/2023</t>
  </si>
  <si>
    <t>AM10-0064</t>
  </si>
  <si>
    <t>PP001923;PF006141</t>
  </si>
  <si>
    <t>AMAZON,CSNSTORES,HDDS,KOHLDSN,MACY02,NRTPORT,TGTDVS</t>
  </si>
  <si>
    <t>1/3/2024</t>
  </si>
  <si>
    <t>AM10-0065</t>
  </si>
  <si>
    <t>CSNSTORES,JCPENNEY01,KOHLDSN,MACY02,NRTPORT,OVERSTOCK01,TGTDVS</t>
  </si>
  <si>
    <t>AM10-0066</t>
  </si>
  <si>
    <t>AM10-0058</t>
  </si>
  <si>
    <t>PP001923;PF006139</t>
  </si>
  <si>
    <t>11/30/2024</t>
  </si>
  <si>
    <t>CSNSTORES,HDDS,KOHLDSN,MACY02,OVERSTOCK01,TGTDVS</t>
  </si>
  <si>
    <t>1/8/2024</t>
  </si>
  <si>
    <t>AM10-0059</t>
  </si>
  <si>
    <t>CSNSTORES,HDDS,JCPENNEY01,KOHLDSN,MACY02,OVERSTOCK01,TGTDVS</t>
  </si>
  <si>
    <t>AM10-0060</t>
  </si>
  <si>
    <t>JCPENNEY01,KOHLDSN,MACY02,OVERSTOCK01,TGTDVS</t>
  </si>
  <si>
    <t>11/9/2023</t>
  </si>
  <si>
    <t>AM10-0067</t>
  </si>
  <si>
    <t>PP001923;PF006142</t>
  </si>
  <si>
    <t>BLK01,CSNSTORES,HDDS,JCPENNEY01,KOHLDSN,MACY02,OVERSTOCK01,TGTDVS</t>
  </si>
  <si>
    <t>2/29/2024</t>
  </si>
  <si>
    <t>AM10-0068</t>
  </si>
  <si>
    <t>CSNSTORES,DESINC,HDDS,JCPENNEY01,KOHLDSN,MACY02,OVERSTOCK01,TGTDVS</t>
  </si>
  <si>
    <t>AM10-0069</t>
  </si>
  <si>
    <t>CSNSTORES,HDDS,JCPENNEY01,KOHLDSN,MACY02,NRTPORT,OVERSTOCK01,TGTDVS</t>
  </si>
  <si>
    <t>AM10-0194</t>
  </si>
  <si>
    <t>Phoebe</t>
  </si>
  <si>
    <t>Himari</t>
  </si>
  <si>
    <t>Hannah</t>
  </si>
  <si>
    <t>Diamond Quilted Ruffle Edge Comforter Set</t>
  </si>
  <si>
    <t>PP001981;PF006326</t>
  </si>
  <si>
    <t>Shabby Chic</t>
  </si>
  <si>
    <t>5/30/2024</t>
  </si>
  <si>
    <t>5/31/2024</t>
  </si>
  <si>
    <t>6/5/2024</t>
  </si>
  <si>
    <t>AM10-0195</t>
  </si>
  <si>
    <t>AMAZON,BLK01,CSNSTORES,DESINC,HDDS,JCPENNEY01,KIRKLANDDS,KOHLDSN,MACY02,OVERSTOCK01</t>
  </si>
  <si>
    <t>6/4/2024</t>
  </si>
  <si>
    <t>AM10-0196</t>
  </si>
  <si>
    <t>6/1/2024</t>
  </si>
  <si>
    <t>BLK01,CSNSTORES,HDDS,JCPENNEY01,KIRKLANDDS,KOHLDSN,MACY02,NRTPORT,OVERSTOCK01</t>
  </si>
  <si>
    <t>6/25/2024</t>
  </si>
  <si>
    <t>AM10-0188</t>
  </si>
  <si>
    <t>PP001981;PF006324</t>
  </si>
  <si>
    <t>5/7/2024</t>
  </si>
  <si>
    <t>AMAZON,HDDS,JCPENNEY01,KOHLDSN,MACY02,OVERSTOCK01</t>
  </si>
  <si>
    <t>7/25/2024</t>
  </si>
  <si>
    <t>AM10-0189</t>
  </si>
  <si>
    <t>BLK01,HDDS,JCPENNEY01,KOHLDSN,MACY02,OVERSTOCK01</t>
  </si>
  <si>
    <t>6/17/2024</t>
  </si>
  <si>
    <t>AM10-0190</t>
  </si>
  <si>
    <t>BLK01,CSNSTORES,HDDS,JCPENNEY01,KOHLDSN,MACY02</t>
  </si>
  <si>
    <t>AM10-0185</t>
  </si>
  <si>
    <t>PP001981;PF006323</t>
  </si>
  <si>
    <t>6/7/2024</t>
  </si>
  <si>
    <t>AM10-0186</t>
  </si>
  <si>
    <t>6/12/2024</t>
  </si>
  <si>
    <t>AM10-0187</t>
  </si>
  <si>
    <t>7/5/2024</t>
  </si>
  <si>
    <t>AM10-0197</t>
  </si>
  <si>
    <t>PP001981;PF006327</t>
  </si>
  <si>
    <t>6/10/2024</t>
  </si>
  <si>
    <t>AM10-0198</t>
  </si>
  <si>
    <t>BLK01,CSNSTORES,DESINC,HDDS,JCPENNEY01,KIRKLANDDS,KOHLDSN,MACY02,OVERSTOCK01</t>
  </si>
  <si>
    <t>AM10-0199</t>
  </si>
  <si>
    <t>BLK01,HDDS,JCPENNEY01,KIRKLANDDS,KOHLDSN,MACY02,NRTPORT,OVERSTOCK01</t>
  </si>
  <si>
    <t>AM10-0191</t>
  </si>
  <si>
    <t>PP001981;PF006325</t>
  </si>
  <si>
    <t>KOHLDSN,OVERSTOCK01</t>
  </si>
  <si>
    <t>AM10-0192</t>
  </si>
  <si>
    <t>BLK01,CSNSTORES,HDDS,KOHLDSN,MACY02,OVERSTOCK01</t>
  </si>
  <si>
    <t>AM10-0193</t>
  </si>
  <si>
    <t>6/11/2024</t>
  </si>
  <si>
    <t>AM10-0122</t>
  </si>
  <si>
    <t>Gabby</t>
  </si>
  <si>
    <t>Maddie</t>
  </si>
  <si>
    <t>Julie/Libby</t>
  </si>
  <si>
    <t>Reversible Floral Botanical Seersucker Comforter Set</t>
  </si>
  <si>
    <t>Navy/Blue</t>
  </si>
  <si>
    <t>PP001958;PF006234</t>
  </si>
  <si>
    <t>Floral</t>
  </si>
  <si>
    <t>2/2/2024</t>
  </si>
  <si>
    <t>CSNSTORES,JCPENNEY01,KOHLDSN,MACY02,OVERSTOCK01,TGTDVS</t>
  </si>
  <si>
    <t>3/12/2024</t>
  </si>
  <si>
    <t>AM10-0123</t>
  </si>
  <si>
    <t>3/27/2024</t>
  </si>
  <si>
    <t>AM10-0124</t>
  </si>
  <si>
    <t>AM10-0125</t>
  </si>
  <si>
    <t>Plum/Grey</t>
  </si>
  <si>
    <t>PP001958;PF006235</t>
  </si>
  <si>
    <t>JCPENNEY01,KOHLDSN,MACY02,NRTPORT,OVERSTOCK01</t>
  </si>
  <si>
    <t>AM10-0126</t>
  </si>
  <si>
    <t>HDDS,JCPENNEY01,KOHLDSN,MACY02,OVERSTOCK01</t>
  </si>
  <si>
    <t>3/19/2024</t>
  </si>
  <si>
    <t>AM10-0127</t>
  </si>
  <si>
    <t>3/13/2024</t>
  </si>
  <si>
    <t>HDDS,JCPENNEY01,KOHLDSN,MACY02,NRTPORT,OVERSTOCK01</t>
  </si>
  <si>
    <t>3/28/2024</t>
  </si>
  <si>
    <t>AM10-0176</t>
  </si>
  <si>
    <t>Miro</t>
  </si>
  <si>
    <t>Ayko</t>
  </si>
  <si>
    <t>Marty</t>
  </si>
  <si>
    <t>Soft Washed Color Block Comforter Set</t>
  </si>
  <si>
    <t>PP001980;PF006320</t>
  </si>
  <si>
    <t>Color Block</t>
  </si>
  <si>
    <t>4/30/2024</t>
  </si>
  <si>
    <t>HDDS,KOHLDSN,MACY02,NRTPORT,OVERSTOCK01,TGTDVS</t>
  </si>
  <si>
    <t>6/13/2024</t>
  </si>
  <si>
    <t>AM10-0177</t>
  </si>
  <si>
    <t>CSNSTORES,HDDS,JCPENNEY01,KOHLDSN,MACY02,NRTPORT,OVERSTOCK01</t>
  </si>
  <si>
    <t>7/8/2024</t>
  </si>
  <si>
    <t>AM10-0178</t>
  </si>
  <si>
    <t>HDDS,JCPENNEY01,KOHLDSN,MACY02</t>
  </si>
  <si>
    <t>9/16/2024</t>
  </si>
  <si>
    <t>AM10-0179</t>
  </si>
  <si>
    <t>PP001980;PF006321</t>
  </si>
  <si>
    <t>KOHLDSN</t>
  </si>
  <si>
    <t>6/3/2024</t>
  </si>
  <si>
    <t>AM10-0180</t>
  </si>
  <si>
    <t>AM10-0181</t>
  </si>
  <si>
    <t>AM10-0182</t>
  </si>
  <si>
    <t>Pink</t>
  </si>
  <si>
    <t>PP001980;PF006322</t>
  </si>
  <si>
    <t>HDDS</t>
  </si>
  <si>
    <t>8/5/2024</t>
  </si>
  <si>
    <t>AM10-0183</t>
  </si>
  <si>
    <t>CSNSTORES,HDDS,JCPENNEY01,MACY02,OVERSTOCK01,TGTDVS</t>
  </si>
  <si>
    <t>7/1/2024</t>
  </si>
  <si>
    <t>AM10-0184</t>
  </si>
  <si>
    <t>HDDS,MACY02,NRTPORT,OVERSTOCK01</t>
  </si>
  <si>
    <t>AM10-0128</t>
  </si>
  <si>
    <t>Blake</t>
  </si>
  <si>
    <t>Calvin</t>
  </si>
  <si>
    <t>Owain/Erik</t>
  </si>
  <si>
    <t>Stripe Textured Print Comforter Set</t>
  </si>
  <si>
    <t>PP001959;PF006236</t>
  </si>
  <si>
    <t>11/11/2024</t>
  </si>
  <si>
    <t>BLK01,CSNSTORES,JCPENNEY01,MACY02,NRTPORT,TGTDVS</t>
  </si>
  <si>
    <t>3/8/2024</t>
  </si>
  <si>
    <t>AM10-0129</t>
  </si>
  <si>
    <t>BLK01,CSNSTORES,JCPENNEY01,MACY02,NRTPORT,OVERSTOCK01,TGTDVS</t>
  </si>
  <si>
    <t>3/20/2024</t>
  </si>
  <si>
    <t>AM10-0130</t>
  </si>
  <si>
    <t>3/9/2024</t>
  </si>
  <si>
    <t>CSNSTORES,JCPENNEY01,MACY02</t>
  </si>
  <si>
    <t>5/20/2024</t>
  </si>
  <si>
    <t>AM10-0131</t>
  </si>
  <si>
    <t>Black/Grey</t>
  </si>
  <si>
    <t>PP001959;PF006237</t>
  </si>
  <si>
    <t>CSNSTORES,JCPENNEY01,KOHLDSN,MACY02</t>
  </si>
  <si>
    <t>AM10-0132</t>
  </si>
  <si>
    <t>BLK01,JCPENNEY01,KOHLDSN,MACY02,TGTDVS</t>
  </si>
  <si>
    <t>4/9/2024</t>
  </si>
  <si>
    <t>AM10-0133</t>
  </si>
  <si>
    <t>5/23/2024</t>
  </si>
  <si>
    <t>AM12-0055</t>
  </si>
  <si>
    <t>DUVET&amp;DUVET SET</t>
  </si>
  <si>
    <t>Duvet Mini Set</t>
  </si>
  <si>
    <t>Waffle Weave Textured Duvet Cover Set</t>
  </si>
  <si>
    <t>AMAZON,AMAZONDS,CSNSTORES,KOHLDSN,MACY02,OVERSTOCK01</t>
  </si>
  <si>
    <t>AM12-0056</t>
  </si>
  <si>
    <t>AM12-0057</t>
  </si>
  <si>
    <t>AM12-0049</t>
  </si>
  <si>
    <t>AMAZON,AMAZONDS,JCPENNEY01,KOHLDSN,MACY02,OVERSTOCK01</t>
  </si>
  <si>
    <t>AM12-0050</t>
  </si>
  <si>
    <t>AMAZON,AMAZONDS,CSNSTORES,HDDS,JCPENNEY01,KOHLDSN,MACY02,NRTPORT,OVERSTOCK01,TGTDVS</t>
  </si>
  <si>
    <t>11/30/2023</t>
  </si>
  <si>
    <t>AM12-0051</t>
  </si>
  <si>
    <t>12/26/2023</t>
  </si>
  <si>
    <t>AM12-0046</t>
  </si>
  <si>
    <t>12/15/2023</t>
  </si>
  <si>
    <t>AM12-0047</t>
  </si>
  <si>
    <t>AMAZON,BLK01,CSNSTORES,DESINC,HDDS,JCPENNEY01,KOHLDSN,MACY02,NRTPORT,OVERSTOCK01,TGTDVS</t>
  </si>
  <si>
    <t>AM12-0048</t>
  </si>
  <si>
    <t>AM12-0043</t>
  </si>
  <si>
    <t>12/24/2024</t>
  </si>
  <si>
    <t>AMAZON,JCPENNEY01,KOHLDSN,MACY02</t>
  </si>
  <si>
    <t>12/27/2023</t>
  </si>
  <si>
    <t>AM12-0044</t>
  </si>
  <si>
    <t>AMAZON,BLK01,CSNSTORES,JCPENNEY01,KOHLDSN,MACY02,NRTPORT,OVERSTOCK01,TGTDVS</t>
  </si>
  <si>
    <t>AM12-0045</t>
  </si>
  <si>
    <t>AM12-0037</t>
  </si>
  <si>
    <t>Soft Washed Pleated Duvet Cover Set</t>
  </si>
  <si>
    <t>2/18/2025</t>
  </si>
  <si>
    <t>AMAZON,AMAZONDS,CSNSTORES,HDDS,KOHLDSN,TGTDVS</t>
  </si>
  <si>
    <t>AM12-0424</t>
  </si>
  <si>
    <t>AM12-0038</t>
  </si>
  <si>
    <t>AM12-0039</t>
  </si>
  <si>
    <t>AMAZON,AMAZONDS,BLK01,CSNSTORES,HDDS,JCPENNEY01,KOHLDSN,MACY02,NRTPORT,OVERSTOCK01,TGTDVS</t>
  </si>
  <si>
    <t>AM12-0425</t>
  </si>
  <si>
    <t>AM12-0040</t>
  </si>
  <si>
    <t>AMAZON,JCPENNEY01,KOHLDSN,MACY02,TGTDVS</t>
  </si>
  <si>
    <t>AM12-0426</t>
  </si>
  <si>
    <t>AM12-0041</t>
  </si>
  <si>
    <t>AM12-0042</t>
  </si>
  <si>
    <t>AM12-0427</t>
  </si>
  <si>
    <t>AMAZON,AMAZONDS,DESINC,KOHLDSN,NRTPORT</t>
  </si>
  <si>
    <t>AM12-0407</t>
  </si>
  <si>
    <t>AMAZON,AMAZONDS,DESINC,KOHLDSN,MACY02</t>
  </si>
  <si>
    <t>8/28/2024</t>
  </si>
  <si>
    <t>AM12-0430</t>
  </si>
  <si>
    <t>9/25/2024</t>
  </si>
  <si>
    <t>AM12-0408</t>
  </si>
  <si>
    <t>AMAZON,AMAZONDS,BLK01,CSNSTORES,HDDS,KOHLDSN,MACY02,OVERSTOCK01,TGTDVS</t>
  </si>
  <si>
    <t>AM12-0409</t>
  </si>
  <si>
    <t>10/1/2024</t>
  </si>
  <si>
    <t>AM12-0431</t>
  </si>
  <si>
    <t>AMAZON,AMAZONDS,BLK01,KOHLDSN,MACY02,NRTPORT,OVERSTOCK01,TGTDVS</t>
  </si>
  <si>
    <t>AM12-0034</t>
  </si>
  <si>
    <t>11/22/2023</t>
  </si>
  <si>
    <t>AM12-0422</t>
  </si>
  <si>
    <t>3/12/2025</t>
  </si>
  <si>
    <t>AM12-0035</t>
  </si>
  <si>
    <t>10/31/2023</t>
  </si>
  <si>
    <t>AM12-0036</t>
  </si>
  <si>
    <t>AM12-0423</t>
  </si>
  <si>
    <t>AMAZON,AMAZONDS,HDDS,KOHLDSN,NRTPORT,OVERSTOCK01</t>
  </si>
  <si>
    <t>AM12-0410</t>
  </si>
  <si>
    <t>AM12-0432</t>
  </si>
  <si>
    <t>AMAZON,AMAZONDS,BLK01,KOHLDSN,OVERSTOCK01,TGTDVS</t>
  </si>
  <si>
    <t>AM12-0411</t>
  </si>
  <si>
    <t>AMAZON,AMAZONDS,BLK01,CSNSTORES,HDDS,KOHLDSN,MACY02,NRTPORT,OVERSTOCK01,TGTDVS</t>
  </si>
  <si>
    <t>8/29/2024</t>
  </si>
  <si>
    <t>AM12-0412</t>
  </si>
  <si>
    <t>AM12-0433</t>
  </si>
  <si>
    <t>AMAZON,AMAZONDS,BLK01,KOHLDSN,NRTPORT,TGTDVS</t>
  </si>
  <si>
    <t>AM12-0413</t>
  </si>
  <si>
    <t>AM12-0434</t>
  </si>
  <si>
    <t>KOHLDSN,OVERSTOCK01,TGTDVS</t>
  </si>
  <si>
    <t>AM12-0414</t>
  </si>
  <si>
    <t>8/30/2024</t>
  </si>
  <si>
    <t>AM12-0415</t>
  </si>
  <si>
    <t>AMAZON,AMAZONDS,CSNSTORES,HDDS,KOHLDSN,MACY02,OVERSTOCK01</t>
  </si>
  <si>
    <t>AM12-0435</t>
  </si>
  <si>
    <t>BLK01,KOHLDSN,MACY02,NRTPORT,OVERSTOCK01</t>
  </si>
  <si>
    <t>AM12-0152</t>
  </si>
  <si>
    <t>AMAZON,AMAZONDS,CSNSTORES,JCPENNEY01,KOHLDSN,MACY02</t>
  </si>
  <si>
    <t>AM12-0444</t>
  </si>
  <si>
    <t>HDDS,KOHLDSN,OVERSTOCK01,TGTDVS</t>
  </si>
  <si>
    <t>AM12-0153</t>
  </si>
  <si>
    <t>4/18/2024</t>
  </si>
  <si>
    <t>AM12-0154</t>
  </si>
  <si>
    <t>AMAZON,BLK01,HDDS,JCPENNEY01,KOHLDSN,MACY02,NRTPORT,OVERSTOCK01,TGTDVS</t>
  </si>
  <si>
    <t>AM12-0445</t>
  </si>
  <si>
    <t>AM12-0419</t>
  </si>
  <si>
    <t>AM12-0438</t>
  </si>
  <si>
    <t>KOHLDSN,NRTPORT,OVERSTOCK01,TGTDVS</t>
  </si>
  <si>
    <t>AM12-0420</t>
  </si>
  <si>
    <t>AMAZON,AMAZONDS,BLK01,CSNSTORES,HDDS,KOHLDSN,OVERSTOCK01,TGTDVS</t>
  </si>
  <si>
    <t>AM12-0421</t>
  </si>
  <si>
    <t>10/3/2024</t>
  </si>
  <si>
    <t>AM12-0439</t>
  </si>
  <si>
    <t>KOHLDSN,MACY02,NRTPORT,OVERSTOCK01,TGTDVS</t>
  </si>
  <si>
    <t>AM12-0404</t>
  </si>
  <si>
    <t>AM12-0428</t>
  </si>
  <si>
    <t>AM12-0405</t>
  </si>
  <si>
    <t>AM12-0406</t>
  </si>
  <si>
    <t>AMAZON,AMAZONDS,BLK01,CSNSTORES,KOHLDSN,OVERSTOCK01</t>
  </si>
  <si>
    <t>10/17/2024</t>
  </si>
  <si>
    <t>AM12-0429</t>
  </si>
  <si>
    <t>AMAZON,AMAZONDS,BLK01,HDDS,KOHLDSN,MACY02,TGTDVS</t>
  </si>
  <si>
    <t>AM12-0146</t>
  </si>
  <si>
    <t>AMAZON,DESINC,JCPENNEY01,KOHLDSN,MACY02,OVERSTOCK01,TGTDVS</t>
  </si>
  <si>
    <t>AM12-0440</t>
  </si>
  <si>
    <t>HDDS,KOHLDSN</t>
  </si>
  <si>
    <t>AM12-0147</t>
  </si>
  <si>
    <t>4/16/2024</t>
  </si>
  <si>
    <t>AM12-0148</t>
  </si>
  <si>
    <t>AMAZON,CSNSTORES,HDDS,JCPENNEY01,KOHLDSN,MACY02,OVERSTOCK01,TGTDVS</t>
  </si>
  <si>
    <t>AM12-0441</t>
  </si>
  <si>
    <t>BLK01,KOHLDSN,TGTDVS</t>
  </si>
  <si>
    <t>AM12-0416</t>
  </si>
  <si>
    <t>AMAZON,AMAZONDS,CSNSTORES,KOHLDSN,TGTDVS</t>
  </si>
  <si>
    <t>AM12-0436</t>
  </si>
  <si>
    <t>HDDS,KOHLDSN,TGTDVS</t>
  </si>
  <si>
    <t>AM12-0417</t>
  </si>
  <si>
    <t>AM12-0418</t>
  </si>
  <si>
    <t>AM12-0437</t>
  </si>
  <si>
    <t>AM12-0149</t>
  </si>
  <si>
    <t>AMAZON,JCPENNEY01,KOHLDSN,TGTDVS</t>
  </si>
  <si>
    <t>AM12-0442</t>
  </si>
  <si>
    <t>AM12-0150</t>
  </si>
  <si>
    <t>4/23/2024</t>
  </si>
  <si>
    <t>AM12-0151</t>
  </si>
  <si>
    <t>AMAZON,BLK01,CSNSTORES,HDDS,JCPENNEY01,KOHLDSN,MACY02,TGTDVS</t>
  </si>
  <si>
    <t>5/6/2024</t>
  </si>
  <si>
    <t>AM12-0443</t>
  </si>
  <si>
    <t>AM12-0155</t>
  </si>
  <si>
    <t>AM12-0446</t>
  </si>
  <si>
    <t>KOHLDSN,TGTDVS</t>
  </si>
  <si>
    <t>AM12-0156</t>
  </si>
  <si>
    <t>AM12-0157</t>
  </si>
  <si>
    <t>AM12-0447</t>
  </si>
  <si>
    <t>10/25/2024</t>
  </si>
  <si>
    <t>AM14-0365</t>
  </si>
  <si>
    <t>QUILT</t>
  </si>
  <si>
    <t>Coverlet Mini Set</t>
  </si>
  <si>
    <t>Waffle Weave Textured Quilt Set</t>
  </si>
  <si>
    <t>PP001928;PF006425</t>
  </si>
  <si>
    <t>7/27/2024</t>
  </si>
  <si>
    <t>AM14-0366</t>
  </si>
  <si>
    <t>6/18/2024</t>
  </si>
  <si>
    <t>AMAZON,CSNSTORES,JCPENNEY01,KOHLDSN,MACY02</t>
  </si>
  <si>
    <t>AM14-0367</t>
  </si>
  <si>
    <t>CSNSTORES,JCPENNEY01,KOHLDSN,MACY02,TGTDVS</t>
  </si>
  <si>
    <t>AM14-0368</t>
  </si>
  <si>
    <t>PP001928;PF006426</t>
  </si>
  <si>
    <t>JCPENNEY01,KOHLDSN</t>
  </si>
  <si>
    <t>AM14-0369</t>
  </si>
  <si>
    <t>JCPENNEY01,KOHLDSN,MACY02</t>
  </si>
  <si>
    <t>AM14-0370</t>
  </si>
  <si>
    <t>BLK01,HDDS,JCPENNEY01,KOHLDSN,MACY02,TGTDVS</t>
  </si>
  <si>
    <t>AM14-0371</t>
  </si>
  <si>
    <t>PP001928;PF006427</t>
  </si>
  <si>
    <t>AM14-0372</t>
  </si>
  <si>
    <t>AMAZON,HDDS,JCPENNEY01,KOHLDSN</t>
  </si>
  <si>
    <t>AM14-0373</t>
  </si>
  <si>
    <t>AM14-0374</t>
  </si>
  <si>
    <t>PP001928;PF006428</t>
  </si>
  <si>
    <t>AM14-0375</t>
  </si>
  <si>
    <t>JCPENNEY01,KOHLDSN,TGTDVS</t>
  </si>
  <si>
    <t>AM14-0376</t>
  </si>
  <si>
    <t>CCL10-0001</t>
  </si>
  <si>
    <t>Croscill Classics</t>
  </si>
  <si>
    <t>Julius</t>
  </si>
  <si>
    <t>4 Piece Comforter Set</t>
  </si>
  <si>
    <t>Burgundy</t>
  </si>
  <si>
    <t>4</t>
  </si>
  <si>
    <t>Vintage</t>
  </si>
  <si>
    <t>10/21/2022</t>
  </si>
  <si>
    <t>AMAZON,BLK01,CSNSTORES,DLCROSCILL,JCPENNEY01,KOHLDSN,MACY02,NRTPORT,OLLIIX,OVERSTOCK01</t>
  </si>
  <si>
    <t>8/31/2023</t>
  </si>
  <si>
    <t>9/6/2023</t>
  </si>
  <si>
    <t>CCL10-0002</t>
  </si>
  <si>
    <t>AMAZON,CSNSTORES,DLCROSCILL,JCPENNEY01,KOHLDSN,MACY02,OLLIIX,OVERSTOCK01</t>
  </si>
  <si>
    <t>CCL10-0003</t>
  </si>
  <si>
    <t>AMAZON,AMAZONDS,DLCROSCILL,KOHLDSN,MACY02,OLLIIX,OVERSTOCK01</t>
  </si>
  <si>
    <t>7/31/2024</t>
  </si>
  <si>
    <t>CCL10-0062</t>
  </si>
  <si>
    <t>7/24/2023</t>
  </si>
  <si>
    <t>AMAZON,AMAZONDS,BLK01,CSNSTORES,JCPENNEY01,KOHLDSN,OVERSTOCK01</t>
  </si>
  <si>
    <t>CCL10-0063</t>
  </si>
  <si>
    <t>9/7/2023</t>
  </si>
  <si>
    <t>CCL10-0064</t>
  </si>
  <si>
    <t>AMAZON,AMAZONDS,CSNSTORES,DLCROSCILL,JCPENNEY01,KOHLDSN,OLLIIX,OVERSTOCK01</t>
  </si>
  <si>
    <t>9/5/2023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</si>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</sst>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62.1</v>
      </c>
      <c r="M6" s="3">
        <v>65.2</v>
      </c>
      <c r="N6" s="3">
        <v>139.99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1078</v>
      </c>
      <c r="AA6" s="4">
        <f>=ROUNDDOWN(41.4615384615385,0)</f>
      </c>
      <c r="AB6" s="5">
        <v>26</v>
      </c>
      <c r="AC6" s="2" t="s">
        <v>107</v>
      </c>
      <c r="AD6" s="4">
        <v>80</v>
      </c>
      <c r="AE6" s="4">
        <v>330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29</v>
      </c>
      <c r="AQ6" s="8">
        <v>2426.72</v>
      </c>
      <c r="AR6" s="4">
        <v>72</v>
      </c>
      <c r="AS6" s="8">
        <v>6024.96</v>
      </c>
      <c r="AT6" s="7">
        <v>-0.5972</v>
      </c>
      <c r="AU6" s="7">
        <v>-0.5972</v>
      </c>
      <c r="AV6" s="4">
        <v>71</v>
      </c>
      <c r="AW6" s="8">
        <v>6482.24</v>
      </c>
      <c r="AX6" s="4">
        <v>145</v>
      </c>
      <c r="AY6" s="8">
        <v>13073.84</v>
      </c>
      <c r="AZ6" s="7">
        <v>-0.5103</v>
      </c>
      <c r="BA6" s="7">
        <v>-0.5042</v>
      </c>
      <c r="BB6" s="7">
        <v>0.3744</v>
      </c>
      <c r="BC6" s="4">
        <v>129</v>
      </c>
      <c r="BD6" s="8">
        <v>11799.36</v>
      </c>
      <c r="BE6" s="4">
        <v>284</v>
      </c>
      <c r="BF6" s="8">
        <v>25684.24</v>
      </c>
      <c r="BG6" s="7">
        <v>-0.5458</v>
      </c>
      <c r="BH6" s="7">
        <v>-0.5406</v>
      </c>
      <c r="BI6" s="7">
        <v>0.5494</v>
      </c>
      <c r="BJ6" s="4">
        <v>110</v>
      </c>
      <c r="BK6" s="8">
        <v>7981.36</v>
      </c>
      <c r="BL6" s="2" t="s">
        <v>108</v>
      </c>
      <c r="BM6" s="7">
        <v>0.2636</v>
      </c>
      <c r="BN6" s="7">
        <v>0.304</v>
      </c>
      <c r="BO6" s="4">
        <v>29</v>
      </c>
      <c r="BP6" s="8">
        <v>2426.72</v>
      </c>
      <c r="BQ6" s="4">
        <v>72</v>
      </c>
      <c r="BR6" s="8">
        <v>6024.96</v>
      </c>
      <c r="BS6" s="7">
        <v>-0.5972</v>
      </c>
      <c r="BT6" s="7">
        <v>-0.5972</v>
      </c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114</v>
      </c>
      <c r="K7" s="2" t="s">
        <v>96</v>
      </c>
      <c r="L7" s="3">
        <v>70.38</v>
      </c>
      <c r="M7" s="3">
        <v>73.9</v>
      </c>
      <c r="N7" s="3">
        <v>159.99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100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115</v>
      </c>
      <c r="Z7" s="4">
        <v>972</v>
      </c>
      <c r="AA7" s="4">
        <f>=ROUNDDOWN(40.5,0)</f>
      </c>
      <c r="AB7" s="5">
        <v>24</v>
      </c>
      <c r="AC7" s="2" t="s">
        <v>116</v>
      </c>
      <c r="AD7" s="4">
        <v>100</v>
      </c>
      <c r="AE7" s="4">
        <v>210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/>
      <c r="AP7" s="4">
        <v>33</v>
      </c>
      <c r="AQ7" s="8">
        <v>3186.48</v>
      </c>
      <c r="AR7" s="4">
        <v>56</v>
      </c>
      <c r="AS7" s="8">
        <v>5407.36</v>
      </c>
      <c r="AT7" s="7">
        <v>-0.4107</v>
      </c>
      <c r="AU7" s="7">
        <v>-0.4107</v>
      </c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0.4916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91</v>
      </c>
      <c r="BK7" s="8">
        <v>7640.71</v>
      </c>
      <c r="BL7" s="2" t="s">
        <v>117</v>
      </c>
      <c r="BM7" s="7">
        <v>0.3626</v>
      </c>
      <c r="BN7" s="7">
        <v>0.417</v>
      </c>
      <c r="BO7" s="4">
        <v>33</v>
      </c>
      <c r="BP7" s="8">
        <v>3186.48</v>
      </c>
      <c r="BQ7" s="4">
        <v>56</v>
      </c>
      <c r="BR7" s="8">
        <v>5407.36</v>
      </c>
      <c r="BS7" s="7">
        <v>-0.4107</v>
      </c>
      <c r="BT7" s="7">
        <v>-0.4107</v>
      </c>
      <c r="BU7" s="2" t="s">
        <v>109</v>
      </c>
      <c r="BV7" s="2" t="s">
        <v>97</v>
      </c>
      <c r="BW7" s="2" t="s">
        <v>115</v>
      </c>
      <c r="BX7" s="2" t="s">
        <v>118</v>
      </c>
      <c r="BY7" s="2" t="s">
        <v>112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70.38</v>
      </c>
      <c r="M8" s="3">
        <v>73.9</v>
      </c>
      <c r="N8" s="3">
        <v>159.99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100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115</v>
      </c>
      <c r="Z8" s="4">
        <v>498</v>
      </c>
      <c r="AA8" s="4">
        <f>=ROUNDDOWN(49.8,0)</f>
      </c>
      <c r="AB8" s="5">
        <v>10</v>
      </c>
      <c r="AC8" s="2" t="s">
        <v>121</v>
      </c>
      <c r="AD8" s="4">
        <v>50</v>
      </c>
      <c r="AE8" s="4">
        <v>50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>
        <v>9</v>
      </c>
      <c r="AQ8" s="8">
        <v>869.04</v>
      </c>
      <c r="AR8" s="4">
        <v>17</v>
      </c>
      <c r="AS8" s="8">
        <v>1641.52</v>
      </c>
      <c r="AT8" s="7">
        <v>-0.4706</v>
      </c>
      <c r="AU8" s="7">
        <v>-0.4706</v>
      </c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0.1341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35</v>
      </c>
      <c r="BK8" s="8">
        <v>2881.65</v>
      </c>
      <c r="BL8" s="2" t="s">
        <v>122</v>
      </c>
      <c r="BM8" s="7">
        <v>0.2571</v>
      </c>
      <c r="BN8" s="7">
        <v>0.3016</v>
      </c>
      <c r="BO8" s="4">
        <v>9</v>
      </c>
      <c r="BP8" s="8">
        <v>869.04</v>
      </c>
      <c r="BQ8" s="4">
        <v>17</v>
      </c>
      <c r="BR8" s="8">
        <v>1641.52</v>
      </c>
      <c r="BS8" s="7">
        <v>-0.4706</v>
      </c>
      <c r="BT8" s="7">
        <v>-0.4706</v>
      </c>
      <c r="BU8" s="2" t="s">
        <v>109</v>
      </c>
      <c r="BV8" s="2" t="s">
        <v>97</v>
      </c>
      <c r="BW8" s="2" t="s">
        <v>115</v>
      </c>
      <c r="BX8" s="2" t="s">
        <v>123</v>
      </c>
      <c r="BY8" s="2" t="s">
        <v>112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62.1</v>
      </c>
      <c r="M9" s="3">
        <v>65.2</v>
      </c>
      <c r="N9" s="3">
        <v>139.99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100</v>
      </c>
      <c r="U9" s="2" t="s">
        <v>102</v>
      </c>
      <c r="V9" s="2" t="s">
        <v>103</v>
      </c>
      <c r="W9" s="2" t="s">
        <v>104</v>
      </c>
      <c r="X9" s="2" t="s">
        <v>128</v>
      </c>
      <c r="Y9" s="2" t="s">
        <v>129</v>
      </c>
      <c r="Z9" s="4">
        <v>705</v>
      </c>
      <c r="AA9" s="4">
        <f>=ROUNDDOWN(50.3571428571429,0)</f>
      </c>
      <c r="AB9" s="5">
        <v>14</v>
      </c>
      <c r="AC9" s="2" t="s">
        <v>116</v>
      </c>
      <c r="AD9" s="4">
        <v>250</v>
      </c>
      <c r="AE9" s="4">
        <v>250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>
        <v>19</v>
      </c>
      <c r="AQ9" s="8">
        <v>1589.92</v>
      </c>
      <c r="AR9" s="4">
        <v>51</v>
      </c>
      <c r="AS9" s="8">
        <v>4267.68</v>
      </c>
      <c r="AT9" s="7">
        <v>-0.6275</v>
      </c>
      <c r="AU9" s="7">
        <v>-0.6275</v>
      </c>
      <c r="AV9" s="4">
        <v>40</v>
      </c>
      <c r="AW9" s="8">
        <v>3617.68</v>
      </c>
      <c r="AX9" s="4">
        <v>108</v>
      </c>
      <c r="AY9" s="8">
        <v>9771.6</v>
      </c>
      <c r="AZ9" s="7">
        <v>-0.6296</v>
      </c>
      <c r="BA9" s="7">
        <v>-0.6298</v>
      </c>
      <c r="BB9" s="7">
        <v>0.4395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0.3066</v>
      </c>
      <c r="BJ9" s="4">
        <v>76</v>
      </c>
      <c r="BK9" s="8">
        <v>5756.23</v>
      </c>
      <c r="BL9" s="2" t="s">
        <v>130</v>
      </c>
      <c r="BM9" s="7">
        <v>0.25</v>
      </c>
      <c r="BN9" s="7">
        <v>0.2762</v>
      </c>
      <c r="BO9" s="4">
        <v>19</v>
      </c>
      <c r="BP9" s="8">
        <v>1589.92</v>
      </c>
      <c r="BQ9" s="4">
        <v>51</v>
      </c>
      <c r="BR9" s="8">
        <v>4267.68</v>
      </c>
      <c r="BS9" s="7">
        <v>-0.6275</v>
      </c>
      <c r="BT9" s="7">
        <v>-0.6275</v>
      </c>
      <c r="BU9" s="2" t="s">
        <v>109</v>
      </c>
      <c r="BV9" s="2" t="s">
        <v>97</v>
      </c>
      <c r="BW9" s="2" t="s">
        <v>131</v>
      </c>
      <c r="BX9" s="2" t="s">
        <v>132</v>
      </c>
      <c r="BY9" s="2" t="s">
        <v>112</v>
      </c>
      <c r="BZ9" s="2" t="s">
        <v>100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114</v>
      </c>
      <c r="K10" s="2" t="s">
        <v>125</v>
      </c>
      <c r="L10" s="3">
        <v>70.38</v>
      </c>
      <c r="M10" s="3">
        <v>73.9</v>
      </c>
      <c r="N10" s="3">
        <v>159.99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100</v>
      </c>
      <c r="U10" s="2" t="s">
        <v>102</v>
      </c>
      <c r="V10" s="2" t="s">
        <v>103</v>
      </c>
      <c r="W10" s="2" t="s">
        <v>104</v>
      </c>
      <c r="X10" s="2" t="s">
        <v>128</v>
      </c>
      <c r="Y10" s="2" t="s">
        <v>129</v>
      </c>
      <c r="Z10" s="4">
        <v>917</v>
      </c>
      <c r="AA10" s="4">
        <f>=ROUNDDOWN(61.1333333333333,0)</f>
      </c>
      <c r="AB10" s="5">
        <v>15</v>
      </c>
      <c r="AC10" s="2" t="s">
        <v>100</v>
      </c>
      <c r="AD10" s="4"/>
      <c r="AE10" s="4"/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/>
      <c r="AP10" s="4">
        <v>15</v>
      </c>
      <c r="AQ10" s="8">
        <v>1448.4</v>
      </c>
      <c r="AR10" s="4">
        <v>51</v>
      </c>
      <c r="AS10" s="8">
        <v>4924.56</v>
      </c>
      <c r="AT10" s="7">
        <v>-0.7059</v>
      </c>
      <c r="AU10" s="7">
        <v>-0.7059</v>
      </c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0.4004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59</v>
      </c>
      <c r="BK10" s="8">
        <v>4911.14</v>
      </c>
      <c r="BL10" s="2" t="s">
        <v>134</v>
      </c>
      <c r="BM10" s="7">
        <v>0.2542</v>
      </c>
      <c r="BN10" s="7">
        <v>0.2949</v>
      </c>
      <c r="BO10" s="4">
        <v>15</v>
      </c>
      <c r="BP10" s="8">
        <v>1448.4</v>
      </c>
      <c r="BQ10" s="4">
        <v>51</v>
      </c>
      <c r="BR10" s="8">
        <v>4924.56</v>
      </c>
      <c r="BS10" s="7">
        <v>-0.7059</v>
      </c>
      <c r="BT10" s="7">
        <v>-0.7059</v>
      </c>
      <c r="BU10" s="2" t="s">
        <v>109</v>
      </c>
      <c r="BV10" s="2" t="s">
        <v>97</v>
      </c>
      <c r="BW10" s="2" t="s">
        <v>131</v>
      </c>
      <c r="BX10" s="2" t="s">
        <v>135</v>
      </c>
      <c r="BY10" s="2" t="s">
        <v>112</v>
      </c>
      <c r="BZ10" s="2" t="s">
        <v>100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125</v>
      </c>
      <c r="L11" s="3">
        <v>70.38</v>
      </c>
      <c r="M11" s="3">
        <v>73.9</v>
      </c>
      <c r="N11" s="3">
        <v>159.99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100</v>
      </c>
      <c r="U11" s="2" t="s">
        <v>102</v>
      </c>
      <c r="V11" s="2" t="s">
        <v>103</v>
      </c>
      <c r="W11" s="2" t="s">
        <v>104</v>
      </c>
      <c r="X11" s="2" t="s">
        <v>128</v>
      </c>
      <c r="Y11" s="2" t="s">
        <v>129</v>
      </c>
      <c r="Z11" s="4">
        <v>327</v>
      </c>
      <c r="AA11" s="4">
        <f>=ROUNDDOWN(46.7142857142857,0)</f>
      </c>
      <c r="AB11" s="5">
        <v>7</v>
      </c>
      <c r="AC11" s="2" t="s">
        <v>116</v>
      </c>
      <c r="AD11" s="4">
        <v>100</v>
      </c>
      <c r="AE11" s="4">
        <v>100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/>
      <c r="AP11" s="4">
        <v>6</v>
      </c>
      <c r="AQ11" s="8">
        <v>579.36</v>
      </c>
      <c r="AR11" s="4">
        <v>6</v>
      </c>
      <c r="AS11" s="8">
        <v>579.36</v>
      </c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0.1601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24</v>
      </c>
      <c r="BK11" s="8">
        <v>1962.23</v>
      </c>
      <c r="BL11" s="2" t="s">
        <v>137</v>
      </c>
      <c r="BM11" s="7">
        <v>0.25</v>
      </c>
      <c r="BN11" s="7">
        <v>0.2953</v>
      </c>
      <c r="BO11" s="4">
        <v>6</v>
      </c>
      <c r="BP11" s="8">
        <v>579.36</v>
      </c>
      <c r="BQ11" s="4">
        <v>6</v>
      </c>
      <c r="BR11" s="8">
        <v>579.36</v>
      </c>
      <c r="BS11" s="7"/>
      <c r="BT11" s="7"/>
      <c r="BU11" s="2" t="s">
        <v>109</v>
      </c>
      <c r="BV11" s="2" t="s">
        <v>97</v>
      </c>
      <c r="BW11" s="2" t="s">
        <v>131</v>
      </c>
      <c r="BX11" s="2" t="s">
        <v>138</v>
      </c>
      <c r="BY11" s="2" t="s">
        <v>112</v>
      </c>
      <c r="BZ11" s="2" t="s">
        <v>100</v>
      </c>
    </row>
    <row r="12">
      <c r="A12" s="2" t="s">
        <v>139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140</v>
      </c>
      <c r="L12" s="3">
        <v>62.1</v>
      </c>
      <c r="M12" s="3">
        <v>65.2</v>
      </c>
      <c r="N12" s="3">
        <v>139.99</v>
      </c>
      <c r="O12" s="2" t="s">
        <v>97</v>
      </c>
      <c r="P12" s="2" t="s">
        <v>141</v>
      </c>
      <c r="Q12" s="2" t="s">
        <v>99</v>
      </c>
      <c r="R12" s="2" t="s">
        <v>100</v>
      </c>
      <c r="S12" s="2" t="s">
        <v>142</v>
      </c>
      <c r="T12" s="2" t="s">
        <v>100</v>
      </c>
      <c r="U12" s="2" t="s">
        <v>102</v>
      </c>
      <c r="V12" s="2" t="s">
        <v>103</v>
      </c>
      <c r="W12" s="2" t="s">
        <v>104</v>
      </c>
      <c r="X12" s="2" t="s">
        <v>105</v>
      </c>
      <c r="Y12" s="2" t="s">
        <v>143</v>
      </c>
      <c r="Z12" s="4">
        <v>514</v>
      </c>
      <c r="AA12" s="4">
        <f>=ROUNDDOWN(57.1111111111111,0)</f>
      </c>
      <c r="AB12" s="5">
        <v>9</v>
      </c>
      <c r="AC12" s="2" t="s">
        <v>100</v>
      </c>
      <c r="AD12" s="4"/>
      <c r="AE12" s="4"/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/>
      <c r="AP12" s="4">
        <v>3</v>
      </c>
      <c r="AQ12" s="8">
        <v>251.04</v>
      </c>
      <c r="AR12" s="4">
        <v>12</v>
      </c>
      <c r="AS12" s="8">
        <v>1004.16</v>
      </c>
      <c r="AT12" s="7">
        <v>-0.75</v>
      </c>
      <c r="AU12" s="7">
        <v>-0.75</v>
      </c>
      <c r="AV12" s="4">
        <v>18</v>
      </c>
      <c r="AW12" s="8">
        <v>1699.44</v>
      </c>
      <c r="AX12" s="4">
        <v>31</v>
      </c>
      <c r="AY12" s="8">
        <v>2838.8</v>
      </c>
      <c r="AZ12" s="7">
        <v>-0.4194</v>
      </c>
      <c r="BA12" s="7">
        <v>-0.4014</v>
      </c>
      <c r="BB12" s="7">
        <v>0.1477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0.144</v>
      </c>
      <c r="BJ12" s="4">
        <v>41</v>
      </c>
      <c r="BK12" s="8">
        <v>2854.34</v>
      </c>
      <c r="BL12" s="2" t="s">
        <v>144</v>
      </c>
      <c r="BM12" s="7">
        <v>0.0732</v>
      </c>
      <c r="BN12" s="7">
        <v>0.088</v>
      </c>
      <c r="BO12" s="4">
        <v>3</v>
      </c>
      <c r="BP12" s="8">
        <v>251.04</v>
      </c>
      <c r="BQ12" s="4">
        <v>12</v>
      </c>
      <c r="BR12" s="8">
        <v>1004.16</v>
      </c>
      <c r="BS12" s="7">
        <v>-0.75</v>
      </c>
      <c r="BT12" s="7">
        <v>-0.75</v>
      </c>
      <c r="BU12" s="2" t="s">
        <v>109</v>
      </c>
      <c r="BV12" s="2" t="s">
        <v>97</v>
      </c>
      <c r="BW12" s="2" t="s">
        <v>143</v>
      </c>
      <c r="BX12" s="2" t="s">
        <v>145</v>
      </c>
      <c r="BY12" s="2" t="s">
        <v>112</v>
      </c>
      <c r="BZ12" s="2" t="s">
        <v>100</v>
      </c>
    </row>
    <row r="13">
      <c r="A13" s="2" t="s">
        <v>146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114</v>
      </c>
      <c r="K13" s="2" t="s">
        <v>140</v>
      </c>
      <c r="L13" s="3">
        <v>70.38</v>
      </c>
      <c r="M13" s="3">
        <v>73.9</v>
      </c>
      <c r="N13" s="3">
        <v>159.99</v>
      </c>
      <c r="O13" s="2" t="s">
        <v>97</v>
      </c>
      <c r="P13" s="2" t="s">
        <v>141</v>
      </c>
      <c r="Q13" s="2" t="s">
        <v>99</v>
      </c>
      <c r="R13" s="2" t="s">
        <v>100</v>
      </c>
      <c r="S13" s="2" t="s">
        <v>142</v>
      </c>
      <c r="T13" s="2" t="s">
        <v>100</v>
      </c>
      <c r="U13" s="2" t="s">
        <v>102</v>
      </c>
      <c r="V13" s="2" t="s">
        <v>103</v>
      </c>
      <c r="W13" s="2" t="s">
        <v>104</v>
      </c>
      <c r="X13" s="2" t="s">
        <v>105</v>
      </c>
      <c r="Y13" s="2" t="s">
        <v>143</v>
      </c>
      <c r="Z13" s="4">
        <v>362</v>
      </c>
      <c r="AA13" s="4">
        <f>=ROUNDDOWN(40.2222222222222,0)</f>
      </c>
      <c r="AB13" s="5">
        <v>9</v>
      </c>
      <c r="AC13" s="2" t="s">
        <v>100</v>
      </c>
      <c r="AD13" s="4"/>
      <c r="AE13" s="4"/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/>
      <c r="AP13" s="4">
        <v>7</v>
      </c>
      <c r="AQ13" s="8">
        <v>675.92</v>
      </c>
      <c r="AR13" s="4">
        <v>14</v>
      </c>
      <c r="AS13" s="8">
        <v>1351.84</v>
      </c>
      <c r="AT13" s="7">
        <v>-0.5</v>
      </c>
      <c r="AU13" s="7">
        <v>-0.5</v>
      </c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0.3977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42</v>
      </c>
      <c r="BK13" s="8">
        <v>3360.75</v>
      </c>
      <c r="BL13" s="2" t="s">
        <v>147</v>
      </c>
      <c r="BM13" s="7">
        <v>0.1667</v>
      </c>
      <c r="BN13" s="7">
        <v>0.2011</v>
      </c>
      <c r="BO13" s="4">
        <v>7</v>
      </c>
      <c r="BP13" s="8">
        <v>675.92</v>
      </c>
      <c r="BQ13" s="4">
        <v>14</v>
      </c>
      <c r="BR13" s="8">
        <v>1351.84</v>
      </c>
      <c r="BS13" s="7">
        <v>-0.5</v>
      </c>
      <c r="BT13" s="7">
        <v>-0.5</v>
      </c>
      <c r="BU13" s="2" t="s">
        <v>109</v>
      </c>
      <c r="BV13" s="2" t="s">
        <v>97</v>
      </c>
      <c r="BW13" s="2" t="s">
        <v>143</v>
      </c>
      <c r="BX13" s="2" t="s">
        <v>148</v>
      </c>
      <c r="BY13" s="2" t="s">
        <v>112</v>
      </c>
      <c r="BZ13" s="2" t="s">
        <v>100</v>
      </c>
    </row>
    <row r="14">
      <c r="A14" s="2" t="s">
        <v>149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140</v>
      </c>
      <c r="L14" s="3">
        <v>70.38</v>
      </c>
      <c r="M14" s="3">
        <v>73.9</v>
      </c>
      <c r="N14" s="3">
        <v>159.99</v>
      </c>
      <c r="O14" s="2" t="s">
        <v>97</v>
      </c>
      <c r="P14" s="2" t="s">
        <v>141</v>
      </c>
      <c r="Q14" s="2" t="s">
        <v>99</v>
      </c>
      <c r="R14" s="2" t="s">
        <v>100</v>
      </c>
      <c r="S14" s="2" t="s">
        <v>142</v>
      </c>
      <c r="T14" s="2" t="s">
        <v>100</v>
      </c>
      <c r="U14" s="2" t="s">
        <v>102</v>
      </c>
      <c r="V14" s="2" t="s">
        <v>103</v>
      </c>
      <c r="W14" s="2" t="s">
        <v>104</v>
      </c>
      <c r="X14" s="2" t="s">
        <v>105</v>
      </c>
      <c r="Y14" s="2" t="s">
        <v>143</v>
      </c>
      <c r="Z14" s="4">
        <v>158</v>
      </c>
      <c r="AA14" s="4">
        <f>=ROUNDDOWN(52.6666666666667,0)</f>
      </c>
      <c r="AB14" s="5">
        <v>3</v>
      </c>
      <c r="AC14" s="2" t="s">
        <v>100</v>
      </c>
      <c r="AD14" s="4"/>
      <c r="AE14" s="4"/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/>
      <c r="AP14" s="4">
        <v>8</v>
      </c>
      <c r="AQ14" s="8">
        <v>772.48</v>
      </c>
      <c r="AR14" s="4">
        <v>5</v>
      </c>
      <c r="AS14" s="8">
        <v>482.8</v>
      </c>
      <c r="AT14" s="7">
        <v>0.6</v>
      </c>
      <c r="AU14" s="7">
        <v>0.6</v>
      </c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0.4545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16</v>
      </c>
      <c r="BK14" s="8">
        <v>1423.58</v>
      </c>
      <c r="BL14" s="2" t="s">
        <v>150</v>
      </c>
      <c r="BM14" s="7">
        <v>0.5</v>
      </c>
      <c r="BN14" s="7">
        <v>0.5426</v>
      </c>
      <c r="BO14" s="4">
        <v>8</v>
      </c>
      <c r="BP14" s="8">
        <v>772.48</v>
      </c>
      <c r="BQ14" s="4">
        <v>5</v>
      </c>
      <c r="BR14" s="8">
        <v>482.8</v>
      </c>
      <c r="BS14" s="7">
        <v>0.6</v>
      </c>
      <c r="BT14" s="7">
        <v>0.6</v>
      </c>
      <c r="BU14" s="2" t="s">
        <v>109</v>
      </c>
      <c r="BV14" s="2" t="s">
        <v>97</v>
      </c>
      <c r="BW14" s="2" t="s">
        <v>143</v>
      </c>
      <c r="BX14" s="2" t="s">
        <v>151</v>
      </c>
      <c r="BY14" s="2" t="s">
        <v>112</v>
      </c>
      <c r="BZ14" s="2" t="s">
        <v>100</v>
      </c>
    </row>
    <row r="15">
      <c r="A15" s="2" t="s">
        <v>152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153</v>
      </c>
      <c r="G15" s="2" t="s">
        <v>154</v>
      </c>
      <c r="H15" s="2" t="s">
        <v>155</v>
      </c>
      <c r="I15" s="2" t="s">
        <v>156</v>
      </c>
      <c r="J15" s="2" t="s">
        <v>157</v>
      </c>
      <c r="K15" s="2" t="s">
        <v>158</v>
      </c>
      <c r="L15" s="3">
        <v>56.87</v>
      </c>
      <c r="M15" s="3">
        <v>59.71</v>
      </c>
      <c r="N15" s="3">
        <v>119.99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159</v>
      </c>
      <c r="T15" s="2" t="s">
        <v>100</v>
      </c>
      <c r="U15" s="2" t="s">
        <v>102</v>
      </c>
      <c r="V15" s="2" t="s">
        <v>160</v>
      </c>
      <c r="W15" s="2" t="s">
        <v>104</v>
      </c>
      <c r="X15" s="2" t="s">
        <v>161</v>
      </c>
      <c r="Y15" s="2" t="s">
        <v>129</v>
      </c>
      <c r="Z15" s="4">
        <v>270</v>
      </c>
      <c r="AA15" s="4">
        <f>=ROUNDDOWN(24.5454545454545,0)</f>
      </c>
      <c r="AB15" s="5">
        <v>11</v>
      </c>
      <c r="AC15" s="2" t="s">
        <v>162</v>
      </c>
      <c r="AD15" s="4">
        <v>30</v>
      </c>
      <c r="AE15" s="4">
        <v>30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>
        <v>8</v>
      </c>
      <c r="AQ15" s="8">
        <v>518.56</v>
      </c>
      <c r="AR15" s="4">
        <v>18</v>
      </c>
      <c r="AS15" s="8">
        <v>1166.76</v>
      </c>
      <c r="AT15" s="7">
        <v>-0.5556</v>
      </c>
      <c r="AU15" s="7">
        <v>-0.5556</v>
      </c>
      <c r="AV15" s="4">
        <v>59</v>
      </c>
      <c r="AW15" s="8">
        <v>4482.76</v>
      </c>
      <c r="AX15" s="4">
        <v>140</v>
      </c>
      <c r="AY15" s="8">
        <v>10692.6</v>
      </c>
      <c r="AZ15" s="7">
        <v>-0.5786</v>
      </c>
      <c r="BA15" s="7">
        <v>-0.5808</v>
      </c>
      <c r="BB15" s="7">
        <v>0.1157</v>
      </c>
      <c r="BC15" s="4">
        <v>140</v>
      </c>
      <c r="BD15" s="8">
        <v>10610.94</v>
      </c>
      <c r="BE15" s="4">
        <v>291</v>
      </c>
      <c r="BF15" s="8">
        <v>22355.32</v>
      </c>
      <c r="BG15" s="7">
        <v>-0.5189</v>
      </c>
      <c r="BH15" s="7">
        <v>-0.5254</v>
      </c>
      <c r="BI15" s="7">
        <v>0.4225</v>
      </c>
      <c r="BJ15" s="4">
        <v>64</v>
      </c>
      <c r="BK15" s="8">
        <v>4144.79</v>
      </c>
      <c r="BL15" s="2" t="s">
        <v>163</v>
      </c>
      <c r="BM15" s="7">
        <v>0.125</v>
      </c>
      <c r="BN15" s="7">
        <v>0.1251</v>
      </c>
      <c r="BO15" s="4">
        <v>8</v>
      </c>
      <c r="BP15" s="8">
        <v>518.56</v>
      </c>
      <c r="BQ15" s="4">
        <v>18</v>
      </c>
      <c r="BR15" s="8">
        <v>1166.76</v>
      </c>
      <c r="BS15" s="7">
        <v>-0.5556</v>
      </c>
      <c r="BT15" s="7">
        <v>-0.5556</v>
      </c>
      <c r="BU15" s="2" t="s">
        <v>109</v>
      </c>
      <c r="BV15" s="2" t="s">
        <v>97</v>
      </c>
      <c r="BW15" s="2" t="s">
        <v>164</v>
      </c>
      <c r="BX15" s="2" t="s">
        <v>165</v>
      </c>
      <c r="BY15" s="2" t="s">
        <v>112</v>
      </c>
      <c r="BZ15" s="2" t="s">
        <v>100</v>
      </c>
    </row>
    <row r="16">
      <c r="A16" s="2" t="s">
        <v>166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153</v>
      </c>
      <c r="G16" s="2" t="s">
        <v>154</v>
      </c>
      <c r="H16" s="2" t="s">
        <v>155</v>
      </c>
      <c r="I16" s="2" t="s">
        <v>156</v>
      </c>
      <c r="J16" s="2" t="s">
        <v>95</v>
      </c>
      <c r="K16" s="2" t="s">
        <v>158</v>
      </c>
      <c r="L16" s="3">
        <v>62.6</v>
      </c>
      <c r="M16" s="3">
        <v>65.73</v>
      </c>
      <c r="N16" s="3">
        <v>129.99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159</v>
      </c>
      <c r="T16" s="2" t="s">
        <v>100</v>
      </c>
      <c r="U16" s="2" t="s">
        <v>102</v>
      </c>
      <c r="V16" s="2" t="s">
        <v>160</v>
      </c>
      <c r="W16" s="2" t="s">
        <v>104</v>
      </c>
      <c r="X16" s="2" t="s">
        <v>161</v>
      </c>
      <c r="Y16" s="2" t="s">
        <v>129</v>
      </c>
      <c r="Z16" s="4">
        <v>562</v>
      </c>
      <c r="AA16" s="4">
        <f>=ROUNDDOWN(10.6037735849057,0)</f>
      </c>
      <c r="AB16" s="5">
        <v>53</v>
      </c>
      <c r="AC16" s="2" t="s">
        <v>162</v>
      </c>
      <c r="AD16" s="4">
        <v>200</v>
      </c>
      <c r="AE16" s="4">
        <v>650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>
        <v>24</v>
      </c>
      <c r="AQ16" s="8">
        <v>1705.92</v>
      </c>
      <c r="AR16" s="4">
        <v>54</v>
      </c>
      <c r="AS16" s="8">
        <v>3838.32</v>
      </c>
      <c r="AT16" s="7">
        <v>-0.5556</v>
      </c>
      <c r="AU16" s="7">
        <v>-0.5556</v>
      </c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0.3806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543</v>
      </c>
      <c r="BK16" s="8">
        <v>37097.46</v>
      </c>
      <c r="BL16" s="2" t="s">
        <v>167</v>
      </c>
      <c r="BM16" s="7">
        <v>0.0442</v>
      </c>
      <c r="BN16" s="7">
        <v>0.046</v>
      </c>
      <c r="BO16" s="4">
        <v>24</v>
      </c>
      <c r="BP16" s="8">
        <v>1705.92</v>
      </c>
      <c r="BQ16" s="4">
        <v>54</v>
      </c>
      <c r="BR16" s="8">
        <v>3838.32</v>
      </c>
      <c r="BS16" s="7">
        <v>-0.5556</v>
      </c>
      <c r="BT16" s="7">
        <v>-0.5556</v>
      </c>
      <c r="BU16" s="2" t="s">
        <v>109</v>
      </c>
      <c r="BV16" s="2" t="s">
        <v>97</v>
      </c>
      <c r="BW16" s="2" t="s">
        <v>164</v>
      </c>
      <c r="BX16" s="2" t="s">
        <v>168</v>
      </c>
      <c r="BY16" s="2" t="s">
        <v>112</v>
      </c>
      <c r="BZ16" s="2" t="s">
        <v>100</v>
      </c>
    </row>
    <row r="17">
      <c r="A17" s="2" t="s">
        <v>169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153</v>
      </c>
      <c r="G17" s="2" t="s">
        <v>154</v>
      </c>
      <c r="H17" s="2" t="s">
        <v>155</v>
      </c>
      <c r="I17" s="2" t="s">
        <v>156</v>
      </c>
      <c r="J17" s="2" t="s">
        <v>114</v>
      </c>
      <c r="K17" s="2" t="s">
        <v>158</v>
      </c>
      <c r="L17" s="3">
        <v>71.53</v>
      </c>
      <c r="M17" s="3">
        <v>75.11</v>
      </c>
      <c r="N17" s="3">
        <v>149.99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159</v>
      </c>
      <c r="T17" s="2" t="s">
        <v>100</v>
      </c>
      <c r="U17" s="2" t="s">
        <v>102</v>
      </c>
      <c r="V17" s="2" t="s">
        <v>160</v>
      </c>
      <c r="W17" s="2" t="s">
        <v>104</v>
      </c>
      <c r="X17" s="2" t="s">
        <v>161</v>
      </c>
      <c r="Y17" s="2" t="s">
        <v>129</v>
      </c>
      <c r="Z17" s="4">
        <v>934</v>
      </c>
      <c r="AA17" s="4">
        <f>=ROUNDDOWN(23.9487179487179,0)</f>
      </c>
      <c r="AB17" s="5">
        <v>39</v>
      </c>
      <c r="AC17" s="2" t="s">
        <v>170</v>
      </c>
      <c r="AD17" s="4">
        <v>3400</v>
      </c>
      <c r="AE17" s="4">
        <v>3400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>
        <v>18</v>
      </c>
      <c r="AQ17" s="8">
        <v>1505.52</v>
      </c>
      <c r="AR17" s="4">
        <v>37</v>
      </c>
      <c r="AS17" s="8">
        <v>3094.68</v>
      </c>
      <c r="AT17" s="7">
        <v>-0.5135</v>
      </c>
      <c r="AU17" s="7">
        <v>-0.5135</v>
      </c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0.3358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166</v>
      </c>
      <c r="BK17" s="8">
        <v>12601.29</v>
      </c>
      <c r="BL17" s="2" t="s">
        <v>171</v>
      </c>
      <c r="BM17" s="7">
        <v>0.1084</v>
      </c>
      <c r="BN17" s="7">
        <v>0.1195</v>
      </c>
      <c r="BO17" s="4">
        <v>18</v>
      </c>
      <c r="BP17" s="8">
        <v>1505.52</v>
      </c>
      <c r="BQ17" s="4">
        <v>37</v>
      </c>
      <c r="BR17" s="8">
        <v>3094.68</v>
      </c>
      <c r="BS17" s="7">
        <v>-0.5135</v>
      </c>
      <c r="BT17" s="7">
        <v>-0.5135</v>
      </c>
      <c r="BU17" s="2" t="s">
        <v>109</v>
      </c>
      <c r="BV17" s="2" t="s">
        <v>97</v>
      </c>
      <c r="BW17" s="2" t="s">
        <v>164</v>
      </c>
      <c r="BX17" s="2" t="s">
        <v>172</v>
      </c>
      <c r="BY17" s="2" t="s">
        <v>112</v>
      </c>
      <c r="BZ17" s="2" t="s">
        <v>100</v>
      </c>
    </row>
    <row r="18">
      <c r="A18" s="2" t="s">
        <v>173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153</v>
      </c>
      <c r="G18" s="2" t="s">
        <v>154</v>
      </c>
      <c r="H18" s="2" t="s">
        <v>155</v>
      </c>
      <c r="I18" s="2" t="s">
        <v>156</v>
      </c>
      <c r="J18" s="2" t="s">
        <v>120</v>
      </c>
      <c r="K18" s="2" t="s">
        <v>158</v>
      </c>
      <c r="L18" s="3">
        <v>71.53</v>
      </c>
      <c r="M18" s="3">
        <v>75.11</v>
      </c>
      <c r="N18" s="3">
        <v>149.99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159</v>
      </c>
      <c r="T18" s="2" t="s">
        <v>100</v>
      </c>
      <c r="U18" s="2" t="s">
        <v>102</v>
      </c>
      <c r="V18" s="2" t="s">
        <v>160</v>
      </c>
      <c r="W18" s="2" t="s">
        <v>104</v>
      </c>
      <c r="X18" s="2" t="s">
        <v>161</v>
      </c>
      <c r="Y18" s="2" t="s">
        <v>129</v>
      </c>
      <c r="Z18" s="4">
        <v>635</v>
      </c>
      <c r="AA18" s="4">
        <f>=ROUNDDOWN(28.8636363636364,0)</f>
      </c>
      <c r="AB18" s="5">
        <v>22</v>
      </c>
      <c r="AC18" s="2" t="s">
        <v>170</v>
      </c>
      <c r="AD18" s="4">
        <v>1650</v>
      </c>
      <c r="AE18" s="4">
        <v>1650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>
        <v>9</v>
      </c>
      <c r="AQ18" s="8">
        <v>752.76</v>
      </c>
      <c r="AR18" s="4">
        <v>31</v>
      </c>
      <c r="AS18" s="8">
        <v>2592.84</v>
      </c>
      <c r="AT18" s="7">
        <v>-0.7097</v>
      </c>
      <c r="AU18" s="7">
        <v>-0.7097</v>
      </c>
      <c r="AV18" s="4" t="s">
        <v>100</v>
      </c>
      <c r="AW18" s="8" t="s">
        <v>100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0.1679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 t="s">
        <v>100</v>
      </c>
      <c r="BJ18" s="4">
        <v>127</v>
      </c>
      <c r="BK18" s="8">
        <v>9997.26</v>
      </c>
      <c r="BL18" s="2" t="s">
        <v>174</v>
      </c>
      <c r="BM18" s="7">
        <v>0.0709</v>
      </c>
      <c r="BN18" s="7">
        <v>0.0753</v>
      </c>
      <c r="BO18" s="4">
        <v>9</v>
      </c>
      <c r="BP18" s="8">
        <v>752.76</v>
      </c>
      <c r="BQ18" s="4">
        <v>31</v>
      </c>
      <c r="BR18" s="8">
        <v>2592.84</v>
      </c>
      <c r="BS18" s="7">
        <v>-0.7097</v>
      </c>
      <c r="BT18" s="7">
        <v>-0.7097</v>
      </c>
      <c r="BU18" s="2" t="s">
        <v>109</v>
      </c>
      <c r="BV18" s="2" t="s">
        <v>97</v>
      </c>
      <c r="BW18" s="2" t="s">
        <v>164</v>
      </c>
      <c r="BX18" s="2" t="s">
        <v>175</v>
      </c>
      <c r="BY18" s="2" t="s">
        <v>112</v>
      </c>
      <c r="BZ18" s="2" t="s">
        <v>100</v>
      </c>
    </row>
    <row r="19">
      <c r="A19" s="2" t="s">
        <v>176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153</v>
      </c>
      <c r="G19" s="2" t="s">
        <v>154</v>
      </c>
      <c r="H19" s="2" t="s">
        <v>155</v>
      </c>
      <c r="I19" s="2" t="s">
        <v>156</v>
      </c>
      <c r="J19" s="2" t="s">
        <v>95</v>
      </c>
      <c r="K19" s="2" t="s">
        <v>177</v>
      </c>
      <c r="L19" s="3">
        <v>62.6</v>
      </c>
      <c r="M19" s="3">
        <v>65.73</v>
      </c>
      <c r="N19" s="3">
        <v>129.99</v>
      </c>
      <c r="O19" s="2" t="s">
        <v>97</v>
      </c>
      <c r="P19" s="2" t="s">
        <v>126</v>
      </c>
      <c r="Q19" s="2" t="s">
        <v>99</v>
      </c>
      <c r="R19" s="2" t="s">
        <v>100</v>
      </c>
      <c r="S19" s="2" t="s">
        <v>178</v>
      </c>
      <c r="T19" s="2" t="s">
        <v>100</v>
      </c>
      <c r="U19" s="2" t="s">
        <v>102</v>
      </c>
      <c r="V19" s="2" t="s">
        <v>160</v>
      </c>
      <c r="W19" s="2" t="s">
        <v>104</v>
      </c>
      <c r="X19" s="2" t="s">
        <v>161</v>
      </c>
      <c r="Y19" s="2" t="s">
        <v>129</v>
      </c>
      <c r="Z19" s="4">
        <v>1047</v>
      </c>
      <c r="AA19" s="4">
        <f>=ROUNDDOWN(41.88,0)</f>
      </c>
      <c r="AB19" s="5">
        <v>25</v>
      </c>
      <c r="AC19" s="2" t="s">
        <v>179</v>
      </c>
      <c r="AD19" s="4">
        <v>50</v>
      </c>
      <c r="AE19" s="4">
        <v>200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12</v>
      </c>
      <c r="AQ19" s="8">
        <v>852.96</v>
      </c>
      <c r="AR19" s="4">
        <v>15</v>
      </c>
      <c r="AS19" s="8">
        <v>1066.2</v>
      </c>
      <c r="AT19" s="7">
        <v>-0.2</v>
      </c>
      <c r="AU19" s="7">
        <v>-0.2</v>
      </c>
      <c r="AV19" s="4">
        <v>24</v>
      </c>
      <c r="AW19" s="8">
        <v>1856.64</v>
      </c>
      <c r="AX19" s="4">
        <v>37</v>
      </c>
      <c r="AY19" s="8">
        <v>2906.28</v>
      </c>
      <c r="AZ19" s="7">
        <v>-0.3514</v>
      </c>
      <c r="BA19" s="7">
        <v>-0.3612</v>
      </c>
      <c r="BB19" s="7">
        <v>0.4594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0.175</v>
      </c>
      <c r="BJ19" s="4">
        <v>109</v>
      </c>
      <c r="BK19" s="8">
        <v>7230.54</v>
      </c>
      <c r="BL19" s="2" t="s">
        <v>180</v>
      </c>
      <c r="BM19" s="7">
        <v>0.1101</v>
      </c>
      <c r="BN19" s="7">
        <v>0.118</v>
      </c>
      <c r="BO19" s="4">
        <v>12</v>
      </c>
      <c r="BP19" s="8">
        <v>852.96</v>
      </c>
      <c r="BQ19" s="4">
        <v>15</v>
      </c>
      <c r="BR19" s="8">
        <v>1066.2</v>
      </c>
      <c r="BS19" s="7">
        <v>-0.2</v>
      </c>
      <c r="BT19" s="7">
        <v>-0.2</v>
      </c>
      <c r="BU19" s="2" t="s">
        <v>109</v>
      </c>
      <c r="BV19" s="2" t="s">
        <v>97</v>
      </c>
      <c r="BW19" s="2" t="s">
        <v>181</v>
      </c>
      <c r="BX19" s="2" t="s">
        <v>182</v>
      </c>
      <c r="BY19" s="2" t="s">
        <v>112</v>
      </c>
      <c r="BZ19" s="2" t="s">
        <v>100</v>
      </c>
    </row>
    <row r="20">
      <c r="A20" s="2" t="s">
        <v>183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153</v>
      </c>
      <c r="G20" s="2" t="s">
        <v>154</v>
      </c>
      <c r="H20" s="2" t="s">
        <v>155</v>
      </c>
      <c r="I20" s="2" t="s">
        <v>156</v>
      </c>
      <c r="J20" s="2" t="s">
        <v>114</v>
      </c>
      <c r="K20" s="2" t="s">
        <v>177</v>
      </c>
      <c r="L20" s="3">
        <v>71.53</v>
      </c>
      <c r="M20" s="3">
        <v>75.11</v>
      </c>
      <c r="N20" s="3">
        <v>149.99</v>
      </c>
      <c r="O20" s="2" t="s">
        <v>97</v>
      </c>
      <c r="P20" s="2" t="s">
        <v>126</v>
      </c>
      <c r="Q20" s="2" t="s">
        <v>99</v>
      </c>
      <c r="R20" s="2" t="s">
        <v>100</v>
      </c>
      <c r="S20" s="2" t="s">
        <v>178</v>
      </c>
      <c r="T20" s="2" t="s">
        <v>100</v>
      </c>
      <c r="U20" s="2" t="s">
        <v>102</v>
      </c>
      <c r="V20" s="2" t="s">
        <v>160</v>
      </c>
      <c r="W20" s="2" t="s">
        <v>104</v>
      </c>
      <c r="X20" s="2" t="s">
        <v>161</v>
      </c>
      <c r="Y20" s="2" t="s">
        <v>129</v>
      </c>
      <c r="Z20" s="4">
        <v>530</v>
      </c>
      <c r="AA20" s="4">
        <f>=ROUNDDOWN(27.8947368421053,0)</f>
      </c>
      <c r="AB20" s="5">
        <v>19</v>
      </c>
      <c r="AC20" s="2" t="s">
        <v>184</v>
      </c>
      <c r="AD20" s="4">
        <v>50</v>
      </c>
      <c r="AE20" s="4">
        <v>380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>
        <v>8</v>
      </c>
      <c r="AQ20" s="8">
        <v>669.12</v>
      </c>
      <c r="AR20" s="4">
        <v>16</v>
      </c>
      <c r="AS20" s="8">
        <v>1338.24</v>
      </c>
      <c r="AT20" s="7">
        <v>-0.5</v>
      </c>
      <c r="AU20" s="7">
        <v>-0.5</v>
      </c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0.3604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125</v>
      </c>
      <c r="BK20" s="8">
        <v>9805.67</v>
      </c>
      <c r="BL20" s="2" t="s">
        <v>185</v>
      </c>
      <c r="BM20" s="7">
        <v>0.064</v>
      </c>
      <c r="BN20" s="7">
        <v>0.0682</v>
      </c>
      <c r="BO20" s="4">
        <v>8</v>
      </c>
      <c r="BP20" s="8">
        <v>669.12</v>
      </c>
      <c r="BQ20" s="4">
        <v>16</v>
      </c>
      <c r="BR20" s="8">
        <v>1338.24</v>
      </c>
      <c r="BS20" s="7">
        <v>-0.5</v>
      </c>
      <c r="BT20" s="7">
        <v>-0.5</v>
      </c>
      <c r="BU20" s="2" t="s">
        <v>109</v>
      </c>
      <c r="BV20" s="2" t="s">
        <v>97</v>
      </c>
      <c r="BW20" s="2" t="s">
        <v>181</v>
      </c>
      <c r="BX20" s="2" t="s">
        <v>135</v>
      </c>
      <c r="BY20" s="2" t="s">
        <v>112</v>
      </c>
      <c r="BZ20" s="2" t="s">
        <v>100</v>
      </c>
    </row>
    <row r="21">
      <c r="A21" s="2" t="s">
        <v>186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153</v>
      </c>
      <c r="G21" s="2" t="s">
        <v>154</v>
      </c>
      <c r="H21" s="2" t="s">
        <v>155</v>
      </c>
      <c r="I21" s="2" t="s">
        <v>156</v>
      </c>
      <c r="J21" s="2" t="s">
        <v>120</v>
      </c>
      <c r="K21" s="2" t="s">
        <v>177</v>
      </c>
      <c r="L21" s="3">
        <v>71.53</v>
      </c>
      <c r="M21" s="3">
        <v>75.11</v>
      </c>
      <c r="N21" s="3">
        <v>149.99</v>
      </c>
      <c r="O21" s="2" t="s">
        <v>97</v>
      </c>
      <c r="P21" s="2" t="s">
        <v>126</v>
      </c>
      <c r="Q21" s="2" t="s">
        <v>99</v>
      </c>
      <c r="R21" s="2" t="s">
        <v>100</v>
      </c>
      <c r="S21" s="2" t="s">
        <v>178</v>
      </c>
      <c r="T21" s="2" t="s">
        <v>100</v>
      </c>
      <c r="U21" s="2" t="s">
        <v>102</v>
      </c>
      <c r="V21" s="2" t="s">
        <v>160</v>
      </c>
      <c r="W21" s="2" t="s">
        <v>104</v>
      </c>
      <c r="X21" s="2" t="s">
        <v>161</v>
      </c>
      <c r="Y21" s="2" t="s">
        <v>129</v>
      </c>
      <c r="Z21" s="4">
        <v>374</v>
      </c>
      <c r="AA21" s="4">
        <f>=ROUNDDOWN(31.1666666666667,0)</f>
      </c>
      <c r="AB21" s="5">
        <v>12</v>
      </c>
      <c r="AC21" s="2" t="s">
        <v>184</v>
      </c>
      <c r="AD21" s="4">
        <v>80</v>
      </c>
      <c r="AE21" s="4">
        <v>350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/>
      <c r="AP21" s="4">
        <v>4</v>
      </c>
      <c r="AQ21" s="8">
        <v>334.56</v>
      </c>
      <c r="AR21" s="4">
        <v>6</v>
      </c>
      <c r="AS21" s="8">
        <v>501.84</v>
      </c>
      <c r="AT21" s="7">
        <v>-0.3333</v>
      </c>
      <c r="AU21" s="7">
        <v>-0.3333</v>
      </c>
      <c r="AV21" s="4" t="s">
        <v>100</v>
      </c>
      <c r="AW21" s="8" t="s">
        <v>100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0.1802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 t="s">
        <v>100</v>
      </c>
      <c r="BJ21" s="4">
        <v>43</v>
      </c>
      <c r="BK21" s="8">
        <v>3279.64</v>
      </c>
      <c r="BL21" s="2" t="s">
        <v>187</v>
      </c>
      <c r="BM21" s="7">
        <v>0.093</v>
      </c>
      <c r="BN21" s="7">
        <v>0.102</v>
      </c>
      <c r="BO21" s="4">
        <v>4</v>
      </c>
      <c r="BP21" s="8">
        <v>334.56</v>
      </c>
      <c r="BQ21" s="4">
        <v>6</v>
      </c>
      <c r="BR21" s="8">
        <v>501.84</v>
      </c>
      <c r="BS21" s="7">
        <v>-0.3333</v>
      </c>
      <c r="BT21" s="7">
        <v>-0.3333</v>
      </c>
      <c r="BU21" s="2" t="s">
        <v>109</v>
      </c>
      <c r="BV21" s="2" t="s">
        <v>97</v>
      </c>
      <c r="BW21" s="2" t="s">
        <v>181</v>
      </c>
      <c r="BX21" s="2" t="s">
        <v>188</v>
      </c>
      <c r="BY21" s="2" t="s">
        <v>112</v>
      </c>
      <c r="BZ21" s="2" t="s">
        <v>100</v>
      </c>
    </row>
    <row r="22">
      <c r="A22" s="2" t="s">
        <v>189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153</v>
      </c>
      <c r="G22" s="2" t="s">
        <v>154</v>
      </c>
      <c r="H22" s="2" t="s">
        <v>155</v>
      </c>
      <c r="I22" s="2" t="s">
        <v>156</v>
      </c>
      <c r="J22" s="2" t="s">
        <v>157</v>
      </c>
      <c r="K22" s="2" t="s">
        <v>140</v>
      </c>
      <c r="L22" s="3">
        <v>56.87</v>
      </c>
      <c r="M22" s="3">
        <v>59.71</v>
      </c>
      <c r="N22" s="3">
        <v>119.99</v>
      </c>
      <c r="O22" s="2" t="s">
        <v>97</v>
      </c>
      <c r="P22" s="2" t="s">
        <v>126</v>
      </c>
      <c r="Q22" s="2" t="s">
        <v>99</v>
      </c>
      <c r="R22" s="2" t="s">
        <v>100</v>
      </c>
      <c r="S22" s="2" t="s">
        <v>190</v>
      </c>
      <c r="T22" s="2" t="s">
        <v>100</v>
      </c>
      <c r="U22" s="2" t="s">
        <v>102</v>
      </c>
      <c r="V22" s="2" t="s">
        <v>160</v>
      </c>
      <c r="W22" s="2" t="s">
        <v>104</v>
      </c>
      <c r="X22" s="2" t="s">
        <v>161</v>
      </c>
      <c r="Y22" s="2" t="s">
        <v>129</v>
      </c>
      <c r="Z22" s="4">
        <v>290</v>
      </c>
      <c r="AA22" s="4">
        <f>=ROUNDDOWN(58,0)</f>
      </c>
      <c r="AB22" s="5">
        <v>5</v>
      </c>
      <c r="AC22" s="2" t="s">
        <v>191</v>
      </c>
      <c r="AD22" s="4">
        <v>40</v>
      </c>
      <c r="AE22" s="4">
        <v>40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/>
      <c r="AP22" s="4">
        <v>7</v>
      </c>
      <c r="AQ22" s="8">
        <v>453.74</v>
      </c>
      <c r="AR22" s="4">
        <v>2</v>
      </c>
      <c r="AS22" s="8">
        <v>129.64</v>
      </c>
      <c r="AT22" s="7">
        <v>2.5</v>
      </c>
      <c r="AU22" s="7">
        <v>2.5</v>
      </c>
      <c r="AV22" s="4">
        <v>22</v>
      </c>
      <c r="AW22" s="8">
        <v>1595.3</v>
      </c>
      <c r="AX22" s="4">
        <v>23</v>
      </c>
      <c r="AY22" s="8">
        <v>1773.04</v>
      </c>
      <c r="AZ22" s="7">
        <v>-0.0435</v>
      </c>
      <c r="BA22" s="7">
        <v>-0.1002</v>
      </c>
      <c r="BB22" s="7">
        <v>0.2844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0.1503</v>
      </c>
      <c r="BJ22" s="4">
        <v>23</v>
      </c>
      <c r="BK22" s="8">
        <v>1463.95</v>
      </c>
      <c r="BL22" s="2" t="s">
        <v>192</v>
      </c>
      <c r="BM22" s="7">
        <v>0.3043</v>
      </c>
      <c r="BN22" s="7">
        <v>0.3099</v>
      </c>
      <c r="BO22" s="4">
        <v>7</v>
      </c>
      <c r="BP22" s="8">
        <v>453.74</v>
      </c>
      <c r="BQ22" s="4">
        <v>2</v>
      </c>
      <c r="BR22" s="8">
        <v>129.64</v>
      </c>
      <c r="BS22" s="7">
        <v>2.5</v>
      </c>
      <c r="BT22" s="7">
        <v>2.5</v>
      </c>
      <c r="BU22" s="2" t="s">
        <v>109</v>
      </c>
      <c r="BV22" s="2" t="s">
        <v>97</v>
      </c>
      <c r="BW22" s="2" t="s">
        <v>164</v>
      </c>
      <c r="BX22" s="2" t="s">
        <v>193</v>
      </c>
      <c r="BY22" s="2" t="s">
        <v>112</v>
      </c>
      <c r="BZ22" s="2" t="s">
        <v>100</v>
      </c>
    </row>
    <row r="23">
      <c r="A23" s="2" t="s">
        <v>194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153</v>
      </c>
      <c r="G23" s="2" t="s">
        <v>154</v>
      </c>
      <c r="H23" s="2" t="s">
        <v>155</v>
      </c>
      <c r="I23" s="2" t="s">
        <v>156</v>
      </c>
      <c r="J23" s="2" t="s">
        <v>95</v>
      </c>
      <c r="K23" s="2" t="s">
        <v>140</v>
      </c>
      <c r="L23" s="3">
        <v>62.6</v>
      </c>
      <c r="M23" s="3">
        <v>65.73</v>
      </c>
      <c r="N23" s="3">
        <v>129.99</v>
      </c>
      <c r="O23" s="2" t="s">
        <v>97</v>
      </c>
      <c r="P23" s="2" t="s">
        <v>126</v>
      </c>
      <c r="Q23" s="2" t="s">
        <v>99</v>
      </c>
      <c r="R23" s="2" t="s">
        <v>100</v>
      </c>
      <c r="S23" s="2" t="s">
        <v>190</v>
      </c>
      <c r="T23" s="2" t="s">
        <v>100</v>
      </c>
      <c r="U23" s="2" t="s">
        <v>102</v>
      </c>
      <c r="V23" s="2" t="s">
        <v>160</v>
      </c>
      <c r="W23" s="2" t="s">
        <v>104</v>
      </c>
      <c r="X23" s="2" t="s">
        <v>161</v>
      </c>
      <c r="Y23" s="2" t="s">
        <v>129</v>
      </c>
      <c r="Z23" s="4">
        <v>936</v>
      </c>
      <c r="AA23" s="4">
        <f>=ROUNDDOWN(44.5714285714286,0)</f>
      </c>
      <c r="AB23" s="5">
        <v>21</v>
      </c>
      <c r="AC23" s="2" t="s">
        <v>195</v>
      </c>
      <c r="AD23" s="4">
        <v>70</v>
      </c>
      <c r="AE23" s="4">
        <v>300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/>
      <c r="AP23" s="4">
        <v>9</v>
      </c>
      <c r="AQ23" s="8">
        <v>639.72</v>
      </c>
      <c r="AR23" s="4">
        <v>9</v>
      </c>
      <c r="AS23" s="8">
        <v>639.72</v>
      </c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0.401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103</v>
      </c>
      <c r="BK23" s="8">
        <v>6822.4</v>
      </c>
      <c r="BL23" s="2" t="s">
        <v>196</v>
      </c>
      <c r="BM23" s="7">
        <v>0.0874</v>
      </c>
      <c r="BN23" s="7">
        <v>0.0938</v>
      </c>
      <c r="BO23" s="4">
        <v>9</v>
      </c>
      <c r="BP23" s="8">
        <v>639.72</v>
      </c>
      <c r="BQ23" s="4">
        <v>9</v>
      </c>
      <c r="BR23" s="8">
        <v>639.72</v>
      </c>
      <c r="BS23" s="7"/>
      <c r="BT23" s="7"/>
      <c r="BU23" s="2" t="s">
        <v>109</v>
      </c>
      <c r="BV23" s="2" t="s">
        <v>97</v>
      </c>
      <c r="BW23" s="2" t="s">
        <v>164</v>
      </c>
      <c r="BX23" s="2" t="s">
        <v>168</v>
      </c>
      <c r="BY23" s="2" t="s">
        <v>112</v>
      </c>
      <c r="BZ23" s="2" t="s">
        <v>100</v>
      </c>
    </row>
    <row r="24">
      <c r="A24" s="2" t="s">
        <v>197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153</v>
      </c>
      <c r="G24" s="2" t="s">
        <v>154</v>
      </c>
      <c r="H24" s="2" t="s">
        <v>155</v>
      </c>
      <c r="I24" s="2" t="s">
        <v>156</v>
      </c>
      <c r="J24" s="2" t="s">
        <v>114</v>
      </c>
      <c r="K24" s="2" t="s">
        <v>140</v>
      </c>
      <c r="L24" s="3">
        <v>71.53</v>
      </c>
      <c r="M24" s="3">
        <v>75.11</v>
      </c>
      <c r="N24" s="3">
        <v>149.99</v>
      </c>
      <c r="O24" s="2" t="s">
        <v>97</v>
      </c>
      <c r="P24" s="2" t="s">
        <v>126</v>
      </c>
      <c r="Q24" s="2" t="s">
        <v>99</v>
      </c>
      <c r="R24" s="2" t="s">
        <v>100</v>
      </c>
      <c r="S24" s="2" t="s">
        <v>190</v>
      </c>
      <c r="T24" s="2" t="s">
        <v>100</v>
      </c>
      <c r="U24" s="2" t="s">
        <v>102</v>
      </c>
      <c r="V24" s="2" t="s">
        <v>160</v>
      </c>
      <c r="W24" s="2" t="s">
        <v>104</v>
      </c>
      <c r="X24" s="2" t="s">
        <v>161</v>
      </c>
      <c r="Y24" s="2" t="s">
        <v>129</v>
      </c>
      <c r="Z24" s="4">
        <v>741</v>
      </c>
      <c r="AA24" s="4">
        <f>=ROUNDDOWN(41.1666666666667,0)</f>
      </c>
      <c r="AB24" s="5">
        <v>18</v>
      </c>
      <c r="AC24" s="2" t="s">
        <v>184</v>
      </c>
      <c r="AD24" s="4">
        <v>150</v>
      </c>
      <c r="AE24" s="4">
        <v>490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/>
      <c r="AP24" s="4">
        <v>4</v>
      </c>
      <c r="AQ24" s="8">
        <v>334.56</v>
      </c>
      <c r="AR24" s="4">
        <v>10</v>
      </c>
      <c r="AS24" s="8">
        <v>836.4</v>
      </c>
      <c r="AT24" s="7">
        <v>-0.6</v>
      </c>
      <c r="AU24" s="7">
        <v>-0.6</v>
      </c>
      <c r="AV24" s="4" t="s">
        <v>100</v>
      </c>
      <c r="AW24" s="8" t="s">
        <v>100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0.2097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 t="s">
        <v>100</v>
      </c>
      <c r="BJ24" s="4">
        <v>111</v>
      </c>
      <c r="BK24" s="8">
        <v>8687.88</v>
      </c>
      <c r="BL24" s="2" t="s">
        <v>198</v>
      </c>
      <c r="BM24" s="7">
        <v>0.036</v>
      </c>
      <c r="BN24" s="7">
        <v>0.0385</v>
      </c>
      <c r="BO24" s="4">
        <v>4</v>
      </c>
      <c r="BP24" s="8">
        <v>334.56</v>
      </c>
      <c r="BQ24" s="4">
        <v>10</v>
      </c>
      <c r="BR24" s="8">
        <v>836.4</v>
      </c>
      <c r="BS24" s="7">
        <v>-0.6</v>
      </c>
      <c r="BT24" s="7">
        <v>-0.6</v>
      </c>
      <c r="BU24" s="2" t="s">
        <v>109</v>
      </c>
      <c r="BV24" s="2" t="s">
        <v>97</v>
      </c>
      <c r="BW24" s="2" t="s">
        <v>164</v>
      </c>
      <c r="BX24" s="2" t="s">
        <v>172</v>
      </c>
      <c r="BY24" s="2" t="s">
        <v>112</v>
      </c>
      <c r="BZ24" s="2" t="s">
        <v>100</v>
      </c>
    </row>
    <row r="25">
      <c r="A25" s="2" t="s">
        <v>199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153</v>
      </c>
      <c r="G25" s="2" t="s">
        <v>154</v>
      </c>
      <c r="H25" s="2" t="s">
        <v>155</v>
      </c>
      <c r="I25" s="2" t="s">
        <v>156</v>
      </c>
      <c r="J25" s="2" t="s">
        <v>120</v>
      </c>
      <c r="K25" s="2" t="s">
        <v>140</v>
      </c>
      <c r="L25" s="3">
        <v>71.53</v>
      </c>
      <c r="M25" s="3">
        <v>75.11</v>
      </c>
      <c r="N25" s="3">
        <v>149.99</v>
      </c>
      <c r="O25" s="2" t="s">
        <v>97</v>
      </c>
      <c r="P25" s="2" t="s">
        <v>126</v>
      </c>
      <c r="Q25" s="2" t="s">
        <v>99</v>
      </c>
      <c r="R25" s="2" t="s">
        <v>100</v>
      </c>
      <c r="S25" s="2" t="s">
        <v>190</v>
      </c>
      <c r="T25" s="2" t="s">
        <v>100</v>
      </c>
      <c r="U25" s="2" t="s">
        <v>102</v>
      </c>
      <c r="V25" s="2" t="s">
        <v>160</v>
      </c>
      <c r="W25" s="2" t="s">
        <v>104</v>
      </c>
      <c r="X25" s="2" t="s">
        <v>161</v>
      </c>
      <c r="Y25" s="2" t="s">
        <v>129</v>
      </c>
      <c r="Z25" s="4">
        <v>366</v>
      </c>
      <c r="AA25" s="4">
        <f>=ROUNDDOWN(52.2857142857143,0)</f>
      </c>
      <c r="AB25" s="5">
        <v>7</v>
      </c>
      <c r="AC25" s="2" t="s">
        <v>195</v>
      </c>
      <c r="AD25" s="4">
        <v>50</v>
      </c>
      <c r="AE25" s="4">
        <v>140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/>
      <c r="AP25" s="4">
        <v>2</v>
      </c>
      <c r="AQ25" s="8">
        <v>167.28</v>
      </c>
      <c r="AR25" s="4">
        <v>2</v>
      </c>
      <c r="AS25" s="8">
        <v>167.28</v>
      </c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>
        <v>0.1049</v>
      </c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35</v>
      </c>
      <c r="BK25" s="8">
        <v>2721.85</v>
      </c>
      <c r="BL25" s="2" t="s">
        <v>200</v>
      </c>
      <c r="BM25" s="7">
        <v>0.0571</v>
      </c>
      <c r="BN25" s="7">
        <v>0.0615</v>
      </c>
      <c r="BO25" s="4">
        <v>2</v>
      </c>
      <c r="BP25" s="8">
        <v>167.28</v>
      </c>
      <c r="BQ25" s="4">
        <v>2</v>
      </c>
      <c r="BR25" s="8">
        <v>167.28</v>
      </c>
      <c r="BS25" s="7"/>
      <c r="BT25" s="7"/>
      <c r="BU25" s="2" t="s">
        <v>109</v>
      </c>
      <c r="BV25" s="2" t="s">
        <v>97</v>
      </c>
      <c r="BW25" s="2" t="s">
        <v>164</v>
      </c>
      <c r="BX25" s="2" t="s">
        <v>201</v>
      </c>
      <c r="BY25" s="2" t="s">
        <v>112</v>
      </c>
      <c r="BZ25" s="2" t="s">
        <v>100</v>
      </c>
    </row>
    <row r="26">
      <c r="A26" s="2" t="s">
        <v>202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153</v>
      </c>
      <c r="G26" s="2" t="s">
        <v>154</v>
      </c>
      <c r="H26" s="2" t="s">
        <v>155</v>
      </c>
      <c r="I26" s="2" t="s">
        <v>156</v>
      </c>
      <c r="J26" s="2" t="s">
        <v>157</v>
      </c>
      <c r="K26" s="2" t="s">
        <v>203</v>
      </c>
      <c r="L26" s="3">
        <v>56.87</v>
      </c>
      <c r="M26" s="3">
        <v>59.71</v>
      </c>
      <c r="N26" s="3">
        <v>119.99</v>
      </c>
      <c r="O26" s="2" t="s">
        <v>97</v>
      </c>
      <c r="P26" s="2" t="s">
        <v>126</v>
      </c>
      <c r="Q26" s="2" t="s">
        <v>99</v>
      </c>
      <c r="R26" s="2" t="s">
        <v>100</v>
      </c>
      <c r="S26" s="2" t="s">
        <v>204</v>
      </c>
      <c r="T26" s="2" t="s">
        <v>100</v>
      </c>
      <c r="U26" s="2" t="s">
        <v>102</v>
      </c>
      <c r="V26" s="2" t="s">
        <v>160</v>
      </c>
      <c r="W26" s="2" t="s">
        <v>104</v>
      </c>
      <c r="X26" s="2" t="s">
        <v>161</v>
      </c>
      <c r="Y26" s="2" t="s">
        <v>129</v>
      </c>
      <c r="Z26" s="4">
        <v>348</v>
      </c>
      <c r="AA26" s="4">
        <f>=ROUNDDOWN(38.6666666666667,0)</f>
      </c>
      <c r="AB26" s="5">
        <v>9</v>
      </c>
      <c r="AC26" s="2" t="s">
        <v>170</v>
      </c>
      <c r="AD26" s="4">
        <v>880</v>
      </c>
      <c r="AE26" s="4">
        <v>880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/>
      <c r="AP26" s="4">
        <v>2</v>
      </c>
      <c r="AQ26" s="8">
        <v>129.64</v>
      </c>
      <c r="AR26" s="4">
        <v>8</v>
      </c>
      <c r="AS26" s="8">
        <v>518.56</v>
      </c>
      <c r="AT26" s="7">
        <v>-0.75</v>
      </c>
      <c r="AU26" s="7">
        <v>-0.75</v>
      </c>
      <c r="AV26" s="4">
        <v>15</v>
      </c>
      <c r="AW26" s="8">
        <v>1179.28</v>
      </c>
      <c r="AX26" s="4">
        <v>42</v>
      </c>
      <c r="AY26" s="8">
        <v>3136.24</v>
      </c>
      <c r="AZ26" s="7">
        <v>-0.6429</v>
      </c>
      <c r="BA26" s="7">
        <v>-0.624</v>
      </c>
      <c r="BB26" s="7">
        <v>0.1099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0.1111</v>
      </c>
      <c r="BJ26" s="4">
        <v>45</v>
      </c>
      <c r="BK26" s="8">
        <v>2645.88</v>
      </c>
      <c r="BL26" s="2" t="s">
        <v>205</v>
      </c>
      <c r="BM26" s="7">
        <v>0.0444</v>
      </c>
      <c r="BN26" s="7">
        <v>0.049</v>
      </c>
      <c r="BO26" s="4">
        <v>2</v>
      </c>
      <c r="BP26" s="8">
        <v>129.64</v>
      </c>
      <c r="BQ26" s="4">
        <v>8</v>
      </c>
      <c r="BR26" s="8">
        <v>518.56</v>
      </c>
      <c r="BS26" s="7">
        <v>-0.75</v>
      </c>
      <c r="BT26" s="7">
        <v>-0.75</v>
      </c>
      <c r="BU26" s="2" t="s">
        <v>109</v>
      </c>
      <c r="BV26" s="2" t="s">
        <v>97</v>
      </c>
      <c r="BW26" s="2" t="s">
        <v>164</v>
      </c>
      <c r="BX26" s="2" t="s">
        <v>206</v>
      </c>
      <c r="BY26" s="2" t="s">
        <v>112</v>
      </c>
      <c r="BZ26" s="2" t="s">
        <v>100</v>
      </c>
    </row>
    <row r="27">
      <c r="A27" s="2" t="s">
        <v>207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153</v>
      </c>
      <c r="G27" s="2" t="s">
        <v>154</v>
      </c>
      <c r="H27" s="2" t="s">
        <v>155</v>
      </c>
      <c r="I27" s="2" t="s">
        <v>156</v>
      </c>
      <c r="J27" s="2" t="s">
        <v>95</v>
      </c>
      <c r="K27" s="2" t="s">
        <v>203</v>
      </c>
      <c r="L27" s="3">
        <v>62.6</v>
      </c>
      <c r="M27" s="3">
        <v>65.73</v>
      </c>
      <c r="N27" s="3">
        <v>129.99</v>
      </c>
      <c r="O27" s="2" t="s">
        <v>97</v>
      </c>
      <c r="P27" s="2" t="s">
        <v>126</v>
      </c>
      <c r="Q27" s="2" t="s">
        <v>99</v>
      </c>
      <c r="R27" s="2" t="s">
        <v>100</v>
      </c>
      <c r="S27" s="2" t="s">
        <v>204</v>
      </c>
      <c r="T27" s="2" t="s">
        <v>100</v>
      </c>
      <c r="U27" s="2" t="s">
        <v>102</v>
      </c>
      <c r="V27" s="2" t="s">
        <v>160</v>
      </c>
      <c r="W27" s="2" t="s">
        <v>104</v>
      </c>
      <c r="X27" s="2" t="s">
        <v>161</v>
      </c>
      <c r="Y27" s="2" t="s">
        <v>129</v>
      </c>
      <c r="Z27" s="4">
        <v>660</v>
      </c>
      <c r="AA27" s="4">
        <f>=ROUNDDOWN(20,0)</f>
      </c>
      <c r="AB27" s="5">
        <v>33</v>
      </c>
      <c r="AC27" s="2" t="s">
        <v>170</v>
      </c>
      <c r="AD27" s="4">
        <v>2750</v>
      </c>
      <c r="AE27" s="4">
        <v>3320</v>
      </c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/>
      <c r="AP27" s="4">
        <v>3</v>
      </c>
      <c r="AQ27" s="8">
        <v>213.24</v>
      </c>
      <c r="AR27" s="4">
        <v>18</v>
      </c>
      <c r="AS27" s="8">
        <v>1279.44</v>
      </c>
      <c r="AT27" s="7">
        <v>-0.8333</v>
      </c>
      <c r="AU27" s="7">
        <v>-0.8333</v>
      </c>
      <c r="AV27" s="4" t="s">
        <v>100</v>
      </c>
      <c r="AW27" s="8" t="s">
        <v>100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0.1808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 t="s">
        <v>100</v>
      </c>
      <c r="BJ27" s="4">
        <v>265</v>
      </c>
      <c r="BK27" s="8">
        <v>17883.15</v>
      </c>
      <c r="BL27" s="2" t="s">
        <v>208</v>
      </c>
      <c r="BM27" s="7">
        <v>0.0113</v>
      </c>
      <c r="BN27" s="7">
        <v>0.0119</v>
      </c>
      <c r="BO27" s="4">
        <v>3</v>
      </c>
      <c r="BP27" s="8">
        <v>213.24</v>
      </c>
      <c r="BQ27" s="4">
        <v>18</v>
      </c>
      <c r="BR27" s="8">
        <v>1279.44</v>
      </c>
      <c r="BS27" s="7">
        <v>-0.8333</v>
      </c>
      <c r="BT27" s="7">
        <v>-0.8333</v>
      </c>
      <c r="BU27" s="2" t="s">
        <v>109</v>
      </c>
      <c r="BV27" s="2" t="s">
        <v>97</v>
      </c>
      <c r="BW27" s="2" t="s">
        <v>164</v>
      </c>
      <c r="BX27" s="2" t="s">
        <v>209</v>
      </c>
      <c r="BY27" s="2" t="s">
        <v>112</v>
      </c>
      <c r="BZ27" s="2" t="s">
        <v>100</v>
      </c>
    </row>
    <row r="28">
      <c r="A28" s="2" t="s">
        <v>210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153</v>
      </c>
      <c r="G28" s="2" t="s">
        <v>154</v>
      </c>
      <c r="H28" s="2" t="s">
        <v>155</v>
      </c>
      <c r="I28" s="2" t="s">
        <v>156</v>
      </c>
      <c r="J28" s="2" t="s">
        <v>114</v>
      </c>
      <c r="K28" s="2" t="s">
        <v>203</v>
      </c>
      <c r="L28" s="3">
        <v>71.53</v>
      </c>
      <c r="M28" s="3">
        <v>75.11</v>
      </c>
      <c r="N28" s="3">
        <v>149.99</v>
      </c>
      <c r="O28" s="2" t="s">
        <v>97</v>
      </c>
      <c r="P28" s="2" t="s">
        <v>126</v>
      </c>
      <c r="Q28" s="2" t="s">
        <v>99</v>
      </c>
      <c r="R28" s="2" t="s">
        <v>100</v>
      </c>
      <c r="S28" s="2" t="s">
        <v>204</v>
      </c>
      <c r="T28" s="2" t="s">
        <v>100</v>
      </c>
      <c r="U28" s="2" t="s">
        <v>102</v>
      </c>
      <c r="V28" s="2" t="s">
        <v>160</v>
      </c>
      <c r="W28" s="2" t="s">
        <v>104</v>
      </c>
      <c r="X28" s="2" t="s">
        <v>161</v>
      </c>
      <c r="Y28" s="2" t="s">
        <v>129</v>
      </c>
      <c r="Z28" s="4">
        <v>770</v>
      </c>
      <c r="AA28" s="4">
        <f>=ROUNDDOWN(36.6666666666667,0)</f>
      </c>
      <c r="AB28" s="5">
        <v>21</v>
      </c>
      <c r="AC28" s="2" t="s">
        <v>211</v>
      </c>
      <c r="AD28" s="4">
        <v>80</v>
      </c>
      <c r="AE28" s="4">
        <v>80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/>
      <c r="AP28" s="4">
        <v>3</v>
      </c>
      <c r="AQ28" s="8">
        <v>250.92</v>
      </c>
      <c r="AR28" s="4">
        <v>13</v>
      </c>
      <c r="AS28" s="8">
        <v>1087.32</v>
      </c>
      <c r="AT28" s="7">
        <v>-0.7692</v>
      </c>
      <c r="AU28" s="7">
        <v>-0.7692</v>
      </c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0.2128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109</v>
      </c>
      <c r="BK28" s="8">
        <v>8817.57</v>
      </c>
      <c r="BL28" s="2" t="s">
        <v>212</v>
      </c>
      <c r="BM28" s="7">
        <v>0.0275</v>
      </c>
      <c r="BN28" s="7">
        <v>0.0285</v>
      </c>
      <c r="BO28" s="4">
        <v>3</v>
      </c>
      <c r="BP28" s="8">
        <v>250.92</v>
      </c>
      <c r="BQ28" s="4">
        <v>13</v>
      </c>
      <c r="BR28" s="8">
        <v>1087.32</v>
      </c>
      <c r="BS28" s="7">
        <v>-0.7692</v>
      </c>
      <c r="BT28" s="7">
        <v>-0.7692</v>
      </c>
      <c r="BU28" s="2" t="s">
        <v>109</v>
      </c>
      <c r="BV28" s="2" t="s">
        <v>97</v>
      </c>
      <c r="BW28" s="2" t="s">
        <v>164</v>
      </c>
      <c r="BX28" s="2" t="s">
        <v>175</v>
      </c>
      <c r="BY28" s="2" t="s">
        <v>112</v>
      </c>
      <c r="BZ28" s="2" t="s">
        <v>100</v>
      </c>
    </row>
    <row r="29">
      <c r="A29" s="2" t="s">
        <v>213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153</v>
      </c>
      <c r="G29" s="2" t="s">
        <v>154</v>
      </c>
      <c r="H29" s="2" t="s">
        <v>155</v>
      </c>
      <c r="I29" s="2" t="s">
        <v>156</v>
      </c>
      <c r="J29" s="2" t="s">
        <v>120</v>
      </c>
      <c r="K29" s="2" t="s">
        <v>203</v>
      </c>
      <c r="L29" s="3">
        <v>71.53</v>
      </c>
      <c r="M29" s="3">
        <v>75.11</v>
      </c>
      <c r="N29" s="3">
        <v>149.99</v>
      </c>
      <c r="O29" s="2" t="s">
        <v>97</v>
      </c>
      <c r="P29" s="2" t="s">
        <v>126</v>
      </c>
      <c r="Q29" s="2" t="s">
        <v>99</v>
      </c>
      <c r="R29" s="2" t="s">
        <v>100</v>
      </c>
      <c r="S29" s="2" t="s">
        <v>204</v>
      </c>
      <c r="T29" s="2" t="s">
        <v>100</v>
      </c>
      <c r="U29" s="2" t="s">
        <v>102</v>
      </c>
      <c r="V29" s="2" t="s">
        <v>160</v>
      </c>
      <c r="W29" s="2" t="s">
        <v>104</v>
      </c>
      <c r="X29" s="2" t="s">
        <v>161</v>
      </c>
      <c r="Y29" s="2" t="s">
        <v>129</v>
      </c>
      <c r="Z29" s="4">
        <v>370</v>
      </c>
      <c r="AA29" s="4">
        <f>=ROUNDDOWN(28.4615384615385,0)</f>
      </c>
      <c r="AB29" s="5">
        <v>13</v>
      </c>
      <c r="AC29" s="2" t="s">
        <v>179</v>
      </c>
      <c r="AD29" s="4">
        <v>50</v>
      </c>
      <c r="AE29" s="4">
        <v>150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/>
      <c r="AP29" s="4">
        <v>7</v>
      </c>
      <c r="AQ29" s="8">
        <v>585.48</v>
      </c>
      <c r="AR29" s="4">
        <v>3</v>
      </c>
      <c r="AS29" s="8">
        <v>250.92</v>
      </c>
      <c r="AT29" s="7">
        <v>1.3333</v>
      </c>
      <c r="AU29" s="7">
        <v>1.3333</v>
      </c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>
        <v>0.4965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68</v>
      </c>
      <c r="BK29" s="8">
        <v>5505.84</v>
      </c>
      <c r="BL29" s="2" t="s">
        <v>214</v>
      </c>
      <c r="BM29" s="7">
        <v>0.1029</v>
      </c>
      <c r="BN29" s="7">
        <v>0.1063</v>
      </c>
      <c r="BO29" s="4">
        <v>7</v>
      </c>
      <c r="BP29" s="8">
        <v>585.48</v>
      </c>
      <c r="BQ29" s="4">
        <v>3</v>
      </c>
      <c r="BR29" s="8">
        <v>250.92</v>
      </c>
      <c r="BS29" s="7">
        <v>1.3333</v>
      </c>
      <c r="BT29" s="7">
        <v>1.3333</v>
      </c>
      <c r="BU29" s="2" t="s">
        <v>109</v>
      </c>
      <c r="BV29" s="2" t="s">
        <v>97</v>
      </c>
      <c r="BW29" s="2" t="s">
        <v>164</v>
      </c>
      <c r="BX29" s="2" t="s">
        <v>168</v>
      </c>
      <c r="BY29" s="2" t="s">
        <v>112</v>
      </c>
      <c r="BZ29" s="2" t="s">
        <v>100</v>
      </c>
    </row>
    <row r="30">
      <c r="A30" s="2" t="s">
        <v>215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153</v>
      </c>
      <c r="G30" s="2" t="s">
        <v>154</v>
      </c>
      <c r="H30" s="2" t="s">
        <v>155</v>
      </c>
      <c r="I30" s="2" t="s">
        <v>156</v>
      </c>
      <c r="J30" s="2" t="s">
        <v>95</v>
      </c>
      <c r="K30" s="2" t="s">
        <v>216</v>
      </c>
      <c r="L30" s="3">
        <v>62.6</v>
      </c>
      <c r="M30" s="3">
        <v>65.73</v>
      </c>
      <c r="N30" s="3">
        <v>129.99</v>
      </c>
      <c r="O30" s="2" t="s">
        <v>97</v>
      </c>
      <c r="P30" s="2" t="s">
        <v>126</v>
      </c>
      <c r="Q30" s="2" t="s">
        <v>99</v>
      </c>
      <c r="R30" s="2" t="s">
        <v>100</v>
      </c>
      <c r="S30" s="2" t="s">
        <v>217</v>
      </c>
      <c r="T30" s="2" t="s">
        <v>100</v>
      </c>
      <c r="U30" s="2" t="s">
        <v>102</v>
      </c>
      <c r="V30" s="2" t="s">
        <v>160</v>
      </c>
      <c r="W30" s="2" t="s">
        <v>104</v>
      </c>
      <c r="X30" s="2" t="s">
        <v>161</v>
      </c>
      <c r="Y30" s="2" t="s">
        <v>129</v>
      </c>
      <c r="Z30" s="4">
        <v>965</v>
      </c>
      <c r="AA30" s="4">
        <f>=ROUNDDOWN(34.4642857142857,0)</f>
      </c>
      <c r="AB30" s="5">
        <v>28</v>
      </c>
      <c r="AC30" s="2" t="s">
        <v>218</v>
      </c>
      <c r="AD30" s="4">
        <v>100</v>
      </c>
      <c r="AE30" s="4">
        <v>480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/>
      <c r="AP30" s="4">
        <v>11</v>
      </c>
      <c r="AQ30" s="8">
        <v>781.88</v>
      </c>
      <c r="AR30" s="4">
        <v>9</v>
      </c>
      <c r="AS30" s="8">
        <v>639.72</v>
      </c>
      <c r="AT30" s="7">
        <v>0.2222</v>
      </c>
      <c r="AU30" s="7">
        <v>0.2222</v>
      </c>
      <c r="AV30" s="4">
        <v>13</v>
      </c>
      <c r="AW30" s="8">
        <v>949.16</v>
      </c>
      <c r="AX30" s="4">
        <v>25</v>
      </c>
      <c r="AY30" s="8">
        <v>1977.96</v>
      </c>
      <c r="AZ30" s="7">
        <v>-0.48</v>
      </c>
      <c r="BA30" s="7">
        <v>-0.5201</v>
      </c>
      <c r="BB30" s="7">
        <v>0.8238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0.0895</v>
      </c>
      <c r="BJ30" s="4">
        <v>144</v>
      </c>
      <c r="BK30" s="8">
        <v>10169.71</v>
      </c>
      <c r="BL30" s="2" t="s">
        <v>219</v>
      </c>
      <c r="BM30" s="7">
        <v>0.0764</v>
      </c>
      <c r="BN30" s="7">
        <v>0.0769</v>
      </c>
      <c r="BO30" s="4">
        <v>11</v>
      </c>
      <c r="BP30" s="8">
        <v>781.88</v>
      </c>
      <c r="BQ30" s="4">
        <v>9</v>
      </c>
      <c r="BR30" s="8">
        <v>639.72</v>
      </c>
      <c r="BS30" s="7">
        <v>0.2222</v>
      </c>
      <c r="BT30" s="7">
        <v>0.2222</v>
      </c>
      <c r="BU30" s="2" t="s">
        <v>109</v>
      </c>
      <c r="BV30" s="2" t="s">
        <v>97</v>
      </c>
      <c r="BW30" s="2" t="s">
        <v>164</v>
      </c>
      <c r="BX30" s="2" t="s">
        <v>220</v>
      </c>
      <c r="BY30" s="2" t="s">
        <v>112</v>
      </c>
      <c r="BZ30" s="2" t="s">
        <v>100</v>
      </c>
    </row>
    <row r="31">
      <c r="A31" s="2" t="s">
        <v>221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153</v>
      </c>
      <c r="G31" s="2" t="s">
        <v>154</v>
      </c>
      <c r="H31" s="2" t="s">
        <v>155</v>
      </c>
      <c r="I31" s="2" t="s">
        <v>156</v>
      </c>
      <c r="J31" s="2" t="s">
        <v>114</v>
      </c>
      <c r="K31" s="2" t="s">
        <v>216</v>
      </c>
      <c r="L31" s="3">
        <v>71.53</v>
      </c>
      <c r="M31" s="3">
        <v>75.11</v>
      </c>
      <c r="N31" s="3">
        <v>149.99</v>
      </c>
      <c r="O31" s="2" t="s">
        <v>97</v>
      </c>
      <c r="P31" s="2" t="s">
        <v>126</v>
      </c>
      <c r="Q31" s="2" t="s">
        <v>99</v>
      </c>
      <c r="R31" s="2" t="s">
        <v>100</v>
      </c>
      <c r="S31" s="2" t="s">
        <v>217</v>
      </c>
      <c r="T31" s="2" t="s">
        <v>100</v>
      </c>
      <c r="U31" s="2" t="s">
        <v>102</v>
      </c>
      <c r="V31" s="2" t="s">
        <v>160</v>
      </c>
      <c r="W31" s="2" t="s">
        <v>104</v>
      </c>
      <c r="X31" s="2" t="s">
        <v>161</v>
      </c>
      <c r="Y31" s="2" t="s">
        <v>222</v>
      </c>
      <c r="Z31" s="4">
        <v>784</v>
      </c>
      <c r="AA31" s="4">
        <f>=ROUNDDOWN(37.3333333333333,0)</f>
      </c>
      <c r="AB31" s="5">
        <v>21</v>
      </c>
      <c r="AC31" s="2" t="s">
        <v>218</v>
      </c>
      <c r="AD31" s="4">
        <v>120</v>
      </c>
      <c r="AE31" s="4">
        <v>320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/>
      <c r="AP31" s="4">
        <v>2</v>
      </c>
      <c r="AQ31" s="8">
        <v>167.28</v>
      </c>
      <c r="AR31" s="4">
        <v>12</v>
      </c>
      <c r="AS31" s="8">
        <v>1003.68</v>
      </c>
      <c r="AT31" s="7">
        <v>-0.8333</v>
      </c>
      <c r="AU31" s="7">
        <v>-0.8333</v>
      </c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0.1762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99</v>
      </c>
      <c r="BK31" s="8">
        <v>7739.65</v>
      </c>
      <c r="BL31" s="2" t="s">
        <v>223</v>
      </c>
      <c r="BM31" s="7">
        <v>0.0202</v>
      </c>
      <c r="BN31" s="7">
        <v>0.0216</v>
      </c>
      <c r="BO31" s="4">
        <v>2</v>
      </c>
      <c r="BP31" s="8">
        <v>167.28</v>
      </c>
      <c r="BQ31" s="4">
        <v>12</v>
      </c>
      <c r="BR31" s="8">
        <v>1003.68</v>
      </c>
      <c r="BS31" s="7">
        <v>-0.8333</v>
      </c>
      <c r="BT31" s="7">
        <v>-0.8333</v>
      </c>
      <c r="BU31" s="2" t="s">
        <v>109</v>
      </c>
      <c r="BV31" s="2" t="s">
        <v>97</v>
      </c>
      <c r="BW31" s="2" t="s">
        <v>164</v>
      </c>
      <c r="BX31" s="2" t="s">
        <v>224</v>
      </c>
      <c r="BY31" s="2" t="s">
        <v>112</v>
      </c>
      <c r="BZ31" s="2" t="s">
        <v>100</v>
      </c>
    </row>
    <row r="32">
      <c r="A32" s="2" t="s">
        <v>225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153</v>
      </c>
      <c r="G32" s="2" t="s">
        <v>154</v>
      </c>
      <c r="H32" s="2" t="s">
        <v>155</v>
      </c>
      <c r="I32" s="2" t="s">
        <v>156</v>
      </c>
      <c r="J32" s="2" t="s">
        <v>120</v>
      </c>
      <c r="K32" s="2" t="s">
        <v>216</v>
      </c>
      <c r="L32" s="3">
        <v>71.53</v>
      </c>
      <c r="M32" s="3">
        <v>75.11</v>
      </c>
      <c r="N32" s="3">
        <v>149.99</v>
      </c>
      <c r="O32" s="2" t="s">
        <v>97</v>
      </c>
      <c r="P32" s="2" t="s">
        <v>126</v>
      </c>
      <c r="Q32" s="2" t="s">
        <v>99</v>
      </c>
      <c r="R32" s="2" t="s">
        <v>100</v>
      </c>
      <c r="S32" s="2" t="s">
        <v>217</v>
      </c>
      <c r="T32" s="2" t="s">
        <v>100</v>
      </c>
      <c r="U32" s="2" t="s">
        <v>102</v>
      </c>
      <c r="V32" s="2" t="s">
        <v>160</v>
      </c>
      <c r="W32" s="2" t="s">
        <v>104</v>
      </c>
      <c r="X32" s="2" t="s">
        <v>161</v>
      </c>
      <c r="Y32" s="2" t="s">
        <v>129</v>
      </c>
      <c r="Z32" s="4">
        <v>616</v>
      </c>
      <c r="AA32" s="4">
        <f>=ROUNDDOWN(68.4444444444444,0)</f>
      </c>
      <c r="AB32" s="5">
        <v>9</v>
      </c>
      <c r="AC32" s="2" t="s">
        <v>100</v>
      </c>
      <c r="AD32" s="4"/>
      <c r="AE32" s="4"/>
      <c r="AF32" s="6">
        <v>65</v>
      </c>
      <c r="AG32" s="6">
        <v>48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/>
      <c r="AP32" s="4"/>
      <c r="AQ32" s="8"/>
      <c r="AR32" s="4">
        <v>4</v>
      </c>
      <c r="AS32" s="8">
        <v>334.56</v>
      </c>
      <c r="AT32" s="7">
        <v>-1</v>
      </c>
      <c r="AU32" s="7">
        <v>-1</v>
      </c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44</v>
      </c>
      <c r="BK32" s="8">
        <v>3639.13</v>
      </c>
      <c r="BL32" s="2" t="s">
        <v>226</v>
      </c>
      <c r="BM32" s="7"/>
      <c r="BN32" s="7"/>
      <c r="BO32" s="4"/>
      <c r="BP32" s="8"/>
      <c r="BQ32" s="4">
        <v>4</v>
      </c>
      <c r="BR32" s="8">
        <v>334.56</v>
      </c>
      <c r="BS32" s="7">
        <v>-1</v>
      </c>
      <c r="BT32" s="7">
        <v>-1</v>
      </c>
      <c r="BU32" s="2" t="s">
        <v>109</v>
      </c>
      <c r="BV32" s="2" t="s">
        <v>97</v>
      </c>
      <c r="BW32" s="2" t="s">
        <v>164</v>
      </c>
      <c r="BX32" s="2" t="s">
        <v>227</v>
      </c>
      <c r="BY32" s="2" t="s">
        <v>112</v>
      </c>
      <c r="BZ32" s="2" t="s">
        <v>100</v>
      </c>
    </row>
    <row r="33">
      <c r="A33" s="2" t="s">
        <v>228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153</v>
      </c>
      <c r="G33" s="2" t="s">
        <v>154</v>
      </c>
      <c r="H33" s="2" t="s">
        <v>155</v>
      </c>
      <c r="I33" s="2" t="s">
        <v>156</v>
      </c>
      <c r="J33" s="2" t="s">
        <v>95</v>
      </c>
      <c r="K33" s="2" t="s">
        <v>229</v>
      </c>
      <c r="L33" s="3">
        <v>62.6</v>
      </c>
      <c r="M33" s="3">
        <v>65.73</v>
      </c>
      <c r="N33" s="3">
        <v>129.99</v>
      </c>
      <c r="O33" s="2" t="s">
        <v>97</v>
      </c>
      <c r="P33" s="2" t="s">
        <v>126</v>
      </c>
      <c r="Q33" s="2" t="s">
        <v>99</v>
      </c>
      <c r="R33" s="2" t="s">
        <v>100</v>
      </c>
      <c r="S33" s="2" t="s">
        <v>230</v>
      </c>
      <c r="T33" s="2" t="s">
        <v>231</v>
      </c>
      <c r="U33" s="2" t="s">
        <v>102</v>
      </c>
      <c r="V33" s="2" t="s">
        <v>160</v>
      </c>
      <c r="W33" s="2" t="s">
        <v>104</v>
      </c>
      <c r="X33" s="2" t="s">
        <v>232</v>
      </c>
      <c r="Y33" s="2" t="s">
        <v>233</v>
      </c>
      <c r="Z33" s="4">
        <v>928</v>
      </c>
      <c r="AA33" s="4">
        <f>=ROUNDDOWN(38.6666666666667,0)</f>
      </c>
      <c r="AB33" s="5">
        <v>24</v>
      </c>
      <c r="AC33" s="2" t="s">
        <v>184</v>
      </c>
      <c r="AD33" s="4">
        <v>120</v>
      </c>
      <c r="AE33" s="4">
        <v>520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/>
      <c r="AP33" s="4">
        <v>3</v>
      </c>
      <c r="AQ33" s="8">
        <v>213.24</v>
      </c>
      <c r="AR33" s="4">
        <v>11</v>
      </c>
      <c r="AS33" s="8">
        <v>781.88</v>
      </c>
      <c r="AT33" s="7">
        <v>-0.7273</v>
      </c>
      <c r="AU33" s="7">
        <v>-0.7273</v>
      </c>
      <c r="AV33" s="4">
        <v>7</v>
      </c>
      <c r="AW33" s="8">
        <v>547.8</v>
      </c>
      <c r="AX33" s="4">
        <v>24</v>
      </c>
      <c r="AY33" s="8">
        <v>1869.2</v>
      </c>
      <c r="AZ33" s="7">
        <v>-0.7083</v>
      </c>
      <c r="BA33" s="7">
        <v>-0.7069</v>
      </c>
      <c r="BB33" s="7">
        <v>0.3893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0.0516</v>
      </c>
      <c r="BJ33" s="4">
        <v>142</v>
      </c>
      <c r="BK33" s="8">
        <v>9303.35</v>
      </c>
      <c r="BL33" s="2" t="s">
        <v>234</v>
      </c>
      <c r="BM33" s="7">
        <v>0.0211</v>
      </c>
      <c r="BN33" s="7">
        <v>0.0229</v>
      </c>
      <c r="BO33" s="4">
        <v>3</v>
      </c>
      <c r="BP33" s="8">
        <v>213.24</v>
      </c>
      <c r="BQ33" s="4">
        <v>11</v>
      </c>
      <c r="BR33" s="8">
        <v>781.88</v>
      </c>
      <c r="BS33" s="7">
        <v>-0.7273</v>
      </c>
      <c r="BT33" s="7">
        <v>-0.7273</v>
      </c>
      <c r="BU33" s="2" t="s">
        <v>109</v>
      </c>
      <c r="BV33" s="2" t="s">
        <v>97</v>
      </c>
      <c r="BW33" s="2" t="s">
        <v>235</v>
      </c>
      <c r="BX33" s="2" t="s">
        <v>236</v>
      </c>
      <c r="BY33" s="2" t="s">
        <v>112</v>
      </c>
      <c r="BZ33" s="2" t="s">
        <v>100</v>
      </c>
    </row>
    <row r="34">
      <c r="A34" s="2" t="s">
        <v>237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153</v>
      </c>
      <c r="G34" s="2" t="s">
        <v>154</v>
      </c>
      <c r="H34" s="2" t="s">
        <v>155</v>
      </c>
      <c r="I34" s="2" t="s">
        <v>156</v>
      </c>
      <c r="J34" s="2" t="s">
        <v>114</v>
      </c>
      <c r="K34" s="2" t="s">
        <v>229</v>
      </c>
      <c r="L34" s="3">
        <v>71.53</v>
      </c>
      <c r="M34" s="3">
        <v>75.11</v>
      </c>
      <c r="N34" s="3">
        <v>149.99</v>
      </c>
      <c r="O34" s="2" t="s">
        <v>97</v>
      </c>
      <c r="P34" s="2" t="s">
        <v>126</v>
      </c>
      <c r="Q34" s="2" t="s">
        <v>99</v>
      </c>
      <c r="R34" s="2" t="s">
        <v>100</v>
      </c>
      <c r="S34" s="2" t="s">
        <v>230</v>
      </c>
      <c r="T34" s="2" t="s">
        <v>231</v>
      </c>
      <c r="U34" s="2" t="s">
        <v>102</v>
      </c>
      <c r="V34" s="2" t="s">
        <v>160</v>
      </c>
      <c r="W34" s="2" t="s">
        <v>104</v>
      </c>
      <c r="X34" s="2" t="s">
        <v>232</v>
      </c>
      <c r="Y34" s="2" t="s">
        <v>233</v>
      </c>
      <c r="Z34" s="4">
        <v>631</v>
      </c>
      <c r="AA34" s="4">
        <f>=ROUNDDOWN(39.4375,0)</f>
      </c>
      <c r="AB34" s="5">
        <v>16</v>
      </c>
      <c r="AC34" s="2" t="s">
        <v>184</v>
      </c>
      <c r="AD34" s="4">
        <v>40</v>
      </c>
      <c r="AE34" s="4">
        <v>310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/>
      <c r="AP34" s="4">
        <v>1</v>
      </c>
      <c r="AQ34" s="8">
        <v>83.64</v>
      </c>
      <c r="AR34" s="4">
        <v>7</v>
      </c>
      <c r="AS34" s="8">
        <v>585.48</v>
      </c>
      <c r="AT34" s="7">
        <v>-0.8571</v>
      </c>
      <c r="AU34" s="7">
        <v>-0.8571</v>
      </c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0.1527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74</v>
      </c>
      <c r="BK34" s="8">
        <v>5816.68</v>
      </c>
      <c r="BL34" s="2" t="s">
        <v>238</v>
      </c>
      <c r="BM34" s="7">
        <v>0.0135</v>
      </c>
      <c r="BN34" s="7">
        <v>0.0144</v>
      </c>
      <c r="BO34" s="4">
        <v>1</v>
      </c>
      <c r="BP34" s="8">
        <v>83.64</v>
      </c>
      <c r="BQ34" s="4">
        <v>7</v>
      </c>
      <c r="BR34" s="8">
        <v>585.48</v>
      </c>
      <c r="BS34" s="7">
        <v>-0.8571</v>
      </c>
      <c r="BT34" s="7">
        <v>-0.8571</v>
      </c>
      <c r="BU34" s="2" t="s">
        <v>109</v>
      </c>
      <c r="BV34" s="2" t="s">
        <v>97</v>
      </c>
      <c r="BW34" s="2" t="s">
        <v>235</v>
      </c>
      <c r="BX34" s="2" t="s">
        <v>239</v>
      </c>
      <c r="BY34" s="2" t="s">
        <v>112</v>
      </c>
      <c r="BZ34" s="2" t="s">
        <v>100</v>
      </c>
    </row>
    <row r="35">
      <c r="A35" s="2" t="s">
        <v>240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153</v>
      </c>
      <c r="G35" s="2" t="s">
        <v>154</v>
      </c>
      <c r="H35" s="2" t="s">
        <v>155</v>
      </c>
      <c r="I35" s="2" t="s">
        <v>156</v>
      </c>
      <c r="J35" s="2" t="s">
        <v>120</v>
      </c>
      <c r="K35" s="2" t="s">
        <v>229</v>
      </c>
      <c r="L35" s="3">
        <v>71.53</v>
      </c>
      <c r="M35" s="3">
        <v>75.11</v>
      </c>
      <c r="N35" s="3">
        <v>149.99</v>
      </c>
      <c r="O35" s="2" t="s">
        <v>97</v>
      </c>
      <c r="P35" s="2" t="s">
        <v>126</v>
      </c>
      <c r="Q35" s="2" t="s">
        <v>99</v>
      </c>
      <c r="R35" s="2" t="s">
        <v>100</v>
      </c>
      <c r="S35" s="2" t="s">
        <v>230</v>
      </c>
      <c r="T35" s="2" t="s">
        <v>231</v>
      </c>
      <c r="U35" s="2" t="s">
        <v>102</v>
      </c>
      <c r="V35" s="2" t="s">
        <v>160</v>
      </c>
      <c r="W35" s="2" t="s">
        <v>104</v>
      </c>
      <c r="X35" s="2" t="s">
        <v>232</v>
      </c>
      <c r="Y35" s="2" t="s">
        <v>233</v>
      </c>
      <c r="Z35" s="4">
        <v>344</v>
      </c>
      <c r="AA35" s="4">
        <f>=ROUNDDOWN(43,0)</f>
      </c>
      <c r="AB35" s="5">
        <v>8</v>
      </c>
      <c r="AC35" s="2" t="s">
        <v>184</v>
      </c>
      <c r="AD35" s="4">
        <v>30</v>
      </c>
      <c r="AE35" s="4">
        <v>160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/>
      <c r="AP35" s="4">
        <v>3</v>
      </c>
      <c r="AQ35" s="8">
        <v>250.92</v>
      </c>
      <c r="AR35" s="4">
        <v>6</v>
      </c>
      <c r="AS35" s="8">
        <v>501.84</v>
      </c>
      <c r="AT35" s="7">
        <v>-0.5</v>
      </c>
      <c r="AU35" s="7">
        <v>-0.5</v>
      </c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0.4581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37</v>
      </c>
      <c r="BK35" s="8">
        <v>2980.28</v>
      </c>
      <c r="BL35" s="2" t="s">
        <v>241</v>
      </c>
      <c r="BM35" s="7">
        <v>0.0811</v>
      </c>
      <c r="BN35" s="7">
        <v>0.0842</v>
      </c>
      <c r="BO35" s="4">
        <v>3</v>
      </c>
      <c r="BP35" s="8">
        <v>250.92</v>
      </c>
      <c r="BQ35" s="4">
        <v>6</v>
      </c>
      <c r="BR35" s="8">
        <v>501.84</v>
      </c>
      <c r="BS35" s="7">
        <v>-0.5</v>
      </c>
      <c r="BT35" s="7">
        <v>-0.5</v>
      </c>
      <c r="BU35" s="2" t="s">
        <v>109</v>
      </c>
      <c r="BV35" s="2" t="s">
        <v>97</v>
      </c>
      <c r="BW35" s="2" t="s">
        <v>235</v>
      </c>
      <c r="BX35" s="2" t="s">
        <v>242</v>
      </c>
      <c r="BY35" s="2" t="s">
        <v>112</v>
      </c>
      <c r="BZ35" s="2" t="s">
        <v>100</v>
      </c>
    </row>
    <row r="36">
      <c r="A36" s="2" t="s">
        <v>243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244</v>
      </c>
      <c r="G36" s="2" t="s">
        <v>245</v>
      </c>
      <c r="H36" s="2" t="s">
        <v>246</v>
      </c>
      <c r="I36" s="2" t="s">
        <v>247</v>
      </c>
      <c r="J36" s="2" t="s">
        <v>95</v>
      </c>
      <c r="K36" s="2" t="s">
        <v>248</v>
      </c>
      <c r="L36" s="3">
        <v>61.73</v>
      </c>
      <c r="M36" s="3">
        <v>64.82</v>
      </c>
      <c r="N36" s="3">
        <v>129.99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249</v>
      </c>
      <c r="T36" s="2" t="s">
        <v>100</v>
      </c>
      <c r="U36" s="2" t="s">
        <v>102</v>
      </c>
      <c r="V36" s="2" t="s">
        <v>250</v>
      </c>
      <c r="W36" s="2" t="s">
        <v>104</v>
      </c>
      <c r="X36" s="2" t="s">
        <v>161</v>
      </c>
      <c r="Y36" s="2" t="s">
        <v>251</v>
      </c>
      <c r="Z36" s="4">
        <v>537</v>
      </c>
      <c r="AA36" s="4">
        <f>=ROUNDDOWN(16.78125,0)</f>
      </c>
      <c r="AB36" s="5">
        <v>32</v>
      </c>
      <c r="AC36" s="2" t="s">
        <v>184</v>
      </c>
      <c r="AD36" s="4">
        <v>90</v>
      </c>
      <c r="AE36" s="4">
        <v>690</v>
      </c>
      <c r="AF36" s="6">
        <v>65</v>
      </c>
      <c r="AG36" s="6">
        <v>73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/>
      <c r="AP36" s="4">
        <v>35</v>
      </c>
      <c r="AQ36" s="8">
        <v>2428.3</v>
      </c>
      <c r="AR36" s="4">
        <v>56</v>
      </c>
      <c r="AS36" s="8">
        <v>3885.28</v>
      </c>
      <c r="AT36" s="7">
        <v>-0.375</v>
      </c>
      <c r="AU36" s="7">
        <v>-0.375</v>
      </c>
      <c r="AV36" s="4">
        <v>85</v>
      </c>
      <c r="AW36" s="8">
        <v>6469.8</v>
      </c>
      <c r="AX36" s="4">
        <v>155</v>
      </c>
      <c r="AY36" s="8">
        <v>11887.45</v>
      </c>
      <c r="AZ36" s="7">
        <v>-0.4516</v>
      </c>
      <c r="BA36" s="7">
        <v>-0.4557</v>
      </c>
      <c r="BB36" s="7">
        <v>0.3753</v>
      </c>
      <c r="BC36" s="4">
        <v>131</v>
      </c>
      <c r="BD36" s="8">
        <v>9970.43</v>
      </c>
      <c r="BE36" s="4">
        <v>181</v>
      </c>
      <c r="BF36" s="8">
        <v>13885.98</v>
      </c>
      <c r="BG36" s="7">
        <v>-0.2762</v>
      </c>
      <c r="BH36" s="7">
        <v>-0.282</v>
      </c>
      <c r="BI36" s="7">
        <v>0.6489</v>
      </c>
      <c r="BJ36" s="4">
        <v>185</v>
      </c>
      <c r="BK36" s="8">
        <v>13011.2</v>
      </c>
      <c r="BL36" s="2" t="s">
        <v>252</v>
      </c>
      <c r="BM36" s="7">
        <v>0.1892</v>
      </c>
      <c r="BN36" s="7">
        <v>0.1866</v>
      </c>
      <c r="BO36" s="4">
        <v>35</v>
      </c>
      <c r="BP36" s="8">
        <v>2428.3</v>
      </c>
      <c r="BQ36" s="4">
        <v>56</v>
      </c>
      <c r="BR36" s="8">
        <v>3885.28</v>
      </c>
      <c r="BS36" s="7">
        <v>-0.375</v>
      </c>
      <c r="BT36" s="7">
        <v>-0.375</v>
      </c>
      <c r="BU36" s="2" t="s">
        <v>109</v>
      </c>
      <c r="BV36" s="2" t="s">
        <v>97</v>
      </c>
      <c r="BW36" s="2" t="s">
        <v>253</v>
      </c>
      <c r="BX36" s="2" t="s">
        <v>254</v>
      </c>
      <c r="BY36" s="2" t="s">
        <v>112</v>
      </c>
      <c r="BZ36" s="2" t="s">
        <v>100</v>
      </c>
    </row>
    <row r="37">
      <c r="A37" s="2" t="s">
        <v>255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244</v>
      </c>
      <c r="G37" s="2" t="s">
        <v>245</v>
      </c>
      <c r="H37" s="2" t="s">
        <v>246</v>
      </c>
      <c r="I37" s="2" t="s">
        <v>247</v>
      </c>
      <c r="J37" s="2" t="s">
        <v>114</v>
      </c>
      <c r="K37" s="2" t="s">
        <v>248</v>
      </c>
      <c r="L37" s="3">
        <v>70.55</v>
      </c>
      <c r="M37" s="3">
        <v>74.08</v>
      </c>
      <c r="N37" s="3">
        <v>149.99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249</v>
      </c>
      <c r="T37" s="2" t="s">
        <v>100</v>
      </c>
      <c r="U37" s="2" t="s">
        <v>102</v>
      </c>
      <c r="V37" s="2" t="s">
        <v>250</v>
      </c>
      <c r="W37" s="2" t="s">
        <v>104</v>
      </c>
      <c r="X37" s="2" t="s">
        <v>161</v>
      </c>
      <c r="Y37" s="2" t="s">
        <v>256</v>
      </c>
      <c r="Z37" s="4">
        <v>942</v>
      </c>
      <c r="AA37" s="4">
        <f>=ROUNDDOWN(28.5454545454545,0)</f>
      </c>
      <c r="AB37" s="5">
        <v>33</v>
      </c>
      <c r="AC37" s="2" t="s">
        <v>184</v>
      </c>
      <c r="AD37" s="4">
        <v>170</v>
      </c>
      <c r="AE37" s="4">
        <v>470</v>
      </c>
      <c r="AF37" s="6">
        <v>65</v>
      </c>
      <c r="AG37" s="6">
        <v>73</v>
      </c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/>
      <c r="AP37" s="4">
        <v>30</v>
      </c>
      <c r="AQ37" s="8">
        <v>2424.9</v>
      </c>
      <c r="AR37" s="4">
        <v>69</v>
      </c>
      <c r="AS37" s="8">
        <v>5577.27</v>
      </c>
      <c r="AT37" s="7">
        <v>-0.5652</v>
      </c>
      <c r="AU37" s="7">
        <v>-0.5652</v>
      </c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0.3748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147</v>
      </c>
      <c r="BK37" s="8">
        <v>12185.66</v>
      </c>
      <c r="BL37" s="2" t="s">
        <v>257</v>
      </c>
      <c r="BM37" s="7">
        <v>0.2041</v>
      </c>
      <c r="BN37" s="7">
        <v>0.199</v>
      </c>
      <c r="BO37" s="4">
        <v>30</v>
      </c>
      <c r="BP37" s="8">
        <v>2424.9</v>
      </c>
      <c r="BQ37" s="4">
        <v>69</v>
      </c>
      <c r="BR37" s="8">
        <v>5577.27</v>
      </c>
      <c r="BS37" s="7">
        <v>-0.5652</v>
      </c>
      <c r="BT37" s="7">
        <v>-0.5652</v>
      </c>
      <c r="BU37" s="2" t="s">
        <v>109</v>
      </c>
      <c r="BV37" s="2" t="s">
        <v>97</v>
      </c>
      <c r="BW37" s="2" t="s">
        <v>253</v>
      </c>
      <c r="BX37" s="2" t="s">
        <v>258</v>
      </c>
      <c r="BY37" s="2" t="s">
        <v>112</v>
      </c>
      <c r="BZ37" s="2" t="s">
        <v>100</v>
      </c>
    </row>
    <row r="38">
      <c r="A38" s="2" t="s">
        <v>259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244</v>
      </c>
      <c r="G38" s="2" t="s">
        <v>245</v>
      </c>
      <c r="H38" s="2" t="s">
        <v>246</v>
      </c>
      <c r="I38" s="2" t="s">
        <v>247</v>
      </c>
      <c r="J38" s="2" t="s">
        <v>120</v>
      </c>
      <c r="K38" s="2" t="s">
        <v>248</v>
      </c>
      <c r="L38" s="3">
        <v>70.55</v>
      </c>
      <c r="M38" s="3">
        <v>74.08</v>
      </c>
      <c r="N38" s="3">
        <v>149.99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249</v>
      </c>
      <c r="T38" s="2" t="s">
        <v>100</v>
      </c>
      <c r="U38" s="2" t="s">
        <v>102</v>
      </c>
      <c r="V38" s="2" t="s">
        <v>250</v>
      </c>
      <c r="W38" s="2" t="s">
        <v>104</v>
      </c>
      <c r="X38" s="2" t="s">
        <v>161</v>
      </c>
      <c r="Y38" s="2" t="s">
        <v>129</v>
      </c>
      <c r="Z38" s="4">
        <v>365</v>
      </c>
      <c r="AA38" s="4">
        <f>=ROUNDDOWN(15.8695652173913,0)</f>
      </c>
      <c r="AB38" s="5">
        <v>23</v>
      </c>
      <c r="AC38" s="2" t="s">
        <v>184</v>
      </c>
      <c r="AD38" s="4">
        <v>90</v>
      </c>
      <c r="AE38" s="4">
        <v>540</v>
      </c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20</v>
      </c>
      <c r="AQ38" s="8">
        <v>1616.6</v>
      </c>
      <c r="AR38" s="4">
        <v>30</v>
      </c>
      <c r="AS38" s="8">
        <v>2424.9</v>
      </c>
      <c r="AT38" s="7">
        <v>-0.3333</v>
      </c>
      <c r="AU38" s="7">
        <v>-0.3333</v>
      </c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0.2499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97</v>
      </c>
      <c r="BK38" s="8">
        <v>8024.89</v>
      </c>
      <c r="BL38" s="2" t="s">
        <v>260</v>
      </c>
      <c r="BM38" s="7">
        <v>0.2062</v>
      </c>
      <c r="BN38" s="7">
        <v>0.2014</v>
      </c>
      <c r="BO38" s="4">
        <v>20</v>
      </c>
      <c r="BP38" s="8">
        <v>1616.6</v>
      </c>
      <c r="BQ38" s="4">
        <v>30</v>
      </c>
      <c r="BR38" s="8">
        <v>2424.9</v>
      </c>
      <c r="BS38" s="7">
        <v>-0.3333</v>
      </c>
      <c r="BT38" s="7">
        <v>-0.3333</v>
      </c>
      <c r="BU38" s="2" t="s">
        <v>109</v>
      </c>
      <c r="BV38" s="2" t="s">
        <v>97</v>
      </c>
      <c r="BW38" s="2" t="s">
        <v>253</v>
      </c>
      <c r="BX38" s="2" t="s">
        <v>254</v>
      </c>
      <c r="BY38" s="2" t="s">
        <v>112</v>
      </c>
      <c r="BZ38" s="2" t="s">
        <v>100</v>
      </c>
    </row>
    <row r="39">
      <c r="A39" s="2" t="s">
        <v>261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244</v>
      </c>
      <c r="G39" s="2" t="s">
        <v>245</v>
      </c>
      <c r="H39" s="2" t="s">
        <v>246</v>
      </c>
      <c r="I39" s="2" t="s">
        <v>247</v>
      </c>
      <c r="J39" s="2" t="s">
        <v>95</v>
      </c>
      <c r="K39" s="2" t="s">
        <v>203</v>
      </c>
      <c r="L39" s="3">
        <v>61.73</v>
      </c>
      <c r="M39" s="3">
        <v>64.82</v>
      </c>
      <c r="N39" s="3">
        <v>129.99</v>
      </c>
      <c r="O39" s="2" t="s">
        <v>97</v>
      </c>
      <c r="P39" s="2" t="s">
        <v>141</v>
      </c>
      <c r="Q39" s="2" t="s">
        <v>99</v>
      </c>
      <c r="R39" s="2" t="s">
        <v>100</v>
      </c>
      <c r="S39" s="2" t="s">
        <v>262</v>
      </c>
      <c r="T39" s="2" t="s">
        <v>263</v>
      </c>
      <c r="U39" s="2" t="s">
        <v>102</v>
      </c>
      <c r="V39" s="2" t="s">
        <v>250</v>
      </c>
      <c r="W39" s="2" t="s">
        <v>104</v>
      </c>
      <c r="X39" s="2" t="s">
        <v>264</v>
      </c>
      <c r="Y39" s="2" t="s">
        <v>265</v>
      </c>
      <c r="Z39" s="4">
        <v>270</v>
      </c>
      <c r="AA39" s="4">
        <f>=ROUNDDOWN(27,0)</f>
      </c>
      <c r="AB39" s="5">
        <v>10</v>
      </c>
      <c r="AC39" s="2" t="s">
        <v>184</v>
      </c>
      <c r="AD39" s="4">
        <v>150</v>
      </c>
      <c r="AE39" s="4">
        <v>150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/>
      <c r="AP39" s="4">
        <v>17</v>
      </c>
      <c r="AQ39" s="8">
        <v>1179.46</v>
      </c>
      <c r="AR39" s="4">
        <v>9</v>
      </c>
      <c r="AS39" s="8">
        <v>624.42</v>
      </c>
      <c r="AT39" s="7">
        <v>0.8889</v>
      </c>
      <c r="AU39" s="7">
        <v>0.8889</v>
      </c>
      <c r="AV39" s="4">
        <v>44</v>
      </c>
      <c r="AW39" s="8">
        <v>3361.87</v>
      </c>
      <c r="AX39" s="4">
        <v>20</v>
      </c>
      <c r="AY39" s="8">
        <v>1513.55</v>
      </c>
      <c r="AZ39" s="7">
        <v>1.2</v>
      </c>
      <c r="BA39" s="7">
        <v>1.2212</v>
      </c>
      <c r="BB39" s="7">
        <v>0.3508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0.3372</v>
      </c>
      <c r="BJ39" s="4">
        <v>63</v>
      </c>
      <c r="BK39" s="8">
        <v>4544.91</v>
      </c>
      <c r="BL39" s="2" t="s">
        <v>266</v>
      </c>
      <c r="BM39" s="7">
        <v>0.2698</v>
      </c>
      <c r="BN39" s="7">
        <v>0.2595</v>
      </c>
      <c r="BO39" s="4">
        <v>17</v>
      </c>
      <c r="BP39" s="8">
        <v>1179.46</v>
      </c>
      <c r="BQ39" s="4">
        <v>9</v>
      </c>
      <c r="BR39" s="8">
        <v>624.42</v>
      </c>
      <c r="BS39" s="7">
        <v>0.8889</v>
      </c>
      <c r="BT39" s="7">
        <v>0.8889</v>
      </c>
      <c r="BU39" s="2" t="s">
        <v>109</v>
      </c>
      <c r="BV39" s="2" t="s">
        <v>97</v>
      </c>
      <c r="BW39" s="2" t="s">
        <v>267</v>
      </c>
      <c r="BX39" s="2" t="s">
        <v>268</v>
      </c>
      <c r="BY39" s="2" t="s">
        <v>112</v>
      </c>
      <c r="BZ39" s="2" t="s">
        <v>100</v>
      </c>
    </row>
    <row r="40">
      <c r="A40" s="2" t="s">
        <v>269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244</v>
      </c>
      <c r="G40" s="2" t="s">
        <v>245</v>
      </c>
      <c r="H40" s="2" t="s">
        <v>246</v>
      </c>
      <c r="I40" s="2" t="s">
        <v>247</v>
      </c>
      <c r="J40" s="2" t="s">
        <v>114</v>
      </c>
      <c r="K40" s="2" t="s">
        <v>203</v>
      </c>
      <c r="L40" s="3">
        <v>70.55</v>
      </c>
      <c r="M40" s="3">
        <v>74.08</v>
      </c>
      <c r="N40" s="3">
        <v>149.99</v>
      </c>
      <c r="O40" s="2" t="s">
        <v>97</v>
      </c>
      <c r="P40" s="2" t="s">
        <v>141</v>
      </c>
      <c r="Q40" s="2" t="s">
        <v>99</v>
      </c>
      <c r="R40" s="2" t="s">
        <v>100</v>
      </c>
      <c r="S40" s="2" t="s">
        <v>262</v>
      </c>
      <c r="T40" s="2" t="s">
        <v>263</v>
      </c>
      <c r="U40" s="2" t="s">
        <v>102</v>
      </c>
      <c r="V40" s="2" t="s">
        <v>250</v>
      </c>
      <c r="W40" s="2" t="s">
        <v>104</v>
      </c>
      <c r="X40" s="2" t="s">
        <v>264</v>
      </c>
      <c r="Y40" s="2" t="s">
        <v>265</v>
      </c>
      <c r="Z40" s="4">
        <v>307</v>
      </c>
      <c r="AA40" s="4">
        <f>=ROUNDDOWN(34.1111111111111,0)</f>
      </c>
      <c r="AB40" s="5">
        <v>9</v>
      </c>
      <c r="AC40" s="2" t="s">
        <v>270</v>
      </c>
      <c r="AD40" s="4">
        <v>150</v>
      </c>
      <c r="AE40" s="4">
        <v>150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/>
      <c r="AP40" s="4">
        <v>17</v>
      </c>
      <c r="AQ40" s="8">
        <v>1374.11</v>
      </c>
      <c r="AR40" s="4">
        <v>6</v>
      </c>
      <c r="AS40" s="8">
        <v>484.98</v>
      </c>
      <c r="AT40" s="7">
        <v>1.8333</v>
      </c>
      <c r="AU40" s="7">
        <v>1.8333</v>
      </c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0.4087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48</v>
      </c>
      <c r="BK40" s="8">
        <v>3917.07</v>
      </c>
      <c r="BL40" s="2" t="s">
        <v>266</v>
      </c>
      <c r="BM40" s="7">
        <v>0.3542</v>
      </c>
      <c r="BN40" s="7">
        <v>0.3508</v>
      </c>
      <c r="BO40" s="4">
        <v>17</v>
      </c>
      <c r="BP40" s="8">
        <v>1374.11</v>
      </c>
      <c r="BQ40" s="4">
        <v>6</v>
      </c>
      <c r="BR40" s="8">
        <v>484.98</v>
      </c>
      <c r="BS40" s="7">
        <v>1.8333</v>
      </c>
      <c r="BT40" s="7">
        <v>1.8333</v>
      </c>
      <c r="BU40" s="2" t="s">
        <v>109</v>
      </c>
      <c r="BV40" s="2" t="s">
        <v>97</v>
      </c>
      <c r="BW40" s="2" t="s">
        <v>267</v>
      </c>
      <c r="BX40" s="2" t="s">
        <v>271</v>
      </c>
      <c r="BY40" s="2" t="s">
        <v>112</v>
      </c>
      <c r="BZ40" s="2" t="s">
        <v>100</v>
      </c>
    </row>
    <row r="41">
      <c r="A41" s="2" t="s">
        <v>272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244</v>
      </c>
      <c r="G41" s="2" t="s">
        <v>245</v>
      </c>
      <c r="H41" s="2" t="s">
        <v>246</v>
      </c>
      <c r="I41" s="2" t="s">
        <v>247</v>
      </c>
      <c r="J41" s="2" t="s">
        <v>120</v>
      </c>
      <c r="K41" s="2" t="s">
        <v>203</v>
      </c>
      <c r="L41" s="3">
        <v>70.55</v>
      </c>
      <c r="M41" s="3">
        <v>74.08</v>
      </c>
      <c r="N41" s="3">
        <v>149.99</v>
      </c>
      <c r="O41" s="2" t="s">
        <v>97</v>
      </c>
      <c r="P41" s="2" t="s">
        <v>141</v>
      </c>
      <c r="Q41" s="2" t="s">
        <v>99</v>
      </c>
      <c r="R41" s="2" t="s">
        <v>100</v>
      </c>
      <c r="S41" s="2" t="s">
        <v>262</v>
      </c>
      <c r="T41" s="2" t="s">
        <v>263</v>
      </c>
      <c r="U41" s="2" t="s">
        <v>102</v>
      </c>
      <c r="V41" s="2" t="s">
        <v>250</v>
      </c>
      <c r="W41" s="2" t="s">
        <v>104</v>
      </c>
      <c r="X41" s="2" t="s">
        <v>264</v>
      </c>
      <c r="Y41" s="2" t="s">
        <v>265</v>
      </c>
      <c r="Z41" s="4">
        <v>234</v>
      </c>
      <c r="AA41" s="4">
        <f>=ROUNDDOWN(29.25,0)</f>
      </c>
      <c r="AB41" s="5">
        <v>8</v>
      </c>
      <c r="AC41" s="2" t="s">
        <v>270</v>
      </c>
      <c r="AD41" s="4">
        <v>100</v>
      </c>
      <c r="AE41" s="4">
        <v>100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/>
      <c r="AP41" s="4">
        <v>10</v>
      </c>
      <c r="AQ41" s="8">
        <v>808.3</v>
      </c>
      <c r="AR41" s="4">
        <v>5</v>
      </c>
      <c r="AS41" s="8">
        <v>404.15</v>
      </c>
      <c r="AT41" s="7">
        <v>1</v>
      </c>
      <c r="AU41" s="7">
        <v>1</v>
      </c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0.2404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35</v>
      </c>
      <c r="BK41" s="8">
        <v>2923.25</v>
      </c>
      <c r="BL41" s="2" t="s">
        <v>273</v>
      </c>
      <c r="BM41" s="7">
        <v>0.2857</v>
      </c>
      <c r="BN41" s="7">
        <v>0.2765</v>
      </c>
      <c r="BO41" s="4">
        <v>10</v>
      </c>
      <c r="BP41" s="8">
        <v>808.3</v>
      </c>
      <c r="BQ41" s="4">
        <v>5</v>
      </c>
      <c r="BR41" s="8">
        <v>404.15</v>
      </c>
      <c r="BS41" s="7">
        <v>1</v>
      </c>
      <c r="BT41" s="7">
        <v>1</v>
      </c>
      <c r="BU41" s="2" t="s">
        <v>109</v>
      </c>
      <c r="BV41" s="2" t="s">
        <v>97</v>
      </c>
      <c r="BW41" s="2" t="s">
        <v>267</v>
      </c>
      <c r="BX41" s="2" t="s">
        <v>274</v>
      </c>
      <c r="BY41" s="2" t="s">
        <v>112</v>
      </c>
      <c r="BZ41" s="2" t="s">
        <v>100</v>
      </c>
    </row>
    <row r="42">
      <c r="A42" s="2" t="s">
        <v>275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244</v>
      </c>
      <c r="G42" s="2" t="s">
        <v>245</v>
      </c>
      <c r="H42" s="2" t="s">
        <v>246</v>
      </c>
      <c r="I42" s="2" t="s">
        <v>247</v>
      </c>
      <c r="J42" s="2" t="s">
        <v>95</v>
      </c>
      <c r="K42" s="2" t="s">
        <v>276</v>
      </c>
      <c r="L42" s="3">
        <v>61.73</v>
      </c>
      <c r="M42" s="3">
        <v>64.82</v>
      </c>
      <c r="N42" s="3">
        <v>129.99</v>
      </c>
      <c r="O42" s="2" t="s">
        <v>97</v>
      </c>
      <c r="P42" s="2" t="s">
        <v>141</v>
      </c>
      <c r="Q42" s="2" t="s">
        <v>99</v>
      </c>
      <c r="R42" s="2" t="s">
        <v>100</v>
      </c>
      <c r="S42" s="2" t="s">
        <v>277</v>
      </c>
      <c r="T42" s="2" t="s">
        <v>100</v>
      </c>
      <c r="U42" s="2" t="s">
        <v>102</v>
      </c>
      <c r="V42" s="2" t="s">
        <v>250</v>
      </c>
      <c r="W42" s="2" t="s">
        <v>104</v>
      </c>
      <c r="X42" s="2" t="s">
        <v>161</v>
      </c>
      <c r="Y42" s="2" t="s">
        <v>129</v>
      </c>
      <c r="Z42" s="4">
        <v>360</v>
      </c>
      <c r="AA42" s="4">
        <f>=ROUNDDOWN(40,0)</f>
      </c>
      <c r="AB42" s="5">
        <v>9</v>
      </c>
      <c r="AC42" s="2" t="s">
        <v>100</v>
      </c>
      <c r="AD42" s="4"/>
      <c r="AE42" s="4"/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/>
      <c r="AP42" s="4">
        <v>2</v>
      </c>
      <c r="AQ42" s="8">
        <v>138.76</v>
      </c>
      <c r="AR42" s="4"/>
      <c r="AS42" s="8"/>
      <c r="AT42" s="7"/>
      <c r="AU42" s="7"/>
      <c r="AV42" s="4">
        <v>2</v>
      </c>
      <c r="AW42" s="8">
        <v>138.76</v>
      </c>
      <c r="AX42" s="4">
        <v>6</v>
      </c>
      <c r="AY42" s="8">
        <v>484.98</v>
      </c>
      <c r="AZ42" s="7">
        <v>-0.6667</v>
      </c>
      <c r="BA42" s="7">
        <v>-0.7139</v>
      </c>
      <c r="BB42" s="7">
        <v>1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0.0139</v>
      </c>
      <c r="BJ42" s="4">
        <v>48</v>
      </c>
      <c r="BK42" s="8">
        <v>3584.69</v>
      </c>
      <c r="BL42" s="2" t="s">
        <v>278</v>
      </c>
      <c r="BM42" s="7">
        <v>0.0417</v>
      </c>
      <c r="BN42" s="7">
        <v>0.0387</v>
      </c>
      <c r="BO42" s="4">
        <v>2</v>
      </c>
      <c r="BP42" s="8">
        <v>138.76</v>
      </c>
      <c r="BQ42" s="4"/>
      <c r="BR42" s="8"/>
      <c r="BS42" s="7"/>
      <c r="BT42" s="7"/>
      <c r="BU42" s="2" t="s">
        <v>109</v>
      </c>
      <c r="BV42" s="2" t="s">
        <v>97</v>
      </c>
      <c r="BW42" s="2" t="s">
        <v>164</v>
      </c>
      <c r="BX42" s="2" t="s">
        <v>172</v>
      </c>
      <c r="BY42" s="2" t="s">
        <v>112</v>
      </c>
      <c r="BZ42" s="2" t="s">
        <v>100</v>
      </c>
    </row>
    <row r="43">
      <c r="A43" s="2" t="s">
        <v>279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244</v>
      </c>
      <c r="G43" s="2" t="s">
        <v>245</v>
      </c>
      <c r="H43" s="2" t="s">
        <v>246</v>
      </c>
      <c r="I43" s="2" t="s">
        <v>247</v>
      </c>
      <c r="J43" s="2" t="s">
        <v>114</v>
      </c>
      <c r="K43" s="2" t="s">
        <v>276</v>
      </c>
      <c r="L43" s="3">
        <v>70.55</v>
      </c>
      <c r="M43" s="3">
        <v>74.08</v>
      </c>
      <c r="N43" s="3">
        <v>149.99</v>
      </c>
      <c r="O43" s="2" t="s">
        <v>97</v>
      </c>
      <c r="P43" s="2" t="s">
        <v>141</v>
      </c>
      <c r="Q43" s="2" t="s">
        <v>99</v>
      </c>
      <c r="R43" s="2" t="s">
        <v>100</v>
      </c>
      <c r="S43" s="2" t="s">
        <v>277</v>
      </c>
      <c r="T43" s="2" t="s">
        <v>100</v>
      </c>
      <c r="U43" s="2" t="s">
        <v>102</v>
      </c>
      <c r="V43" s="2" t="s">
        <v>250</v>
      </c>
      <c r="W43" s="2" t="s">
        <v>104</v>
      </c>
      <c r="X43" s="2" t="s">
        <v>161</v>
      </c>
      <c r="Y43" s="2" t="s">
        <v>129</v>
      </c>
      <c r="Z43" s="4">
        <v>487</v>
      </c>
      <c r="AA43" s="4">
        <f>=ROUNDDOWN(60.875,0)</f>
      </c>
      <c r="AB43" s="5">
        <v>8</v>
      </c>
      <c r="AC43" s="2" t="s">
        <v>100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/>
      <c r="AP43" s="4"/>
      <c r="AQ43" s="8"/>
      <c r="AR43" s="4">
        <v>3</v>
      </c>
      <c r="AS43" s="8">
        <v>242.49</v>
      </c>
      <c r="AT43" s="7">
        <v>-1</v>
      </c>
      <c r="AU43" s="7">
        <v>-1</v>
      </c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/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53</v>
      </c>
      <c r="BK43" s="8">
        <v>4582.32</v>
      </c>
      <c r="BL43" s="2" t="s">
        <v>280</v>
      </c>
      <c r="BM43" s="7"/>
      <c r="BN43" s="7"/>
      <c r="BO43" s="4"/>
      <c r="BP43" s="8"/>
      <c r="BQ43" s="4">
        <v>3</v>
      </c>
      <c r="BR43" s="8">
        <v>242.49</v>
      </c>
      <c r="BS43" s="7">
        <v>-1</v>
      </c>
      <c r="BT43" s="7">
        <v>-1</v>
      </c>
      <c r="BU43" s="2" t="s">
        <v>109</v>
      </c>
      <c r="BV43" s="2" t="s">
        <v>97</v>
      </c>
      <c r="BW43" s="2" t="s">
        <v>164</v>
      </c>
      <c r="BX43" s="2" t="s">
        <v>172</v>
      </c>
      <c r="BY43" s="2" t="s">
        <v>112</v>
      </c>
      <c r="BZ43" s="2" t="s">
        <v>100</v>
      </c>
    </row>
    <row r="44">
      <c r="A44" s="2" t="s">
        <v>281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244</v>
      </c>
      <c r="G44" s="2" t="s">
        <v>245</v>
      </c>
      <c r="H44" s="2" t="s">
        <v>246</v>
      </c>
      <c r="I44" s="2" t="s">
        <v>247</v>
      </c>
      <c r="J44" s="2" t="s">
        <v>120</v>
      </c>
      <c r="K44" s="2" t="s">
        <v>276</v>
      </c>
      <c r="L44" s="3">
        <v>70.55</v>
      </c>
      <c r="M44" s="3">
        <v>74.08</v>
      </c>
      <c r="N44" s="3">
        <v>149.99</v>
      </c>
      <c r="O44" s="2" t="s">
        <v>97</v>
      </c>
      <c r="P44" s="2" t="s">
        <v>141</v>
      </c>
      <c r="Q44" s="2" t="s">
        <v>99</v>
      </c>
      <c r="R44" s="2" t="s">
        <v>100</v>
      </c>
      <c r="S44" s="2" t="s">
        <v>277</v>
      </c>
      <c r="T44" s="2" t="s">
        <v>100</v>
      </c>
      <c r="U44" s="2" t="s">
        <v>102</v>
      </c>
      <c r="V44" s="2" t="s">
        <v>250</v>
      </c>
      <c r="W44" s="2" t="s">
        <v>104</v>
      </c>
      <c r="X44" s="2" t="s">
        <v>161</v>
      </c>
      <c r="Y44" s="2" t="s">
        <v>129</v>
      </c>
      <c r="Z44" s="4">
        <v>390</v>
      </c>
      <c r="AA44" s="4">
        <f>=ROUNDDOWN(65,0)</f>
      </c>
      <c r="AB44" s="5">
        <v>6</v>
      </c>
      <c r="AC44" s="2" t="s">
        <v>100</v>
      </c>
      <c r="AD44" s="4"/>
      <c r="AE44" s="4"/>
      <c r="AF44" s="6">
        <v>65</v>
      </c>
      <c r="AG44" s="6">
        <v>73</v>
      </c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/>
      <c r="AP44" s="4"/>
      <c r="AQ44" s="8"/>
      <c r="AR44" s="4">
        <v>3</v>
      </c>
      <c r="AS44" s="8">
        <v>242.49</v>
      </c>
      <c r="AT44" s="7">
        <v>-1</v>
      </c>
      <c r="AU44" s="7">
        <v>-1</v>
      </c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/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38</v>
      </c>
      <c r="BK44" s="8">
        <v>3169.66</v>
      </c>
      <c r="BL44" s="2" t="s">
        <v>282</v>
      </c>
      <c r="BM44" s="7"/>
      <c r="BN44" s="7"/>
      <c r="BO44" s="4"/>
      <c r="BP44" s="8"/>
      <c r="BQ44" s="4">
        <v>3</v>
      </c>
      <c r="BR44" s="8">
        <v>242.49</v>
      </c>
      <c r="BS44" s="7">
        <v>-1</v>
      </c>
      <c r="BT44" s="7">
        <v>-1</v>
      </c>
      <c r="BU44" s="2" t="s">
        <v>109</v>
      </c>
      <c r="BV44" s="2" t="s">
        <v>97</v>
      </c>
      <c r="BW44" s="2" t="s">
        <v>164</v>
      </c>
      <c r="BX44" s="2" t="s">
        <v>168</v>
      </c>
      <c r="BY44" s="2" t="s">
        <v>112</v>
      </c>
      <c r="BZ44" s="2" t="s">
        <v>100</v>
      </c>
    </row>
    <row r="45">
      <c r="A45" s="2" t="s">
        <v>283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284</v>
      </c>
      <c r="G45" s="2" t="s">
        <v>285</v>
      </c>
      <c r="H45" s="2" t="s">
        <v>286</v>
      </c>
      <c r="I45" s="2" t="s">
        <v>287</v>
      </c>
      <c r="J45" s="2" t="s">
        <v>95</v>
      </c>
      <c r="K45" s="2" t="s">
        <v>288</v>
      </c>
      <c r="L45" s="3">
        <v>86.29</v>
      </c>
      <c r="M45" s="3">
        <v>90.6</v>
      </c>
      <c r="N45" s="3">
        <v>179.99</v>
      </c>
      <c r="O45" s="2" t="s">
        <v>97</v>
      </c>
      <c r="P45" s="2" t="s">
        <v>126</v>
      </c>
      <c r="Q45" s="2" t="s">
        <v>99</v>
      </c>
      <c r="R45" s="2" t="s">
        <v>100</v>
      </c>
      <c r="S45" s="2" t="s">
        <v>289</v>
      </c>
      <c r="T45" s="2" t="s">
        <v>100</v>
      </c>
      <c r="U45" s="2" t="s">
        <v>290</v>
      </c>
      <c r="V45" s="2" t="s">
        <v>250</v>
      </c>
      <c r="W45" s="2" t="s">
        <v>291</v>
      </c>
      <c r="X45" s="2" t="s">
        <v>292</v>
      </c>
      <c r="Y45" s="2" t="s">
        <v>293</v>
      </c>
      <c r="Z45" s="4">
        <v>786</v>
      </c>
      <c r="AA45" s="4">
        <f>=ROUNDDOWN(46.2352941176471,0)</f>
      </c>
      <c r="AB45" s="5">
        <v>17</v>
      </c>
      <c r="AC45" s="2" t="s">
        <v>294</v>
      </c>
      <c r="AD45" s="4">
        <v>100</v>
      </c>
      <c r="AE45" s="4">
        <v>100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/>
      <c r="AP45" s="4">
        <v>9</v>
      </c>
      <c r="AQ45" s="8">
        <v>688.5</v>
      </c>
      <c r="AR45" s="4">
        <v>33</v>
      </c>
      <c r="AS45" s="8">
        <v>2524.5</v>
      </c>
      <c r="AT45" s="7">
        <v>-0.7273</v>
      </c>
      <c r="AU45" s="7">
        <v>-0.7273</v>
      </c>
      <c r="AV45" s="4">
        <v>19</v>
      </c>
      <c r="AW45" s="8">
        <v>1646</v>
      </c>
      <c r="AX45" s="4">
        <v>82</v>
      </c>
      <c r="AY45" s="8">
        <v>7216.25</v>
      </c>
      <c r="AZ45" s="7">
        <v>-0.7683</v>
      </c>
      <c r="BA45" s="7">
        <v>-0.7719</v>
      </c>
      <c r="BB45" s="7">
        <v>0.4183</v>
      </c>
      <c r="BC45" s="4">
        <v>55</v>
      </c>
      <c r="BD45" s="8">
        <v>4804.25</v>
      </c>
      <c r="BE45" s="4">
        <v>202</v>
      </c>
      <c r="BF45" s="8">
        <v>17878.5</v>
      </c>
      <c r="BG45" s="7">
        <v>-0.7277</v>
      </c>
      <c r="BH45" s="7">
        <v>-0.7313</v>
      </c>
      <c r="BI45" s="7">
        <v>0.3426</v>
      </c>
      <c r="BJ45" s="4">
        <v>84</v>
      </c>
      <c r="BK45" s="8">
        <v>6786.04</v>
      </c>
      <c r="BL45" s="2" t="s">
        <v>295</v>
      </c>
      <c r="BM45" s="7">
        <v>0.1071</v>
      </c>
      <c r="BN45" s="7">
        <v>0.1015</v>
      </c>
      <c r="BO45" s="4">
        <v>9</v>
      </c>
      <c r="BP45" s="8">
        <v>688.5</v>
      </c>
      <c r="BQ45" s="4">
        <v>33</v>
      </c>
      <c r="BR45" s="8">
        <v>2524.5</v>
      </c>
      <c r="BS45" s="7">
        <v>-0.7273</v>
      </c>
      <c r="BT45" s="7">
        <v>-0.7273</v>
      </c>
      <c r="BU45" s="2" t="s">
        <v>109</v>
      </c>
      <c r="BV45" s="2" t="s">
        <v>97</v>
      </c>
      <c r="BW45" s="2" t="s">
        <v>296</v>
      </c>
      <c r="BX45" s="2" t="s">
        <v>297</v>
      </c>
      <c r="BY45" s="2" t="s">
        <v>112</v>
      </c>
      <c r="BZ45" s="2" t="s">
        <v>100</v>
      </c>
    </row>
    <row r="46">
      <c r="A46" s="2" t="s">
        <v>298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284</v>
      </c>
      <c r="G46" s="2" t="s">
        <v>285</v>
      </c>
      <c r="H46" s="2" t="s">
        <v>286</v>
      </c>
      <c r="I46" s="2" t="s">
        <v>287</v>
      </c>
      <c r="J46" s="2" t="s">
        <v>114</v>
      </c>
      <c r="K46" s="2" t="s">
        <v>288</v>
      </c>
      <c r="L46" s="3">
        <v>98.49</v>
      </c>
      <c r="M46" s="3">
        <v>103.41</v>
      </c>
      <c r="N46" s="3">
        <v>199.99</v>
      </c>
      <c r="O46" s="2" t="s">
        <v>97</v>
      </c>
      <c r="P46" s="2" t="s">
        <v>126</v>
      </c>
      <c r="Q46" s="2" t="s">
        <v>99</v>
      </c>
      <c r="R46" s="2" t="s">
        <v>100</v>
      </c>
      <c r="S46" s="2" t="s">
        <v>289</v>
      </c>
      <c r="T46" s="2" t="s">
        <v>100</v>
      </c>
      <c r="U46" s="2" t="s">
        <v>290</v>
      </c>
      <c r="V46" s="2" t="s">
        <v>250</v>
      </c>
      <c r="W46" s="2" t="s">
        <v>291</v>
      </c>
      <c r="X46" s="2" t="s">
        <v>292</v>
      </c>
      <c r="Y46" s="2" t="s">
        <v>293</v>
      </c>
      <c r="Z46" s="4">
        <v>540</v>
      </c>
      <c r="AA46" s="4">
        <f>=ROUNDDOWN(28.4210526315789,0)</f>
      </c>
      <c r="AB46" s="5">
        <v>19</v>
      </c>
      <c r="AC46" s="2" t="s">
        <v>299</v>
      </c>
      <c r="AD46" s="4">
        <v>240</v>
      </c>
      <c r="AE46" s="4">
        <v>440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6</v>
      </c>
      <c r="AQ46" s="8">
        <v>574.5</v>
      </c>
      <c r="AR46" s="4">
        <v>35</v>
      </c>
      <c r="AS46" s="8">
        <v>3351.25</v>
      </c>
      <c r="AT46" s="7">
        <v>-0.8286</v>
      </c>
      <c r="AU46" s="7">
        <v>-0.8286</v>
      </c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0.349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79</v>
      </c>
      <c r="BK46" s="8">
        <v>7990.49</v>
      </c>
      <c r="BL46" s="2" t="s">
        <v>300</v>
      </c>
      <c r="BM46" s="7">
        <v>0.0759</v>
      </c>
      <c r="BN46" s="7">
        <v>0.0719</v>
      </c>
      <c r="BO46" s="4">
        <v>6</v>
      </c>
      <c r="BP46" s="8">
        <v>574.5</v>
      </c>
      <c r="BQ46" s="4">
        <v>35</v>
      </c>
      <c r="BR46" s="8">
        <v>3351.25</v>
      </c>
      <c r="BS46" s="7">
        <v>-0.8286</v>
      </c>
      <c r="BT46" s="7">
        <v>-0.8286</v>
      </c>
      <c r="BU46" s="2" t="s">
        <v>109</v>
      </c>
      <c r="BV46" s="2" t="s">
        <v>97</v>
      </c>
      <c r="BW46" s="2" t="s">
        <v>296</v>
      </c>
      <c r="BX46" s="2" t="s">
        <v>301</v>
      </c>
      <c r="BY46" s="2" t="s">
        <v>112</v>
      </c>
      <c r="BZ46" s="2" t="s">
        <v>100</v>
      </c>
    </row>
    <row r="47">
      <c r="A47" s="2" t="s">
        <v>302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284</v>
      </c>
      <c r="G47" s="2" t="s">
        <v>285</v>
      </c>
      <c r="H47" s="2" t="s">
        <v>286</v>
      </c>
      <c r="I47" s="2" t="s">
        <v>287</v>
      </c>
      <c r="J47" s="2" t="s">
        <v>120</v>
      </c>
      <c r="K47" s="2" t="s">
        <v>288</v>
      </c>
      <c r="L47" s="3">
        <v>98.49</v>
      </c>
      <c r="M47" s="3">
        <v>103.41</v>
      </c>
      <c r="N47" s="3">
        <v>199.99</v>
      </c>
      <c r="O47" s="2" t="s">
        <v>97</v>
      </c>
      <c r="P47" s="2" t="s">
        <v>126</v>
      </c>
      <c r="Q47" s="2" t="s">
        <v>99</v>
      </c>
      <c r="R47" s="2" t="s">
        <v>100</v>
      </c>
      <c r="S47" s="2" t="s">
        <v>289</v>
      </c>
      <c r="T47" s="2" t="s">
        <v>100</v>
      </c>
      <c r="U47" s="2" t="s">
        <v>290</v>
      </c>
      <c r="V47" s="2" t="s">
        <v>250</v>
      </c>
      <c r="W47" s="2" t="s">
        <v>291</v>
      </c>
      <c r="X47" s="2" t="s">
        <v>292</v>
      </c>
      <c r="Y47" s="2" t="s">
        <v>293</v>
      </c>
      <c r="Z47" s="4">
        <v>416</v>
      </c>
      <c r="AA47" s="4">
        <f>=ROUNDDOWN(52,0)</f>
      </c>
      <c r="AB47" s="5">
        <v>8</v>
      </c>
      <c r="AC47" s="2" t="s">
        <v>303</v>
      </c>
      <c r="AD47" s="4">
        <v>60</v>
      </c>
      <c r="AE47" s="4">
        <v>60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/>
      <c r="AP47" s="4">
        <v>4</v>
      </c>
      <c r="AQ47" s="8">
        <v>383</v>
      </c>
      <c r="AR47" s="4">
        <v>14</v>
      </c>
      <c r="AS47" s="8">
        <v>1340.5</v>
      </c>
      <c r="AT47" s="7">
        <v>-0.7143</v>
      </c>
      <c r="AU47" s="7">
        <v>-0.7143</v>
      </c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0.2327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45</v>
      </c>
      <c r="BK47" s="8">
        <v>4310.71</v>
      </c>
      <c r="BL47" s="2" t="s">
        <v>304</v>
      </c>
      <c r="BM47" s="7">
        <v>0.0889</v>
      </c>
      <c r="BN47" s="7">
        <v>0.0888</v>
      </c>
      <c r="BO47" s="4">
        <v>4</v>
      </c>
      <c r="BP47" s="8">
        <v>383</v>
      </c>
      <c r="BQ47" s="4">
        <v>14</v>
      </c>
      <c r="BR47" s="8">
        <v>1340.5</v>
      </c>
      <c r="BS47" s="7">
        <v>-0.7143</v>
      </c>
      <c r="BT47" s="7">
        <v>-0.7143</v>
      </c>
      <c r="BU47" s="2" t="s">
        <v>109</v>
      </c>
      <c r="BV47" s="2" t="s">
        <v>97</v>
      </c>
      <c r="BW47" s="2" t="s">
        <v>296</v>
      </c>
      <c r="BX47" s="2" t="s">
        <v>297</v>
      </c>
      <c r="BY47" s="2" t="s">
        <v>112</v>
      </c>
      <c r="BZ47" s="2" t="s">
        <v>100</v>
      </c>
    </row>
    <row r="48">
      <c r="A48" s="2" t="s">
        <v>305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284</v>
      </c>
      <c r="G48" s="2" t="s">
        <v>285</v>
      </c>
      <c r="H48" s="2" t="s">
        <v>306</v>
      </c>
      <c r="I48" s="2" t="s">
        <v>287</v>
      </c>
      <c r="J48" s="2" t="s">
        <v>95</v>
      </c>
      <c r="K48" s="2" t="s">
        <v>307</v>
      </c>
      <c r="L48" s="3">
        <v>86.29</v>
      </c>
      <c r="M48" s="3">
        <v>90.6</v>
      </c>
      <c r="N48" s="3">
        <v>179.99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308</v>
      </c>
      <c r="T48" s="2" t="s">
        <v>100</v>
      </c>
      <c r="U48" s="2" t="s">
        <v>290</v>
      </c>
      <c r="V48" s="2" t="s">
        <v>250</v>
      </c>
      <c r="W48" s="2" t="s">
        <v>291</v>
      </c>
      <c r="X48" s="2" t="s">
        <v>292</v>
      </c>
      <c r="Y48" s="2" t="s">
        <v>309</v>
      </c>
      <c r="Z48" s="4">
        <v>1175</v>
      </c>
      <c r="AA48" s="4">
        <f>=ROUNDDOWN(21.7592592592593,0)</f>
      </c>
      <c r="AB48" s="5">
        <v>54</v>
      </c>
      <c r="AC48" s="2" t="s">
        <v>310</v>
      </c>
      <c r="AD48" s="4">
        <v>200</v>
      </c>
      <c r="AE48" s="4">
        <v>500</v>
      </c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/>
      <c r="AP48" s="4">
        <v>7</v>
      </c>
      <c r="AQ48" s="8">
        <v>535.5</v>
      </c>
      <c r="AR48" s="4">
        <v>25</v>
      </c>
      <c r="AS48" s="8">
        <v>1912.5</v>
      </c>
      <c r="AT48" s="7">
        <v>-0.72</v>
      </c>
      <c r="AU48" s="7">
        <v>-0.72</v>
      </c>
      <c r="AV48" s="4">
        <v>15</v>
      </c>
      <c r="AW48" s="8">
        <v>1301.5</v>
      </c>
      <c r="AX48" s="4">
        <v>47</v>
      </c>
      <c r="AY48" s="8">
        <v>4019</v>
      </c>
      <c r="AZ48" s="7">
        <v>-0.6809</v>
      </c>
      <c r="BA48" s="7">
        <v>-0.6762</v>
      </c>
      <c r="BB48" s="7">
        <v>0.4114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0.2709</v>
      </c>
      <c r="BJ48" s="4">
        <v>315</v>
      </c>
      <c r="BK48" s="8">
        <v>25512.64</v>
      </c>
      <c r="BL48" s="2" t="s">
        <v>311</v>
      </c>
      <c r="BM48" s="7">
        <v>0.0222</v>
      </c>
      <c r="BN48" s="7">
        <v>0.021</v>
      </c>
      <c r="BO48" s="4">
        <v>7</v>
      </c>
      <c r="BP48" s="8">
        <v>535.5</v>
      </c>
      <c r="BQ48" s="4">
        <v>25</v>
      </c>
      <c r="BR48" s="8">
        <v>1912.5</v>
      </c>
      <c r="BS48" s="7">
        <v>-0.72</v>
      </c>
      <c r="BT48" s="7">
        <v>-0.72</v>
      </c>
      <c r="BU48" s="2" t="s">
        <v>109</v>
      </c>
      <c r="BV48" s="2" t="s">
        <v>97</v>
      </c>
      <c r="BW48" s="2" t="s">
        <v>312</v>
      </c>
      <c r="BX48" s="2" t="s">
        <v>313</v>
      </c>
      <c r="BY48" s="2" t="s">
        <v>112</v>
      </c>
      <c r="BZ48" s="2" t="s">
        <v>100</v>
      </c>
    </row>
    <row r="49">
      <c r="A49" s="2" t="s">
        <v>314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284</v>
      </c>
      <c r="G49" s="2" t="s">
        <v>285</v>
      </c>
      <c r="H49" s="2" t="s">
        <v>306</v>
      </c>
      <c r="I49" s="2" t="s">
        <v>287</v>
      </c>
      <c r="J49" s="2" t="s">
        <v>114</v>
      </c>
      <c r="K49" s="2" t="s">
        <v>307</v>
      </c>
      <c r="L49" s="3">
        <v>98.49</v>
      </c>
      <c r="M49" s="3">
        <v>103.41</v>
      </c>
      <c r="N49" s="3">
        <v>199.99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308</v>
      </c>
      <c r="T49" s="2" t="s">
        <v>100</v>
      </c>
      <c r="U49" s="2" t="s">
        <v>290</v>
      </c>
      <c r="V49" s="2" t="s">
        <v>250</v>
      </c>
      <c r="W49" s="2" t="s">
        <v>291</v>
      </c>
      <c r="X49" s="2" t="s">
        <v>292</v>
      </c>
      <c r="Y49" s="2" t="s">
        <v>309</v>
      </c>
      <c r="Z49" s="4">
        <v>1579</v>
      </c>
      <c r="AA49" s="4">
        <f>=ROUNDDOWN(25.0634920634921,0)</f>
      </c>
      <c r="AB49" s="5">
        <v>63</v>
      </c>
      <c r="AC49" s="2" t="s">
        <v>315</v>
      </c>
      <c r="AD49" s="4">
        <v>300</v>
      </c>
      <c r="AE49" s="4">
        <v>300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/>
      <c r="AP49" s="4">
        <v>7</v>
      </c>
      <c r="AQ49" s="8">
        <v>670.25</v>
      </c>
      <c r="AR49" s="4">
        <v>12</v>
      </c>
      <c r="AS49" s="8">
        <v>1149</v>
      </c>
      <c r="AT49" s="7">
        <v>-0.4167</v>
      </c>
      <c r="AU49" s="7">
        <v>-0.4167</v>
      </c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0.515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440</v>
      </c>
      <c r="BK49" s="8">
        <v>40691.55</v>
      </c>
      <c r="BL49" s="2" t="s">
        <v>316</v>
      </c>
      <c r="BM49" s="7">
        <v>0.0159</v>
      </c>
      <c r="BN49" s="7">
        <v>0.0165</v>
      </c>
      <c r="BO49" s="4">
        <v>7</v>
      </c>
      <c r="BP49" s="8">
        <v>670.25</v>
      </c>
      <c r="BQ49" s="4">
        <v>12</v>
      </c>
      <c r="BR49" s="8">
        <v>1149</v>
      </c>
      <c r="BS49" s="7">
        <v>-0.4167</v>
      </c>
      <c r="BT49" s="7">
        <v>-0.4167</v>
      </c>
      <c r="BU49" s="2" t="s">
        <v>109</v>
      </c>
      <c r="BV49" s="2" t="s">
        <v>97</v>
      </c>
      <c r="BW49" s="2" t="s">
        <v>312</v>
      </c>
      <c r="BX49" s="2" t="s">
        <v>313</v>
      </c>
      <c r="BY49" s="2" t="s">
        <v>112</v>
      </c>
      <c r="BZ49" s="2" t="s">
        <v>100</v>
      </c>
    </row>
    <row r="50">
      <c r="A50" s="2" t="s">
        <v>317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284</v>
      </c>
      <c r="G50" s="2" t="s">
        <v>285</v>
      </c>
      <c r="H50" s="2" t="s">
        <v>306</v>
      </c>
      <c r="I50" s="2" t="s">
        <v>287</v>
      </c>
      <c r="J50" s="2" t="s">
        <v>120</v>
      </c>
      <c r="K50" s="2" t="s">
        <v>307</v>
      </c>
      <c r="L50" s="3">
        <v>98.49</v>
      </c>
      <c r="M50" s="3">
        <v>103.41</v>
      </c>
      <c r="N50" s="3">
        <v>199.99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308</v>
      </c>
      <c r="T50" s="2" t="s">
        <v>100</v>
      </c>
      <c r="U50" s="2" t="s">
        <v>290</v>
      </c>
      <c r="V50" s="2" t="s">
        <v>250</v>
      </c>
      <c r="W50" s="2" t="s">
        <v>291</v>
      </c>
      <c r="X50" s="2" t="s">
        <v>292</v>
      </c>
      <c r="Y50" s="2" t="s">
        <v>309</v>
      </c>
      <c r="Z50" s="4">
        <v>1310</v>
      </c>
      <c r="AA50" s="4">
        <f>=ROUNDDOWN(38.5294117647059,0)</f>
      </c>
      <c r="AB50" s="5">
        <v>34</v>
      </c>
      <c r="AC50" s="2" t="s">
        <v>100</v>
      </c>
      <c r="AD50" s="4"/>
      <c r="AE50" s="4"/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/>
      <c r="AP50" s="4">
        <v>1</v>
      </c>
      <c r="AQ50" s="8">
        <v>95.75</v>
      </c>
      <c r="AR50" s="4">
        <v>10</v>
      </c>
      <c r="AS50" s="8">
        <v>957.5</v>
      </c>
      <c r="AT50" s="7">
        <v>-0.9</v>
      </c>
      <c r="AU50" s="7">
        <v>-0.9</v>
      </c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0.0736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236</v>
      </c>
      <c r="BK50" s="8">
        <v>21895.53</v>
      </c>
      <c r="BL50" s="2" t="s">
        <v>318</v>
      </c>
      <c r="BM50" s="7">
        <v>0.0042</v>
      </c>
      <c r="BN50" s="7">
        <v>0.0044</v>
      </c>
      <c r="BO50" s="4">
        <v>1</v>
      </c>
      <c r="BP50" s="8">
        <v>95.75</v>
      </c>
      <c r="BQ50" s="4">
        <v>10</v>
      </c>
      <c r="BR50" s="8">
        <v>957.5</v>
      </c>
      <c r="BS50" s="7">
        <v>-0.9</v>
      </c>
      <c r="BT50" s="7">
        <v>-0.9</v>
      </c>
      <c r="BU50" s="2" t="s">
        <v>109</v>
      </c>
      <c r="BV50" s="2" t="s">
        <v>97</v>
      </c>
      <c r="BW50" s="2" t="s">
        <v>312</v>
      </c>
      <c r="BX50" s="2" t="s">
        <v>319</v>
      </c>
      <c r="BY50" s="2" t="s">
        <v>112</v>
      </c>
      <c r="BZ50" s="2" t="s">
        <v>100</v>
      </c>
    </row>
    <row r="51">
      <c r="A51" s="2" t="s">
        <v>320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284</v>
      </c>
      <c r="G51" s="2" t="s">
        <v>285</v>
      </c>
      <c r="H51" s="2" t="s">
        <v>306</v>
      </c>
      <c r="I51" s="2" t="s">
        <v>287</v>
      </c>
      <c r="J51" s="2" t="s">
        <v>95</v>
      </c>
      <c r="K51" s="2" t="s">
        <v>321</v>
      </c>
      <c r="L51" s="3">
        <v>86.29</v>
      </c>
      <c r="M51" s="3">
        <v>90.6</v>
      </c>
      <c r="N51" s="3">
        <v>179.99</v>
      </c>
      <c r="O51" s="2" t="s">
        <v>97</v>
      </c>
      <c r="P51" s="2" t="s">
        <v>126</v>
      </c>
      <c r="Q51" s="2" t="s">
        <v>99</v>
      </c>
      <c r="R51" s="2" t="s">
        <v>100</v>
      </c>
      <c r="S51" s="2" t="s">
        <v>322</v>
      </c>
      <c r="T51" s="2" t="s">
        <v>100</v>
      </c>
      <c r="U51" s="2" t="s">
        <v>290</v>
      </c>
      <c r="V51" s="2" t="s">
        <v>250</v>
      </c>
      <c r="W51" s="2" t="s">
        <v>291</v>
      </c>
      <c r="X51" s="2" t="s">
        <v>292</v>
      </c>
      <c r="Y51" s="2" t="s">
        <v>323</v>
      </c>
      <c r="Z51" s="4">
        <v>1373</v>
      </c>
      <c r="AA51" s="4">
        <f>=ROUNDDOWN(33.4878048780488,0)</f>
      </c>
      <c r="AB51" s="5">
        <v>41</v>
      </c>
      <c r="AC51" s="2" t="s">
        <v>100</v>
      </c>
      <c r="AD51" s="4"/>
      <c r="AE51" s="4"/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/>
      <c r="AP51" s="4">
        <v>6</v>
      </c>
      <c r="AQ51" s="8">
        <v>459</v>
      </c>
      <c r="AR51" s="4">
        <v>7</v>
      </c>
      <c r="AS51" s="8">
        <v>535.5</v>
      </c>
      <c r="AT51" s="7">
        <v>-0.1429</v>
      </c>
      <c r="AU51" s="7">
        <v>-0.1429</v>
      </c>
      <c r="AV51" s="4">
        <v>12</v>
      </c>
      <c r="AW51" s="8">
        <v>1033.5</v>
      </c>
      <c r="AX51" s="4">
        <v>33</v>
      </c>
      <c r="AY51" s="8">
        <v>3025</v>
      </c>
      <c r="AZ51" s="7">
        <v>-0.6364</v>
      </c>
      <c r="BA51" s="7">
        <v>-0.6583</v>
      </c>
      <c r="BB51" s="7">
        <v>0.4441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>
        <v>0.2151</v>
      </c>
      <c r="BJ51" s="4">
        <v>230</v>
      </c>
      <c r="BK51" s="8">
        <v>18111.89</v>
      </c>
      <c r="BL51" s="2" t="s">
        <v>324</v>
      </c>
      <c r="BM51" s="7">
        <v>0.0261</v>
      </c>
      <c r="BN51" s="7">
        <v>0.0253</v>
      </c>
      <c r="BO51" s="4">
        <v>6</v>
      </c>
      <c r="BP51" s="8">
        <v>459</v>
      </c>
      <c r="BQ51" s="4">
        <v>7</v>
      </c>
      <c r="BR51" s="8">
        <v>535.5</v>
      </c>
      <c r="BS51" s="7">
        <v>-0.1429</v>
      </c>
      <c r="BT51" s="7">
        <v>-0.1429</v>
      </c>
      <c r="BU51" s="2" t="s">
        <v>109</v>
      </c>
      <c r="BV51" s="2" t="s">
        <v>97</v>
      </c>
      <c r="BW51" s="2" t="s">
        <v>325</v>
      </c>
      <c r="BX51" s="2" t="s">
        <v>326</v>
      </c>
      <c r="BY51" s="2" t="s">
        <v>112</v>
      </c>
      <c r="BZ51" s="2" t="s">
        <v>100</v>
      </c>
    </row>
    <row r="52">
      <c r="A52" s="2" t="s">
        <v>327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284</v>
      </c>
      <c r="G52" s="2" t="s">
        <v>285</v>
      </c>
      <c r="H52" s="2" t="s">
        <v>306</v>
      </c>
      <c r="I52" s="2" t="s">
        <v>287</v>
      </c>
      <c r="J52" s="2" t="s">
        <v>114</v>
      </c>
      <c r="K52" s="2" t="s">
        <v>321</v>
      </c>
      <c r="L52" s="3">
        <v>98.49</v>
      </c>
      <c r="M52" s="3">
        <v>103.41</v>
      </c>
      <c r="N52" s="3">
        <v>199.99</v>
      </c>
      <c r="O52" s="2" t="s">
        <v>97</v>
      </c>
      <c r="P52" s="2" t="s">
        <v>126</v>
      </c>
      <c r="Q52" s="2" t="s">
        <v>99</v>
      </c>
      <c r="R52" s="2" t="s">
        <v>100</v>
      </c>
      <c r="S52" s="2" t="s">
        <v>322</v>
      </c>
      <c r="T52" s="2" t="s">
        <v>100</v>
      </c>
      <c r="U52" s="2" t="s">
        <v>290</v>
      </c>
      <c r="V52" s="2" t="s">
        <v>250</v>
      </c>
      <c r="W52" s="2" t="s">
        <v>291</v>
      </c>
      <c r="X52" s="2" t="s">
        <v>292</v>
      </c>
      <c r="Y52" s="2" t="s">
        <v>323</v>
      </c>
      <c r="Z52" s="4">
        <v>1782</v>
      </c>
      <c r="AA52" s="4">
        <f>=ROUNDDOWN(37.125,0)</f>
      </c>
      <c r="AB52" s="5">
        <v>48</v>
      </c>
      <c r="AC52" s="2" t="s">
        <v>100</v>
      </c>
      <c r="AD52" s="4"/>
      <c r="AE52" s="4"/>
      <c r="AF52" s="6">
        <v>64</v>
      </c>
      <c r="AG52" s="6">
        <v>47</v>
      </c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1</v>
      </c>
      <c r="AP52" s="4">
        <v>2</v>
      </c>
      <c r="AQ52" s="8">
        <v>191.5</v>
      </c>
      <c r="AR52" s="4">
        <v>12</v>
      </c>
      <c r="AS52" s="8">
        <v>1149</v>
      </c>
      <c r="AT52" s="7">
        <v>-0.8333</v>
      </c>
      <c r="AU52" s="7">
        <v>-0.8333</v>
      </c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0.1853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437</v>
      </c>
      <c r="BK52" s="8">
        <v>41566.36</v>
      </c>
      <c r="BL52" s="2" t="s">
        <v>328</v>
      </c>
      <c r="BM52" s="7">
        <v>0.0046</v>
      </c>
      <c r="BN52" s="7">
        <v>0.0046</v>
      </c>
      <c r="BO52" s="4">
        <v>2</v>
      </c>
      <c r="BP52" s="8">
        <v>191.5</v>
      </c>
      <c r="BQ52" s="4">
        <v>12</v>
      </c>
      <c r="BR52" s="8">
        <v>1149</v>
      </c>
      <c r="BS52" s="7">
        <v>-0.8333</v>
      </c>
      <c r="BT52" s="7">
        <v>-0.8333</v>
      </c>
      <c r="BU52" s="2" t="s">
        <v>109</v>
      </c>
      <c r="BV52" s="2" t="s">
        <v>97</v>
      </c>
      <c r="BW52" s="2" t="s">
        <v>325</v>
      </c>
      <c r="BX52" s="2" t="s">
        <v>329</v>
      </c>
      <c r="BY52" s="2" t="s">
        <v>112</v>
      </c>
      <c r="BZ52" s="2" t="s">
        <v>100</v>
      </c>
    </row>
    <row r="53">
      <c r="A53" s="2" t="s">
        <v>330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284</v>
      </c>
      <c r="G53" s="2" t="s">
        <v>285</v>
      </c>
      <c r="H53" s="2" t="s">
        <v>306</v>
      </c>
      <c r="I53" s="2" t="s">
        <v>287</v>
      </c>
      <c r="J53" s="2" t="s">
        <v>120</v>
      </c>
      <c r="K53" s="2" t="s">
        <v>321</v>
      </c>
      <c r="L53" s="3">
        <v>98.49</v>
      </c>
      <c r="M53" s="3">
        <v>103.41</v>
      </c>
      <c r="N53" s="3">
        <v>199.99</v>
      </c>
      <c r="O53" s="2" t="s">
        <v>97</v>
      </c>
      <c r="P53" s="2" t="s">
        <v>126</v>
      </c>
      <c r="Q53" s="2" t="s">
        <v>99</v>
      </c>
      <c r="R53" s="2" t="s">
        <v>100</v>
      </c>
      <c r="S53" s="2" t="s">
        <v>322</v>
      </c>
      <c r="T53" s="2" t="s">
        <v>100</v>
      </c>
      <c r="U53" s="2" t="s">
        <v>290</v>
      </c>
      <c r="V53" s="2" t="s">
        <v>250</v>
      </c>
      <c r="W53" s="2" t="s">
        <v>291</v>
      </c>
      <c r="X53" s="2" t="s">
        <v>292</v>
      </c>
      <c r="Y53" s="2" t="s">
        <v>323</v>
      </c>
      <c r="Z53" s="4">
        <v>812</v>
      </c>
      <c r="AA53" s="4">
        <f>=ROUNDDOWN(35.304347826087,0)</f>
      </c>
      <c r="AB53" s="5">
        <v>23</v>
      </c>
      <c r="AC53" s="2" t="s">
        <v>100</v>
      </c>
      <c r="AD53" s="4"/>
      <c r="AE53" s="4"/>
      <c r="AF53" s="6">
        <v>64</v>
      </c>
      <c r="AG53" s="6">
        <v>47</v>
      </c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/>
      <c r="AP53" s="4">
        <v>4</v>
      </c>
      <c r="AQ53" s="8">
        <v>383</v>
      </c>
      <c r="AR53" s="4">
        <v>14</v>
      </c>
      <c r="AS53" s="8">
        <v>1340.5</v>
      </c>
      <c r="AT53" s="7">
        <v>-0.7143</v>
      </c>
      <c r="AU53" s="7">
        <v>-0.7143</v>
      </c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0.3706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>
        <v>138</v>
      </c>
      <c r="BK53" s="8">
        <v>11318.13</v>
      </c>
      <c r="BL53" s="2" t="s">
        <v>331</v>
      </c>
      <c r="BM53" s="7">
        <v>0.029</v>
      </c>
      <c r="BN53" s="7">
        <v>0.0338</v>
      </c>
      <c r="BO53" s="4">
        <v>4</v>
      </c>
      <c r="BP53" s="8">
        <v>383</v>
      </c>
      <c r="BQ53" s="4">
        <v>14</v>
      </c>
      <c r="BR53" s="8">
        <v>1340.5</v>
      </c>
      <c r="BS53" s="7">
        <v>-0.7143</v>
      </c>
      <c r="BT53" s="7">
        <v>-0.7143</v>
      </c>
      <c r="BU53" s="2" t="s">
        <v>109</v>
      </c>
      <c r="BV53" s="2" t="s">
        <v>97</v>
      </c>
      <c r="BW53" s="2" t="s">
        <v>325</v>
      </c>
      <c r="BX53" s="2" t="s">
        <v>332</v>
      </c>
      <c r="BY53" s="2" t="s">
        <v>112</v>
      </c>
      <c r="BZ53" s="2" t="s">
        <v>100</v>
      </c>
    </row>
    <row r="54">
      <c r="A54" s="2" t="s">
        <v>333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284</v>
      </c>
      <c r="G54" s="2" t="s">
        <v>285</v>
      </c>
      <c r="H54" s="2" t="s">
        <v>306</v>
      </c>
      <c r="I54" s="2" t="s">
        <v>287</v>
      </c>
      <c r="J54" s="2" t="s">
        <v>95</v>
      </c>
      <c r="K54" s="2" t="s">
        <v>334</v>
      </c>
      <c r="L54" s="3">
        <v>86.29</v>
      </c>
      <c r="M54" s="3">
        <v>90.6</v>
      </c>
      <c r="N54" s="3">
        <v>179.99</v>
      </c>
      <c r="O54" s="2" t="s">
        <v>97</v>
      </c>
      <c r="P54" s="2" t="s">
        <v>126</v>
      </c>
      <c r="Q54" s="2" t="s">
        <v>99</v>
      </c>
      <c r="R54" s="2" t="s">
        <v>100</v>
      </c>
      <c r="S54" s="2" t="s">
        <v>335</v>
      </c>
      <c r="T54" s="2" t="s">
        <v>100</v>
      </c>
      <c r="U54" s="2" t="s">
        <v>290</v>
      </c>
      <c r="V54" s="2" t="s">
        <v>250</v>
      </c>
      <c r="W54" s="2" t="s">
        <v>291</v>
      </c>
      <c r="X54" s="2" t="s">
        <v>292</v>
      </c>
      <c r="Y54" s="2" t="s">
        <v>336</v>
      </c>
      <c r="Z54" s="4">
        <v>540</v>
      </c>
      <c r="AA54" s="4">
        <f>=ROUNDDOWN(24.5454545454545,0)</f>
      </c>
      <c r="AB54" s="5">
        <v>22</v>
      </c>
      <c r="AC54" s="2" t="s">
        <v>100</v>
      </c>
      <c r="AD54" s="4"/>
      <c r="AE54" s="4"/>
      <c r="AF54" s="6">
        <v>64</v>
      </c>
      <c r="AG54" s="6">
        <v>47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/>
      <c r="AP54" s="4">
        <v>2</v>
      </c>
      <c r="AQ54" s="8">
        <v>153</v>
      </c>
      <c r="AR54" s="4">
        <v>11</v>
      </c>
      <c r="AS54" s="8">
        <v>841.5</v>
      </c>
      <c r="AT54" s="7">
        <v>-0.8182</v>
      </c>
      <c r="AU54" s="7">
        <v>-0.8182</v>
      </c>
      <c r="AV54" s="4">
        <v>9</v>
      </c>
      <c r="AW54" s="8">
        <v>823.25</v>
      </c>
      <c r="AX54" s="4">
        <v>40</v>
      </c>
      <c r="AY54" s="8">
        <v>3618.25</v>
      </c>
      <c r="AZ54" s="7">
        <v>-0.775</v>
      </c>
      <c r="BA54" s="7">
        <v>-0.7725</v>
      </c>
      <c r="BB54" s="7">
        <v>0.1858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0.1714</v>
      </c>
      <c r="BJ54" s="4">
        <v>282</v>
      </c>
      <c r="BK54" s="8">
        <v>24116.3</v>
      </c>
      <c r="BL54" s="2" t="s">
        <v>337</v>
      </c>
      <c r="BM54" s="7">
        <v>0.0071</v>
      </c>
      <c r="BN54" s="7">
        <v>0.0063</v>
      </c>
      <c r="BO54" s="4">
        <v>2</v>
      </c>
      <c r="BP54" s="8">
        <v>153</v>
      </c>
      <c r="BQ54" s="4">
        <v>11</v>
      </c>
      <c r="BR54" s="8">
        <v>841.5</v>
      </c>
      <c r="BS54" s="7">
        <v>-0.8182</v>
      </c>
      <c r="BT54" s="7">
        <v>-0.8182</v>
      </c>
      <c r="BU54" s="2" t="s">
        <v>109</v>
      </c>
      <c r="BV54" s="2" t="s">
        <v>97</v>
      </c>
      <c r="BW54" s="2" t="s">
        <v>336</v>
      </c>
      <c r="BX54" s="2" t="s">
        <v>338</v>
      </c>
      <c r="BY54" s="2" t="s">
        <v>112</v>
      </c>
      <c r="BZ54" s="2" t="s">
        <v>100</v>
      </c>
    </row>
    <row r="55">
      <c r="A55" s="2" t="s">
        <v>339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284</v>
      </c>
      <c r="G55" s="2" t="s">
        <v>285</v>
      </c>
      <c r="H55" s="2" t="s">
        <v>306</v>
      </c>
      <c r="I55" s="2" t="s">
        <v>287</v>
      </c>
      <c r="J55" s="2" t="s">
        <v>114</v>
      </c>
      <c r="K55" s="2" t="s">
        <v>334</v>
      </c>
      <c r="L55" s="3">
        <v>98.49</v>
      </c>
      <c r="M55" s="3">
        <v>103.41</v>
      </c>
      <c r="N55" s="3">
        <v>199.99</v>
      </c>
      <c r="O55" s="2" t="s">
        <v>97</v>
      </c>
      <c r="P55" s="2" t="s">
        <v>126</v>
      </c>
      <c r="Q55" s="2" t="s">
        <v>99</v>
      </c>
      <c r="R55" s="2" t="s">
        <v>100</v>
      </c>
      <c r="S55" s="2" t="s">
        <v>335</v>
      </c>
      <c r="T55" s="2" t="s">
        <v>100</v>
      </c>
      <c r="U55" s="2" t="s">
        <v>290</v>
      </c>
      <c r="V55" s="2" t="s">
        <v>250</v>
      </c>
      <c r="W55" s="2" t="s">
        <v>291</v>
      </c>
      <c r="X55" s="2" t="s">
        <v>292</v>
      </c>
      <c r="Y55" s="2" t="s">
        <v>336</v>
      </c>
      <c r="Z55" s="4">
        <v>1241</v>
      </c>
      <c r="AA55" s="4">
        <f>=ROUNDDOWN(42.7931034482759,0)</f>
      </c>
      <c r="AB55" s="5">
        <v>29</v>
      </c>
      <c r="AC55" s="2" t="s">
        <v>100</v>
      </c>
      <c r="AD55" s="4"/>
      <c r="AE55" s="4"/>
      <c r="AF55" s="6">
        <v>64</v>
      </c>
      <c r="AG55" s="6">
        <v>47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/>
      <c r="AP55" s="4">
        <v>5</v>
      </c>
      <c r="AQ55" s="8">
        <v>478.75</v>
      </c>
      <c r="AR55" s="4">
        <v>18</v>
      </c>
      <c r="AS55" s="8">
        <v>1723.5</v>
      </c>
      <c r="AT55" s="7">
        <v>-0.7222</v>
      </c>
      <c r="AU55" s="7">
        <v>-0.7222</v>
      </c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0.5815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205</v>
      </c>
      <c r="BK55" s="8">
        <v>18462.91</v>
      </c>
      <c r="BL55" s="2" t="s">
        <v>340</v>
      </c>
      <c r="BM55" s="7">
        <v>0.0244</v>
      </c>
      <c r="BN55" s="7">
        <v>0.0259</v>
      </c>
      <c r="BO55" s="4">
        <v>5</v>
      </c>
      <c r="BP55" s="8">
        <v>478.75</v>
      </c>
      <c r="BQ55" s="4">
        <v>18</v>
      </c>
      <c r="BR55" s="8">
        <v>1723.5</v>
      </c>
      <c r="BS55" s="7">
        <v>-0.7222</v>
      </c>
      <c r="BT55" s="7">
        <v>-0.7222</v>
      </c>
      <c r="BU55" s="2" t="s">
        <v>109</v>
      </c>
      <c r="BV55" s="2" t="s">
        <v>97</v>
      </c>
      <c r="BW55" s="2" t="s">
        <v>336</v>
      </c>
      <c r="BX55" s="2" t="s">
        <v>341</v>
      </c>
      <c r="BY55" s="2" t="s">
        <v>112</v>
      </c>
      <c r="BZ55" s="2" t="s">
        <v>100</v>
      </c>
    </row>
    <row r="56">
      <c r="A56" s="2" t="s">
        <v>342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284</v>
      </c>
      <c r="G56" s="2" t="s">
        <v>285</v>
      </c>
      <c r="H56" s="2" t="s">
        <v>306</v>
      </c>
      <c r="I56" s="2" t="s">
        <v>287</v>
      </c>
      <c r="J56" s="2" t="s">
        <v>120</v>
      </c>
      <c r="K56" s="2" t="s">
        <v>334</v>
      </c>
      <c r="L56" s="3">
        <v>98.49</v>
      </c>
      <c r="M56" s="3">
        <v>103.41</v>
      </c>
      <c r="N56" s="3">
        <v>199.99</v>
      </c>
      <c r="O56" s="2" t="s">
        <v>97</v>
      </c>
      <c r="P56" s="2" t="s">
        <v>126</v>
      </c>
      <c r="Q56" s="2" t="s">
        <v>99</v>
      </c>
      <c r="R56" s="2" t="s">
        <v>100</v>
      </c>
      <c r="S56" s="2" t="s">
        <v>335</v>
      </c>
      <c r="T56" s="2" t="s">
        <v>100</v>
      </c>
      <c r="U56" s="2" t="s">
        <v>290</v>
      </c>
      <c r="V56" s="2" t="s">
        <v>250</v>
      </c>
      <c r="W56" s="2" t="s">
        <v>291</v>
      </c>
      <c r="X56" s="2" t="s">
        <v>292</v>
      </c>
      <c r="Y56" s="2" t="s">
        <v>336</v>
      </c>
      <c r="Z56" s="4">
        <v>560</v>
      </c>
      <c r="AA56" s="4">
        <f>=ROUNDDOWN(32.9411764705882,0)</f>
      </c>
      <c r="AB56" s="5">
        <v>17</v>
      </c>
      <c r="AC56" s="2" t="s">
        <v>100</v>
      </c>
      <c r="AD56" s="4"/>
      <c r="AE56" s="4"/>
      <c r="AF56" s="6">
        <v>64</v>
      </c>
      <c r="AG56" s="6">
        <v>47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/>
      <c r="AP56" s="4">
        <v>2</v>
      </c>
      <c r="AQ56" s="8">
        <v>191.5</v>
      </c>
      <c r="AR56" s="4">
        <v>11</v>
      </c>
      <c r="AS56" s="8">
        <v>1053.25</v>
      </c>
      <c r="AT56" s="7">
        <v>-0.8182</v>
      </c>
      <c r="AU56" s="7">
        <v>-0.8182</v>
      </c>
      <c r="AV56" s="4" t="s">
        <v>100</v>
      </c>
      <c r="AW56" s="8" t="s">
        <v>100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0.2326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 t="s">
        <v>100</v>
      </c>
      <c r="BJ56" s="4">
        <v>81</v>
      </c>
      <c r="BK56" s="8">
        <v>7621.9</v>
      </c>
      <c r="BL56" s="2" t="s">
        <v>343</v>
      </c>
      <c r="BM56" s="7">
        <v>0.0247</v>
      </c>
      <c r="BN56" s="7">
        <v>0.0251</v>
      </c>
      <c r="BO56" s="4">
        <v>2</v>
      </c>
      <c r="BP56" s="8">
        <v>191.5</v>
      </c>
      <c r="BQ56" s="4">
        <v>11</v>
      </c>
      <c r="BR56" s="8">
        <v>1053.25</v>
      </c>
      <c r="BS56" s="7">
        <v>-0.8182</v>
      </c>
      <c r="BT56" s="7">
        <v>-0.8182</v>
      </c>
      <c r="BU56" s="2" t="s">
        <v>109</v>
      </c>
      <c r="BV56" s="2" t="s">
        <v>97</v>
      </c>
      <c r="BW56" s="2" t="s">
        <v>338</v>
      </c>
      <c r="BX56" s="2" t="s">
        <v>341</v>
      </c>
      <c r="BY56" s="2" t="s">
        <v>112</v>
      </c>
      <c r="BZ56" s="2" t="s">
        <v>100</v>
      </c>
    </row>
    <row r="57">
      <c r="A57" s="2" t="s">
        <v>344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345</v>
      </c>
      <c r="G57" s="2" t="s">
        <v>346</v>
      </c>
      <c r="H57" s="2" t="s">
        <v>347</v>
      </c>
      <c r="I57" s="2" t="s">
        <v>348</v>
      </c>
      <c r="J57" s="2" t="s">
        <v>95</v>
      </c>
      <c r="K57" s="2" t="s">
        <v>349</v>
      </c>
      <c r="L57" s="3">
        <v>60.74</v>
      </c>
      <c r="M57" s="3">
        <v>63.78</v>
      </c>
      <c r="N57" s="3">
        <v>124.99</v>
      </c>
      <c r="O57" s="2" t="s">
        <v>97</v>
      </c>
      <c r="P57" s="2" t="s">
        <v>126</v>
      </c>
      <c r="Q57" s="2" t="s">
        <v>99</v>
      </c>
      <c r="R57" s="2" t="s">
        <v>100</v>
      </c>
      <c r="S57" s="2" t="s">
        <v>350</v>
      </c>
      <c r="T57" s="2" t="s">
        <v>100</v>
      </c>
      <c r="U57" s="2" t="s">
        <v>102</v>
      </c>
      <c r="V57" s="2" t="s">
        <v>160</v>
      </c>
      <c r="W57" s="2" t="s">
        <v>351</v>
      </c>
      <c r="X57" s="2" t="s">
        <v>232</v>
      </c>
      <c r="Y57" s="2" t="s">
        <v>129</v>
      </c>
      <c r="Z57" s="4">
        <v>1888</v>
      </c>
      <c r="AA57" s="4">
        <f>=ROUNDDOWN(51.027027027027,0)</f>
      </c>
      <c r="AB57" s="5">
        <v>37</v>
      </c>
      <c r="AC57" s="2" t="s">
        <v>184</v>
      </c>
      <c r="AD57" s="4">
        <v>361</v>
      </c>
      <c r="AE57" s="4">
        <v>361</v>
      </c>
      <c r="AF57" s="6">
        <v>64</v>
      </c>
      <c r="AG57" s="6">
        <v>47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/>
      <c r="AP57" s="4">
        <v>19</v>
      </c>
      <c r="AQ57" s="8">
        <v>1321.26</v>
      </c>
      <c r="AR57" s="4">
        <v>23</v>
      </c>
      <c r="AS57" s="8">
        <v>1599.42</v>
      </c>
      <c r="AT57" s="7">
        <v>-0.1739</v>
      </c>
      <c r="AU57" s="7">
        <v>-0.1739</v>
      </c>
      <c r="AV57" s="4">
        <v>32</v>
      </c>
      <c r="AW57" s="8">
        <v>2386.87</v>
      </c>
      <c r="AX57" s="4">
        <v>39</v>
      </c>
      <c r="AY57" s="8">
        <v>2910.94</v>
      </c>
      <c r="AZ57" s="7">
        <v>-0.1795</v>
      </c>
      <c r="BA57" s="7">
        <v>-0.18</v>
      </c>
      <c r="BB57" s="7">
        <v>0.5536</v>
      </c>
      <c r="BC57" s="4">
        <v>55</v>
      </c>
      <c r="BD57" s="8">
        <v>4172.74</v>
      </c>
      <c r="BE57" s="4">
        <v>81</v>
      </c>
      <c r="BF57" s="8">
        <v>6005.64</v>
      </c>
      <c r="BG57" s="7">
        <v>-0.321</v>
      </c>
      <c r="BH57" s="7">
        <v>-0.3052</v>
      </c>
      <c r="BI57" s="7">
        <v>0.572</v>
      </c>
      <c r="BJ57" s="4">
        <v>198</v>
      </c>
      <c r="BK57" s="8">
        <v>13395.17</v>
      </c>
      <c r="BL57" s="2" t="s">
        <v>352</v>
      </c>
      <c r="BM57" s="7">
        <v>0.096</v>
      </c>
      <c r="BN57" s="7">
        <v>0.0986</v>
      </c>
      <c r="BO57" s="4">
        <v>19</v>
      </c>
      <c r="BP57" s="8">
        <v>1321.26</v>
      </c>
      <c r="BQ57" s="4">
        <v>23</v>
      </c>
      <c r="BR57" s="8">
        <v>1599.42</v>
      </c>
      <c r="BS57" s="7">
        <v>-0.1739</v>
      </c>
      <c r="BT57" s="7">
        <v>-0.1739</v>
      </c>
      <c r="BU57" s="2" t="s">
        <v>109</v>
      </c>
      <c r="BV57" s="2" t="s">
        <v>97</v>
      </c>
      <c r="BW57" s="2" t="s">
        <v>164</v>
      </c>
      <c r="BX57" s="2" t="s">
        <v>172</v>
      </c>
      <c r="BY57" s="2" t="s">
        <v>112</v>
      </c>
      <c r="BZ57" s="2" t="s">
        <v>100</v>
      </c>
    </row>
    <row r="58">
      <c r="A58" s="2" t="s">
        <v>353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345</v>
      </c>
      <c r="G58" s="2" t="s">
        <v>346</v>
      </c>
      <c r="H58" s="2" t="s">
        <v>347</v>
      </c>
      <c r="I58" s="2" t="s">
        <v>348</v>
      </c>
      <c r="J58" s="2" t="s">
        <v>114</v>
      </c>
      <c r="K58" s="2" t="s">
        <v>349</v>
      </c>
      <c r="L58" s="3">
        <v>69.74</v>
      </c>
      <c r="M58" s="3">
        <v>73.23</v>
      </c>
      <c r="N58" s="3">
        <v>144.99</v>
      </c>
      <c r="O58" s="2" t="s">
        <v>97</v>
      </c>
      <c r="P58" s="2" t="s">
        <v>126</v>
      </c>
      <c r="Q58" s="2" t="s">
        <v>99</v>
      </c>
      <c r="R58" s="2" t="s">
        <v>100</v>
      </c>
      <c r="S58" s="2" t="s">
        <v>350</v>
      </c>
      <c r="T58" s="2" t="s">
        <v>100</v>
      </c>
      <c r="U58" s="2" t="s">
        <v>102</v>
      </c>
      <c r="V58" s="2" t="s">
        <v>160</v>
      </c>
      <c r="W58" s="2" t="s">
        <v>351</v>
      </c>
      <c r="X58" s="2" t="s">
        <v>232</v>
      </c>
      <c r="Y58" s="2" t="s">
        <v>129</v>
      </c>
      <c r="Z58" s="4">
        <v>1246</v>
      </c>
      <c r="AA58" s="4">
        <f>=ROUNDDOWN(42.9655172413793,0)</f>
      </c>
      <c r="AB58" s="5">
        <v>29</v>
      </c>
      <c r="AC58" s="2" t="s">
        <v>184</v>
      </c>
      <c r="AD58" s="4">
        <v>324</v>
      </c>
      <c r="AE58" s="4">
        <v>324</v>
      </c>
      <c r="AF58" s="6">
        <v>64</v>
      </c>
      <c r="AG58" s="6">
        <v>47</v>
      </c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/>
      <c r="AP58" s="4">
        <v>10</v>
      </c>
      <c r="AQ58" s="8">
        <v>819.7</v>
      </c>
      <c r="AR58" s="4">
        <v>12</v>
      </c>
      <c r="AS58" s="8">
        <v>983.64</v>
      </c>
      <c r="AT58" s="7">
        <v>-0.1667</v>
      </c>
      <c r="AU58" s="7">
        <v>-0.1667</v>
      </c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0.3434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334</v>
      </c>
      <c r="BK58" s="8">
        <v>26688.36</v>
      </c>
      <c r="BL58" s="2" t="s">
        <v>354</v>
      </c>
      <c r="BM58" s="7">
        <v>0.0299</v>
      </c>
      <c r="BN58" s="7">
        <v>0.0307</v>
      </c>
      <c r="BO58" s="4">
        <v>10</v>
      </c>
      <c r="BP58" s="8">
        <v>819.7</v>
      </c>
      <c r="BQ58" s="4">
        <v>12</v>
      </c>
      <c r="BR58" s="8">
        <v>983.64</v>
      </c>
      <c r="BS58" s="7">
        <v>-0.1667</v>
      </c>
      <c r="BT58" s="7">
        <v>-0.1667</v>
      </c>
      <c r="BU58" s="2" t="s">
        <v>109</v>
      </c>
      <c r="BV58" s="2" t="s">
        <v>97</v>
      </c>
      <c r="BW58" s="2" t="s">
        <v>164</v>
      </c>
      <c r="BX58" s="2" t="s">
        <v>168</v>
      </c>
      <c r="BY58" s="2" t="s">
        <v>112</v>
      </c>
      <c r="BZ58" s="2" t="s">
        <v>100</v>
      </c>
    </row>
    <row r="59">
      <c r="A59" s="2" t="s">
        <v>355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345</v>
      </c>
      <c r="G59" s="2" t="s">
        <v>346</v>
      </c>
      <c r="H59" s="2" t="s">
        <v>347</v>
      </c>
      <c r="I59" s="2" t="s">
        <v>348</v>
      </c>
      <c r="J59" s="2" t="s">
        <v>120</v>
      </c>
      <c r="K59" s="2" t="s">
        <v>349</v>
      </c>
      <c r="L59" s="3">
        <v>69.74</v>
      </c>
      <c r="M59" s="3">
        <v>73.23</v>
      </c>
      <c r="N59" s="3">
        <v>144.99</v>
      </c>
      <c r="O59" s="2" t="s">
        <v>97</v>
      </c>
      <c r="P59" s="2" t="s">
        <v>126</v>
      </c>
      <c r="Q59" s="2" t="s">
        <v>99</v>
      </c>
      <c r="R59" s="2" t="s">
        <v>100</v>
      </c>
      <c r="S59" s="2" t="s">
        <v>350</v>
      </c>
      <c r="T59" s="2" t="s">
        <v>100</v>
      </c>
      <c r="U59" s="2" t="s">
        <v>102</v>
      </c>
      <c r="V59" s="2" t="s">
        <v>160</v>
      </c>
      <c r="W59" s="2" t="s">
        <v>351</v>
      </c>
      <c r="X59" s="2" t="s">
        <v>232</v>
      </c>
      <c r="Y59" s="2" t="s">
        <v>129</v>
      </c>
      <c r="Z59" s="4">
        <v>526</v>
      </c>
      <c r="AA59" s="4">
        <f>=ROUNDDOWN(40.4615384615385,0)</f>
      </c>
      <c r="AB59" s="5">
        <v>13</v>
      </c>
      <c r="AC59" s="2" t="s">
        <v>184</v>
      </c>
      <c r="AD59" s="4">
        <v>340</v>
      </c>
      <c r="AE59" s="4">
        <v>340</v>
      </c>
      <c r="AF59" s="6">
        <v>64</v>
      </c>
      <c r="AG59" s="6">
        <v>47</v>
      </c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/>
      <c r="AP59" s="4">
        <v>3</v>
      </c>
      <c r="AQ59" s="8">
        <v>245.91</v>
      </c>
      <c r="AR59" s="4">
        <v>4</v>
      </c>
      <c r="AS59" s="8">
        <v>327.88</v>
      </c>
      <c r="AT59" s="7">
        <v>-0.25</v>
      </c>
      <c r="AU59" s="7">
        <v>-0.25</v>
      </c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0.103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>
        <v>69</v>
      </c>
      <c r="BK59" s="8">
        <v>5545.43</v>
      </c>
      <c r="BL59" s="2" t="s">
        <v>356</v>
      </c>
      <c r="BM59" s="7">
        <v>0.0435</v>
      </c>
      <c r="BN59" s="7">
        <v>0.0443</v>
      </c>
      <c r="BO59" s="4">
        <v>3</v>
      </c>
      <c r="BP59" s="8">
        <v>245.91</v>
      </c>
      <c r="BQ59" s="4">
        <v>4</v>
      </c>
      <c r="BR59" s="8">
        <v>327.88</v>
      </c>
      <c r="BS59" s="7">
        <v>-0.25</v>
      </c>
      <c r="BT59" s="7">
        <v>-0.25</v>
      </c>
      <c r="BU59" s="2" t="s">
        <v>109</v>
      </c>
      <c r="BV59" s="2" t="s">
        <v>97</v>
      </c>
      <c r="BW59" s="2" t="s">
        <v>164</v>
      </c>
      <c r="BX59" s="2" t="s">
        <v>357</v>
      </c>
      <c r="BY59" s="2" t="s">
        <v>112</v>
      </c>
      <c r="BZ59" s="2" t="s">
        <v>100</v>
      </c>
    </row>
    <row r="60">
      <c r="A60" s="2" t="s">
        <v>358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345</v>
      </c>
      <c r="G60" s="2" t="s">
        <v>346</v>
      </c>
      <c r="H60" s="2" t="s">
        <v>347</v>
      </c>
      <c r="I60" s="2" t="s">
        <v>348</v>
      </c>
      <c r="J60" s="2" t="s">
        <v>95</v>
      </c>
      <c r="K60" s="2" t="s">
        <v>359</v>
      </c>
      <c r="L60" s="3">
        <v>60.74</v>
      </c>
      <c r="M60" s="3">
        <v>63.78</v>
      </c>
      <c r="N60" s="3">
        <v>124.99</v>
      </c>
      <c r="O60" s="2" t="s">
        <v>97</v>
      </c>
      <c r="P60" s="2" t="s">
        <v>141</v>
      </c>
      <c r="Q60" s="2" t="s">
        <v>99</v>
      </c>
      <c r="R60" s="2" t="s">
        <v>100</v>
      </c>
      <c r="S60" s="2" t="s">
        <v>360</v>
      </c>
      <c r="T60" s="2" t="s">
        <v>100</v>
      </c>
      <c r="U60" s="2" t="s">
        <v>102</v>
      </c>
      <c r="V60" s="2" t="s">
        <v>160</v>
      </c>
      <c r="W60" s="2" t="s">
        <v>351</v>
      </c>
      <c r="X60" s="2" t="s">
        <v>232</v>
      </c>
      <c r="Y60" s="2" t="s">
        <v>361</v>
      </c>
      <c r="Z60" s="4">
        <v>744</v>
      </c>
      <c r="AA60" s="4">
        <f>=ROUNDDOWN(57.2307692307692,0)</f>
      </c>
      <c r="AB60" s="5">
        <v>13</v>
      </c>
      <c r="AC60" s="2" t="s">
        <v>184</v>
      </c>
      <c r="AD60" s="4">
        <v>111</v>
      </c>
      <c r="AE60" s="4">
        <v>111</v>
      </c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/>
      <c r="AP60" s="4">
        <v>6</v>
      </c>
      <c r="AQ60" s="8">
        <v>417.24</v>
      </c>
      <c r="AR60" s="4">
        <v>16</v>
      </c>
      <c r="AS60" s="8">
        <v>1112.64</v>
      </c>
      <c r="AT60" s="7">
        <v>-0.625</v>
      </c>
      <c r="AU60" s="7">
        <v>-0.625</v>
      </c>
      <c r="AV60" s="4">
        <v>15</v>
      </c>
      <c r="AW60" s="8">
        <v>1154.97</v>
      </c>
      <c r="AX60" s="4">
        <v>19</v>
      </c>
      <c r="AY60" s="8">
        <v>1358.55</v>
      </c>
      <c r="AZ60" s="7">
        <v>-0.2105</v>
      </c>
      <c r="BA60" s="7">
        <v>-0.1499</v>
      </c>
      <c r="BB60" s="7">
        <v>0.3613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>
        <v>0.2768</v>
      </c>
      <c r="BJ60" s="4">
        <v>56</v>
      </c>
      <c r="BK60" s="8">
        <v>3922.42</v>
      </c>
      <c r="BL60" s="2" t="s">
        <v>328</v>
      </c>
      <c r="BM60" s="7">
        <v>0.1071</v>
      </c>
      <c r="BN60" s="7">
        <v>0.1064</v>
      </c>
      <c r="BO60" s="4">
        <v>6</v>
      </c>
      <c r="BP60" s="8">
        <v>417.24</v>
      </c>
      <c r="BQ60" s="4">
        <v>16</v>
      </c>
      <c r="BR60" s="8">
        <v>1112.64</v>
      </c>
      <c r="BS60" s="7">
        <v>-0.625</v>
      </c>
      <c r="BT60" s="7">
        <v>-0.625</v>
      </c>
      <c r="BU60" s="2" t="s">
        <v>109</v>
      </c>
      <c r="BV60" s="2" t="s">
        <v>97</v>
      </c>
      <c r="BW60" s="2" t="s">
        <v>362</v>
      </c>
      <c r="BX60" s="2" t="s">
        <v>363</v>
      </c>
      <c r="BY60" s="2" t="s">
        <v>112</v>
      </c>
      <c r="BZ60" s="2" t="s">
        <v>100</v>
      </c>
    </row>
    <row r="61">
      <c r="A61" s="2" t="s">
        <v>364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345</v>
      </c>
      <c r="G61" s="2" t="s">
        <v>346</v>
      </c>
      <c r="H61" s="2" t="s">
        <v>347</v>
      </c>
      <c r="I61" s="2" t="s">
        <v>348</v>
      </c>
      <c r="J61" s="2" t="s">
        <v>114</v>
      </c>
      <c r="K61" s="2" t="s">
        <v>359</v>
      </c>
      <c r="L61" s="3">
        <v>69.74</v>
      </c>
      <c r="M61" s="3">
        <v>73.23</v>
      </c>
      <c r="N61" s="3">
        <v>144.99</v>
      </c>
      <c r="O61" s="2" t="s">
        <v>97</v>
      </c>
      <c r="P61" s="2" t="s">
        <v>141</v>
      </c>
      <c r="Q61" s="2" t="s">
        <v>99</v>
      </c>
      <c r="R61" s="2" t="s">
        <v>100</v>
      </c>
      <c r="S61" s="2" t="s">
        <v>360</v>
      </c>
      <c r="T61" s="2" t="s">
        <v>100</v>
      </c>
      <c r="U61" s="2" t="s">
        <v>102</v>
      </c>
      <c r="V61" s="2" t="s">
        <v>160</v>
      </c>
      <c r="W61" s="2" t="s">
        <v>351</v>
      </c>
      <c r="X61" s="2" t="s">
        <v>232</v>
      </c>
      <c r="Y61" s="2" t="s">
        <v>361</v>
      </c>
      <c r="Z61" s="4">
        <v>535</v>
      </c>
      <c r="AA61" s="4">
        <f>=ROUNDDOWN(44.5833333333333,0)</f>
      </c>
      <c r="AB61" s="5">
        <v>12</v>
      </c>
      <c r="AC61" s="2" t="s">
        <v>184</v>
      </c>
      <c r="AD61" s="4">
        <v>258</v>
      </c>
      <c r="AE61" s="4">
        <v>258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/>
      <c r="AP61" s="4">
        <v>8</v>
      </c>
      <c r="AQ61" s="8">
        <v>655.76</v>
      </c>
      <c r="AR61" s="4">
        <v>2</v>
      </c>
      <c r="AS61" s="8">
        <v>163.94</v>
      </c>
      <c r="AT61" s="7">
        <v>3</v>
      </c>
      <c r="AU61" s="7">
        <v>3</v>
      </c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0.5678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81</v>
      </c>
      <c r="BK61" s="8">
        <v>6521.76</v>
      </c>
      <c r="BL61" s="2" t="s">
        <v>365</v>
      </c>
      <c r="BM61" s="7">
        <v>0.0988</v>
      </c>
      <c r="BN61" s="7">
        <v>0.1005</v>
      </c>
      <c r="BO61" s="4">
        <v>8</v>
      </c>
      <c r="BP61" s="8">
        <v>655.76</v>
      </c>
      <c r="BQ61" s="4">
        <v>2</v>
      </c>
      <c r="BR61" s="8">
        <v>163.94</v>
      </c>
      <c r="BS61" s="7">
        <v>3</v>
      </c>
      <c r="BT61" s="7">
        <v>3</v>
      </c>
      <c r="BU61" s="2" t="s">
        <v>109</v>
      </c>
      <c r="BV61" s="2" t="s">
        <v>97</v>
      </c>
      <c r="BW61" s="2" t="s">
        <v>362</v>
      </c>
      <c r="BX61" s="2" t="s">
        <v>366</v>
      </c>
      <c r="BY61" s="2" t="s">
        <v>112</v>
      </c>
      <c r="BZ61" s="2" t="s">
        <v>100</v>
      </c>
    </row>
    <row r="62">
      <c r="A62" s="2" t="s">
        <v>367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345</v>
      </c>
      <c r="G62" s="2" t="s">
        <v>346</v>
      </c>
      <c r="H62" s="2" t="s">
        <v>347</v>
      </c>
      <c r="I62" s="2" t="s">
        <v>348</v>
      </c>
      <c r="J62" s="2" t="s">
        <v>120</v>
      </c>
      <c r="K62" s="2" t="s">
        <v>359</v>
      </c>
      <c r="L62" s="3">
        <v>69.74</v>
      </c>
      <c r="M62" s="3">
        <v>73.23</v>
      </c>
      <c r="N62" s="3">
        <v>144.99</v>
      </c>
      <c r="O62" s="2" t="s">
        <v>97</v>
      </c>
      <c r="P62" s="2" t="s">
        <v>141</v>
      </c>
      <c r="Q62" s="2" t="s">
        <v>99</v>
      </c>
      <c r="R62" s="2" t="s">
        <v>100</v>
      </c>
      <c r="S62" s="2" t="s">
        <v>360</v>
      </c>
      <c r="T62" s="2" t="s">
        <v>100</v>
      </c>
      <c r="U62" s="2" t="s">
        <v>102</v>
      </c>
      <c r="V62" s="2" t="s">
        <v>160</v>
      </c>
      <c r="W62" s="2" t="s">
        <v>351</v>
      </c>
      <c r="X62" s="2" t="s">
        <v>232</v>
      </c>
      <c r="Y62" s="2" t="s">
        <v>361</v>
      </c>
      <c r="Z62" s="4">
        <v>250</v>
      </c>
      <c r="AA62" s="4">
        <f>=ROUNDDOWN(27.7777777777778,0)</f>
      </c>
      <c r="AB62" s="5">
        <v>9</v>
      </c>
      <c r="AC62" s="2" t="s">
        <v>184</v>
      </c>
      <c r="AD62" s="4">
        <v>252</v>
      </c>
      <c r="AE62" s="4">
        <v>252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/>
      <c r="AP62" s="4">
        <v>1</v>
      </c>
      <c r="AQ62" s="8">
        <v>81.97</v>
      </c>
      <c r="AR62" s="4">
        <v>1</v>
      </c>
      <c r="AS62" s="8">
        <v>81.97</v>
      </c>
      <c r="AT62" s="7"/>
      <c r="AU62" s="7"/>
      <c r="AV62" s="4" t="s">
        <v>100</v>
      </c>
      <c r="AW62" s="8" t="s">
        <v>100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0.071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 t="s">
        <v>100</v>
      </c>
      <c r="BJ62" s="4">
        <v>34</v>
      </c>
      <c r="BK62" s="8">
        <v>2702.68</v>
      </c>
      <c r="BL62" s="2" t="s">
        <v>368</v>
      </c>
      <c r="BM62" s="7">
        <v>0.0294</v>
      </c>
      <c r="BN62" s="7">
        <v>0.0303</v>
      </c>
      <c r="BO62" s="4">
        <v>1</v>
      </c>
      <c r="BP62" s="8">
        <v>81.97</v>
      </c>
      <c r="BQ62" s="4">
        <v>1</v>
      </c>
      <c r="BR62" s="8">
        <v>81.97</v>
      </c>
      <c r="BS62" s="7"/>
      <c r="BT62" s="7"/>
      <c r="BU62" s="2" t="s">
        <v>109</v>
      </c>
      <c r="BV62" s="2" t="s">
        <v>97</v>
      </c>
      <c r="BW62" s="2" t="s">
        <v>362</v>
      </c>
      <c r="BX62" s="2" t="s">
        <v>369</v>
      </c>
      <c r="BY62" s="2" t="s">
        <v>112</v>
      </c>
      <c r="BZ62" s="2" t="s">
        <v>100</v>
      </c>
    </row>
    <row r="63">
      <c r="A63" s="2" t="s">
        <v>370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345</v>
      </c>
      <c r="G63" s="2" t="s">
        <v>346</v>
      </c>
      <c r="H63" s="2" t="s">
        <v>347</v>
      </c>
      <c r="I63" s="2" t="s">
        <v>348</v>
      </c>
      <c r="J63" s="2" t="s">
        <v>95</v>
      </c>
      <c r="K63" s="2" t="s">
        <v>276</v>
      </c>
      <c r="L63" s="3">
        <v>60.74</v>
      </c>
      <c r="M63" s="3">
        <v>63.78</v>
      </c>
      <c r="N63" s="3">
        <v>124.99</v>
      </c>
      <c r="O63" s="2" t="s">
        <v>97</v>
      </c>
      <c r="P63" s="2" t="s">
        <v>141</v>
      </c>
      <c r="Q63" s="2" t="s">
        <v>99</v>
      </c>
      <c r="R63" s="2" t="s">
        <v>100</v>
      </c>
      <c r="S63" s="2" t="s">
        <v>371</v>
      </c>
      <c r="T63" s="2" t="s">
        <v>100</v>
      </c>
      <c r="U63" s="2" t="s">
        <v>102</v>
      </c>
      <c r="V63" s="2" t="s">
        <v>160</v>
      </c>
      <c r="W63" s="2" t="s">
        <v>351</v>
      </c>
      <c r="X63" s="2" t="s">
        <v>232</v>
      </c>
      <c r="Y63" s="2" t="s">
        <v>129</v>
      </c>
      <c r="Z63" s="4">
        <v>1095</v>
      </c>
      <c r="AA63" s="4">
        <f>=ROUNDDOWN(73,0)</f>
      </c>
      <c r="AB63" s="5">
        <v>15</v>
      </c>
      <c r="AC63" s="2" t="s">
        <v>100</v>
      </c>
      <c r="AD63" s="4"/>
      <c r="AE63" s="4"/>
      <c r="AF63" s="6">
        <v>64</v>
      </c>
      <c r="AG63" s="6">
        <v>47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/>
      <c r="AP63" s="4">
        <v>2</v>
      </c>
      <c r="AQ63" s="8">
        <v>139.08</v>
      </c>
      <c r="AR63" s="4">
        <v>12</v>
      </c>
      <c r="AS63" s="8">
        <v>834.48</v>
      </c>
      <c r="AT63" s="7">
        <v>-0.8333</v>
      </c>
      <c r="AU63" s="7">
        <v>-0.8333</v>
      </c>
      <c r="AV63" s="4">
        <v>8</v>
      </c>
      <c r="AW63" s="8">
        <v>630.9</v>
      </c>
      <c r="AX63" s="4">
        <v>23</v>
      </c>
      <c r="AY63" s="8">
        <v>1736.15</v>
      </c>
      <c r="AZ63" s="7">
        <v>-0.6522</v>
      </c>
      <c r="BA63" s="7">
        <v>-0.6366</v>
      </c>
      <c r="BB63" s="7">
        <v>0.2204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0.1512</v>
      </c>
      <c r="BJ63" s="4">
        <v>94</v>
      </c>
      <c r="BK63" s="8">
        <v>6432.79</v>
      </c>
      <c r="BL63" s="2" t="s">
        <v>372</v>
      </c>
      <c r="BM63" s="7">
        <v>0.0213</v>
      </c>
      <c r="BN63" s="7">
        <v>0.0216</v>
      </c>
      <c r="BO63" s="4">
        <v>2</v>
      </c>
      <c r="BP63" s="8">
        <v>139.08</v>
      </c>
      <c r="BQ63" s="4">
        <v>12</v>
      </c>
      <c r="BR63" s="8">
        <v>834.48</v>
      </c>
      <c r="BS63" s="7">
        <v>-0.8333</v>
      </c>
      <c r="BT63" s="7">
        <v>-0.8333</v>
      </c>
      <c r="BU63" s="2" t="s">
        <v>109</v>
      </c>
      <c r="BV63" s="2" t="s">
        <v>97</v>
      </c>
      <c r="BW63" s="2" t="s">
        <v>164</v>
      </c>
      <c r="BX63" s="2" t="s">
        <v>373</v>
      </c>
      <c r="BY63" s="2" t="s">
        <v>112</v>
      </c>
      <c r="BZ63" s="2" t="s">
        <v>100</v>
      </c>
    </row>
    <row r="64">
      <c r="A64" s="2" t="s">
        <v>374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345</v>
      </c>
      <c r="G64" s="2" t="s">
        <v>346</v>
      </c>
      <c r="H64" s="2" t="s">
        <v>347</v>
      </c>
      <c r="I64" s="2" t="s">
        <v>348</v>
      </c>
      <c r="J64" s="2" t="s">
        <v>114</v>
      </c>
      <c r="K64" s="2" t="s">
        <v>276</v>
      </c>
      <c r="L64" s="3">
        <v>69.74</v>
      </c>
      <c r="M64" s="3">
        <v>73.23</v>
      </c>
      <c r="N64" s="3">
        <v>144.99</v>
      </c>
      <c r="O64" s="2" t="s">
        <v>97</v>
      </c>
      <c r="P64" s="2" t="s">
        <v>141</v>
      </c>
      <c r="Q64" s="2" t="s">
        <v>99</v>
      </c>
      <c r="R64" s="2" t="s">
        <v>100</v>
      </c>
      <c r="S64" s="2" t="s">
        <v>371</v>
      </c>
      <c r="T64" s="2" t="s">
        <v>100</v>
      </c>
      <c r="U64" s="2" t="s">
        <v>102</v>
      </c>
      <c r="V64" s="2" t="s">
        <v>160</v>
      </c>
      <c r="W64" s="2" t="s">
        <v>351</v>
      </c>
      <c r="X64" s="2" t="s">
        <v>232</v>
      </c>
      <c r="Y64" s="2" t="s">
        <v>129</v>
      </c>
      <c r="Z64" s="4">
        <v>966</v>
      </c>
      <c r="AA64" s="4">
        <f>=ROUNDDOWN(80.5,0)</f>
      </c>
      <c r="AB64" s="5">
        <v>12</v>
      </c>
      <c r="AC64" s="2" t="s">
        <v>100</v>
      </c>
      <c r="AD64" s="4"/>
      <c r="AE64" s="4"/>
      <c r="AF64" s="6">
        <v>64</v>
      </c>
      <c r="AG64" s="6">
        <v>47</v>
      </c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/>
      <c r="AP64" s="4">
        <v>4</v>
      </c>
      <c r="AQ64" s="8">
        <v>327.88</v>
      </c>
      <c r="AR64" s="4">
        <v>7</v>
      </c>
      <c r="AS64" s="8">
        <v>573.79</v>
      </c>
      <c r="AT64" s="7">
        <v>-0.4286</v>
      </c>
      <c r="AU64" s="7">
        <v>-0.4286</v>
      </c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0.5197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73</v>
      </c>
      <c r="BK64" s="8">
        <v>5737.9</v>
      </c>
      <c r="BL64" s="2" t="s">
        <v>375</v>
      </c>
      <c r="BM64" s="7">
        <v>0.0548</v>
      </c>
      <c r="BN64" s="7">
        <v>0.0571</v>
      </c>
      <c r="BO64" s="4">
        <v>4</v>
      </c>
      <c r="BP64" s="8">
        <v>327.88</v>
      </c>
      <c r="BQ64" s="4">
        <v>7</v>
      </c>
      <c r="BR64" s="8">
        <v>573.79</v>
      </c>
      <c r="BS64" s="7">
        <v>-0.4286</v>
      </c>
      <c r="BT64" s="7">
        <v>-0.4286</v>
      </c>
      <c r="BU64" s="2" t="s">
        <v>109</v>
      </c>
      <c r="BV64" s="2" t="s">
        <v>97</v>
      </c>
      <c r="BW64" s="2" t="s">
        <v>164</v>
      </c>
      <c r="BX64" s="2" t="s">
        <v>376</v>
      </c>
      <c r="BY64" s="2" t="s">
        <v>112</v>
      </c>
      <c r="BZ64" s="2" t="s">
        <v>100</v>
      </c>
    </row>
    <row r="65">
      <c r="A65" s="2" t="s">
        <v>377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345</v>
      </c>
      <c r="G65" s="2" t="s">
        <v>346</v>
      </c>
      <c r="H65" s="2" t="s">
        <v>347</v>
      </c>
      <c r="I65" s="2" t="s">
        <v>348</v>
      </c>
      <c r="J65" s="2" t="s">
        <v>120</v>
      </c>
      <c r="K65" s="2" t="s">
        <v>276</v>
      </c>
      <c r="L65" s="3">
        <v>69.74</v>
      </c>
      <c r="M65" s="3">
        <v>73.23</v>
      </c>
      <c r="N65" s="3">
        <v>144.99</v>
      </c>
      <c r="O65" s="2" t="s">
        <v>97</v>
      </c>
      <c r="P65" s="2" t="s">
        <v>141</v>
      </c>
      <c r="Q65" s="2" t="s">
        <v>99</v>
      </c>
      <c r="R65" s="2" t="s">
        <v>100</v>
      </c>
      <c r="S65" s="2" t="s">
        <v>371</v>
      </c>
      <c r="T65" s="2" t="s">
        <v>100</v>
      </c>
      <c r="U65" s="2" t="s">
        <v>102</v>
      </c>
      <c r="V65" s="2" t="s">
        <v>160</v>
      </c>
      <c r="W65" s="2" t="s">
        <v>351</v>
      </c>
      <c r="X65" s="2" t="s">
        <v>232</v>
      </c>
      <c r="Y65" s="2" t="s">
        <v>129</v>
      </c>
      <c r="Z65" s="4">
        <v>394</v>
      </c>
      <c r="AA65" s="4">
        <f>=ROUNDDOWN(78.8,0)</f>
      </c>
      <c r="AB65" s="5">
        <v>5</v>
      </c>
      <c r="AC65" s="2" t="s">
        <v>100</v>
      </c>
      <c r="AD65" s="4"/>
      <c r="AE65" s="4"/>
      <c r="AF65" s="6">
        <v>64</v>
      </c>
      <c r="AG65" s="6">
        <v>47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/>
      <c r="AP65" s="4">
        <v>2</v>
      </c>
      <c r="AQ65" s="8">
        <v>163.94</v>
      </c>
      <c r="AR65" s="4">
        <v>4</v>
      </c>
      <c r="AS65" s="8">
        <v>327.88</v>
      </c>
      <c r="AT65" s="7">
        <v>-0.5</v>
      </c>
      <c r="AU65" s="7">
        <v>-0.5</v>
      </c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0.2599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 t="s">
        <v>100</v>
      </c>
      <c r="BJ65" s="4">
        <v>17</v>
      </c>
      <c r="BK65" s="8">
        <v>1257.5</v>
      </c>
      <c r="BL65" s="2" t="s">
        <v>378</v>
      </c>
      <c r="BM65" s="7">
        <v>0.1176</v>
      </c>
      <c r="BN65" s="7">
        <v>0.1304</v>
      </c>
      <c r="BO65" s="4">
        <v>2</v>
      </c>
      <c r="BP65" s="8">
        <v>163.94</v>
      </c>
      <c r="BQ65" s="4">
        <v>4</v>
      </c>
      <c r="BR65" s="8">
        <v>327.88</v>
      </c>
      <c r="BS65" s="7">
        <v>-0.5</v>
      </c>
      <c r="BT65" s="7">
        <v>-0.5</v>
      </c>
      <c r="BU65" s="2" t="s">
        <v>109</v>
      </c>
      <c r="BV65" s="2" t="s">
        <v>97</v>
      </c>
      <c r="BW65" s="2" t="s">
        <v>164</v>
      </c>
      <c r="BX65" s="2" t="s">
        <v>379</v>
      </c>
      <c r="BY65" s="2" t="s">
        <v>112</v>
      </c>
      <c r="BZ65" s="2" t="s">
        <v>100</v>
      </c>
    </row>
    <row r="66">
      <c r="A66" s="2" t="s">
        <v>380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381</v>
      </c>
      <c r="G66" s="2" t="s">
        <v>382</v>
      </c>
      <c r="H66" s="2" t="s">
        <v>383</v>
      </c>
      <c r="I66" s="2" t="s">
        <v>94</v>
      </c>
      <c r="J66" s="2" t="s">
        <v>95</v>
      </c>
      <c r="K66" s="2" t="s">
        <v>96</v>
      </c>
      <c r="L66" s="3">
        <v>67.2</v>
      </c>
      <c r="M66" s="3">
        <v>70.55</v>
      </c>
      <c r="N66" s="3">
        <v>149.99</v>
      </c>
      <c r="O66" s="2" t="s">
        <v>97</v>
      </c>
      <c r="P66" s="2" t="s">
        <v>141</v>
      </c>
      <c r="Q66" s="2" t="s">
        <v>99</v>
      </c>
      <c r="R66" s="2" t="s">
        <v>100</v>
      </c>
      <c r="S66" s="2" t="s">
        <v>384</v>
      </c>
      <c r="T66" s="2" t="s">
        <v>100</v>
      </c>
      <c r="U66" s="2" t="s">
        <v>102</v>
      </c>
      <c r="V66" s="2" t="s">
        <v>385</v>
      </c>
      <c r="W66" s="2" t="s">
        <v>291</v>
      </c>
      <c r="X66" s="2" t="s">
        <v>292</v>
      </c>
      <c r="Y66" s="2" t="s">
        <v>386</v>
      </c>
      <c r="Z66" s="4">
        <v>454</v>
      </c>
      <c r="AA66" s="4">
        <f>=ROUNDDOWN(37.8333333333333,0)</f>
      </c>
      <c r="AB66" s="5">
        <v>12</v>
      </c>
      <c r="AC66" s="2" t="s">
        <v>100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/>
      <c r="AP66" s="4">
        <v>6</v>
      </c>
      <c r="AQ66" s="8">
        <v>464.88</v>
      </c>
      <c r="AR66" s="4">
        <v>3</v>
      </c>
      <c r="AS66" s="8">
        <v>232.44</v>
      </c>
      <c r="AT66" s="7">
        <v>1</v>
      </c>
      <c r="AU66" s="7">
        <v>1</v>
      </c>
      <c r="AV66" s="4">
        <v>15</v>
      </c>
      <c r="AW66" s="8">
        <v>1269.48</v>
      </c>
      <c r="AX66" s="4">
        <v>17</v>
      </c>
      <c r="AY66" s="8">
        <v>1484.04</v>
      </c>
      <c r="AZ66" s="7">
        <v>-0.1176</v>
      </c>
      <c r="BA66" s="7">
        <v>-0.1446</v>
      </c>
      <c r="BB66" s="7">
        <v>0.3662</v>
      </c>
      <c r="BC66" s="4">
        <v>32</v>
      </c>
      <c r="BD66" s="8">
        <v>2682</v>
      </c>
      <c r="BE66" s="4">
        <v>73</v>
      </c>
      <c r="BF66" s="8">
        <v>6144.76</v>
      </c>
      <c r="BG66" s="7">
        <v>-0.5616</v>
      </c>
      <c r="BH66" s="7">
        <v>-0.5635</v>
      </c>
      <c r="BI66" s="7">
        <v>0.4733</v>
      </c>
      <c r="BJ66" s="4">
        <v>38</v>
      </c>
      <c r="BK66" s="8">
        <v>2766.16</v>
      </c>
      <c r="BL66" s="2" t="s">
        <v>387</v>
      </c>
      <c r="BM66" s="7">
        <v>0.1579</v>
      </c>
      <c r="BN66" s="7">
        <v>0.1681</v>
      </c>
      <c r="BO66" s="4">
        <v>6</v>
      </c>
      <c r="BP66" s="8">
        <v>464.88</v>
      </c>
      <c r="BQ66" s="4">
        <v>3</v>
      </c>
      <c r="BR66" s="8">
        <v>232.44</v>
      </c>
      <c r="BS66" s="7">
        <v>1</v>
      </c>
      <c r="BT66" s="7">
        <v>1</v>
      </c>
      <c r="BU66" s="2" t="s">
        <v>109</v>
      </c>
      <c r="BV66" s="2" t="s">
        <v>97</v>
      </c>
      <c r="BW66" s="2" t="s">
        <v>386</v>
      </c>
      <c r="BX66" s="2" t="s">
        <v>388</v>
      </c>
      <c r="BY66" s="2" t="s">
        <v>112</v>
      </c>
      <c r="BZ66" s="2" t="s">
        <v>100</v>
      </c>
    </row>
    <row r="67">
      <c r="A67" s="2" t="s">
        <v>389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381</v>
      </c>
      <c r="G67" s="2" t="s">
        <v>382</v>
      </c>
      <c r="H67" s="2" t="s">
        <v>383</v>
      </c>
      <c r="I67" s="2" t="s">
        <v>94</v>
      </c>
      <c r="J67" s="2" t="s">
        <v>114</v>
      </c>
      <c r="K67" s="2" t="s">
        <v>96</v>
      </c>
      <c r="L67" s="3">
        <v>80</v>
      </c>
      <c r="M67" s="3">
        <v>83.99</v>
      </c>
      <c r="N67" s="3">
        <v>169.99</v>
      </c>
      <c r="O67" s="2" t="s">
        <v>97</v>
      </c>
      <c r="P67" s="2" t="s">
        <v>141</v>
      </c>
      <c r="Q67" s="2" t="s">
        <v>99</v>
      </c>
      <c r="R67" s="2" t="s">
        <v>100</v>
      </c>
      <c r="S67" s="2" t="s">
        <v>384</v>
      </c>
      <c r="T67" s="2" t="s">
        <v>100</v>
      </c>
      <c r="U67" s="2" t="s">
        <v>102</v>
      </c>
      <c r="V67" s="2" t="s">
        <v>385</v>
      </c>
      <c r="W67" s="2" t="s">
        <v>291</v>
      </c>
      <c r="X67" s="2" t="s">
        <v>292</v>
      </c>
      <c r="Y67" s="2" t="s">
        <v>386</v>
      </c>
      <c r="Z67" s="4">
        <v>424</v>
      </c>
      <c r="AA67" s="4">
        <f>=ROUNDDOWN(38.5454545454545,0)</f>
      </c>
      <c r="AB67" s="5">
        <v>11</v>
      </c>
      <c r="AC67" s="2" t="s">
        <v>390</v>
      </c>
      <c r="AD67" s="4">
        <v>50</v>
      </c>
      <c r="AE67" s="4">
        <v>50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/>
      <c r="AP67" s="4">
        <v>9</v>
      </c>
      <c r="AQ67" s="8">
        <v>804.6</v>
      </c>
      <c r="AR67" s="4">
        <v>10</v>
      </c>
      <c r="AS67" s="8">
        <v>894</v>
      </c>
      <c r="AT67" s="7">
        <v>-0.1</v>
      </c>
      <c r="AU67" s="7">
        <v>-0.1</v>
      </c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0.6338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38</v>
      </c>
      <c r="BK67" s="8">
        <v>3135.38</v>
      </c>
      <c r="BL67" s="2" t="s">
        <v>387</v>
      </c>
      <c r="BM67" s="7">
        <v>0.2368</v>
      </c>
      <c r="BN67" s="7">
        <v>0.2566</v>
      </c>
      <c r="BO67" s="4">
        <v>9</v>
      </c>
      <c r="BP67" s="8">
        <v>804.6</v>
      </c>
      <c r="BQ67" s="4">
        <v>10</v>
      </c>
      <c r="BR67" s="8">
        <v>894</v>
      </c>
      <c r="BS67" s="7">
        <v>-0.1</v>
      </c>
      <c r="BT67" s="7">
        <v>-0.1</v>
      </c>
      <c r="BU67" s="2" t="s">
        <v>109</v>
      </c>
      <c r="BV67" s="2" t="s">
        <v>97</v>
      </c>
      <c r="BW67" s="2" t="s">
        <v>386</v>
      </c>
      <c r="BX67" s="2" t="s">
        <v>391</v>
      </c>
      <c r="BY67" s="2" t="s">
        <v>112</v>
      </c>
      <c r="BZ67" s="2" t="s">
        <v>100</v>
      </c>
    </row>
    <row r="68">
      <c r="A68" s="2" t="s">
        <v>392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381</v>
      </c>
      <c r="G68" s="2" t="s">
        <v>382</v>
      </c>
      <c r="H68" s="2" t="s">
        <v>383</v>
      </c>
      <c r="I68" s="2" t="s">
        <v>94</v>
      </c>
      <c r="J68" s="2" t="s">
        <v>120</v>
      </c>
      <c r="K68" s="2" t="s">
        <v>96</v>
      </c>
      <c r="L68" s="3">
        <v>80</v>
      </c>
      <c r="M68" s="3">
        <v>83.99</v>
      </c>
      <c r="N68" s="3">
        <v>169.99</v>
      </c>
      <c r="O68" s="2" t="s">
        <v>97</v>
      </c>
      <c r="P68" s="2" t="s">
        <v>141</v>
      </c>
      <c r="Q68" s="2" t="s">
        <v>99</v>
      </c>
      <c r="R68" s="2" t="s">
        <v>100</v>
      </c>
      <c r="S68" s="2" t="s">
        <v>384</v>
      </c>
      <c r="T68" s="2" t="s">
        <v>100</v>
      </c>
      <c r="U68" s="2" t="s">
        <v>102</v>
      </c>
      <c r="V68" s="2" t="s">
        <v>385</v>
      </c>
      <c r="W68" s="2" t="s">
        <v>291</v>
      </c>
      <c r="X68" s="2" t="s">
        <v>292</v>
      </c>
      <c r="Y68" s="2" t="s">
        <v>386</v>
      </c>
      <c r="Z68" s="4">
        <v>193</v>
      </c>
      <c r="AA68" s="4">
        <f>=ROUNDDOWN(48.25,0)</f>
      </c>
      <c r="AB68" s="5">
        <v>4</v>
      </c>
      <c r="AC68" s="2" t="s">
        <v>390</v>
      </c>
      <c r="AD68" s="4">
        <v>50</v>
      </c>
      <c r="AE68" s="4">
        <v>50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/>
      <c r="AP68" s="4"/>
      <c r="AQ68" s="8"/>
      <c r="AR68" s="4">
        <v>4</v>
      </c>
      <c r="AS68" s="8">
        <v>357.6</v>
      </c>
      <c r="AT68" s="7">
        <v>-1</v>
      </c>
      <c r="AU68" s="7">
        <v>-1</v>
      </c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 t="s">
        <v>100</v>
      </c>
      <c r="BJ68" s="4">
        <v>6</v>
      </c>
      <c r="BK68" s="8">
        <v>489.48</v>
      </c>
      <c r="BL68" s="2" t="s">
        <v>393</v>
      </c>
      <c r="BM68" s="7"/>
      <c r="BN68" s="7"/>
      <c r="BO68" s="4"/>
      <c r="BP68" s="8"/>
      <c r="BQ68" s="4">
        <v>4</v>
      </c>
      <c r="BR68" s="8">
        <v>357.6</v>
      </c>
      <c r="BS68" s="7">
        <v>-1</v>
      </c>
      <c r="BT68" s="7">
        <v>-1</v>
      </c>
      <c r="BU68" s="2" t="s">
        <v>109</v>
      </c>
      <c r="BV68" s="2" t="s">
        <v>97</v>
      </c>
      <c r="BW68" s="2" t="s">
        <v>386</v>
      </c>
      <c r="BX68" s="2" t="s">
        <v>394</v>
      </c>
      <c r="BY68" s="2" t="s">
        <v>112</v>
      </c>
      <c r="BZ68" s="2" t="s">
        <v>100</v>
      </c>
    </row>
    <row r="69">
      <c r="A69" s="2" t="s">
        <v>395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381</v>
      </c>
      <c r="G69" s="2" t="s">
        <v>382</v>
      </c>
      <c r="H69" s="2" t="s">
        <v>383</v>
      </c>
      <c r="I69" s="2" t="s">
        <v>396</v>
      </c>
      <c r="J69" s="2" t="s">
        <v>95</v>
      </c>
      <c r="K69" s="2" t="s">
        <v>397</v>
      </c>
      <c r="L69" s="3">
        <v>67.2</v>
      </c>
      <c r="M69" s="3">
        <v>70.55</v>
      </c>
      <c r="N69" s="3">
        <v>149.99</v>
      </c>
      <c r="O69" s="2" t="s">
        <v>97</v>
      </c>
      <c r="P69" s="2" t="s">
        <v>141</v>
      </c>
      <c r="Q69" s="2" t="s">
        <v>99</v>
      </c>
      <c r="R69" s="2" t="s">
        <v>100</v>
      </c>
      <c r="S69" s="2" t="s">
        <v>398</v>
      </c>
      <c r="T69" s="2" t="s">
        <v>100</v>
      </c>
      <c r="U69" s="2" t="s">
        <v>102</v>
      </c>
      <c r="V69" s="2" t="s">
        <v>385</v>
      </c>
      <c r="W69" s="2" t="s">
        <v>291</v>
      </c>
      <c r="X69" s="2" t="s">
        <v>399</v>
      </c>
      <c r="Y69" s="2" t="s">
        <v>129</v>
      </c>
      <c r="Z69" s="4">
        <v>415</v>
      </c>
      <c r="AA69" s="4">
        <f>=ROUNDDOWN(37.7272727272727,0)</f>
      </c>
      <c r="AB69" s="5">
        <v>11</v>
      </c>
      <c r="AC69" s="2" t="s">
        <v>100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/>
      <c r="AP69" s="4">
        <v>6</v>
      </c>
      <c r="AQ69" s="8">
        <v>464.88</v>
      </c>
      <c r="AR69" s="4">
        <v>6</v>
      </c>
      <c r="AS69" s="8">
        <v>464.88</v>
      </c>
      <c r="AT69" s="7"/>
      <c r="AU69" s="7"/>
      <c r="AV69" s="4">
        <v>10</v>
      </c>
      <c r="AW69" s="8">
        <v>822.48</v>
      </c>
      <c r="AX69" s="4">
        <v>9</v>
      </c>
      <c r="AY69" s="8">
        <v>733.08</v>
      </c>
      <c r="AZ69" s="7">
        <v>0.1111</v>
      </c>
      <c r="BA69" s="7">
        <v>0.122</v>
      </c>
      <c r="BB69" s="7">
        <v>0.5652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>
        <v>0.3067</v>
      </c>
      <c r="BJ69" s="4">
        <v>48</v>
      </c>
      <c r="BK69" s="8">
        <v>3281.5</v>
      </c>
      <c r="BL69" s="2" t="s">
        <v>400</v>
      </c>
      <c r="BM69" s="7">
        <v>0.125</v>
      </c>
      <c r="BN69" s="7">
        <v>0.1417</v>
      </c>
      <c r="BO69" s="4">
        <v>6</v>
      </c>
      <c r="BP69" s="8">
        <v>464.88</v>
      </c>
      <c r="BQ69" s="4">
        <v>6</v>
      </c>
      <c r="BR69" s="8">
        <v>464.88</v>
      </c>
      <c r="BS69" s="7"/>
      <c r="BT69" s="7"/>
      <c r="BU69" s="2" t="s">
        <v>109</v>
      </c>
      <c r="BV69" s="2" t="s">
        <v>97</v>
      </c>
      <c r="BW69" s="2" t="s">
        <v>164</v>
      </c>
      <c r="BX69" s="2" t="s">
        <v>401</v>
      </c>
      <c r="BY69" s="2" t="s">
        <v>112</v>
      </c>
      <c r="BZ69" s="2" t="s">
        <v>100</v>
      </c>
    </row>
    <row r="70">
      <c r="A70" s="2" t="s">
        <v>402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381</v>
      </c>
      <c r="G70" s="2" t="s">
        <v>382</v>
      </c>
      <c r="H70" s="2" t="s">
        <v>383</v>
      </c>
      <c r="I70" s="2" t="s">
        <v>396</v>
      </c>
      <c r="J70" s="2" t="s">
        <v>114</v>
      </c>
      <c r="K70" s="2" t="s">
        <v>397</v>
      </c>
      <c r="L70" s="3">
        <v>80</v>
      </c>
      <c r="M70" s="3">
        <v>83.99</v>
      </c>
      <c r="N70" s="3">
        <v>169.99</v>
      </c>
      <c r="O70" s="2" t="s">
        <v>97</v>
      </c>
      <c r="P70" s="2" t="s">
        <v>141</v>
      </c>
      <c r="Q70" s="2" t="s">
        <v>99</v>
      </c>
      <c r="R70" s="2" t="s">
        <v>100</v>
      </c>
      <c r="S70" s="2" t="s">
        <v>398</v>
      </c>
      <c r="T70" s="2" t="s">
        <v>100</v>
      </c>
      <c r="U70" s="2" t="s">
        <v>102</v>
      </c>
      <c r="V70" s="2" t="s">
        <v>385</v>
      </c>
      <c r="W70" s="2" t="s">
        <v>291</v>
      </c>
      <c r="X70" s="2" t="s">
        <v>399</v>
      </c>
      <c r="Y70" s="2" t="s">
        <v>129</v>
      </c>
      <c r="Z70" s="4">
        <v>480</v>
      </c>
      <c r="AA70" s="4">
        <f>=ROUNDDOWN(53.3333333333333,0)</f>
      </c>
      <c r="AB70" s="5">
        <v>9</v>
      </c>
      <c r="AC70" s="2" t="s">
        <v>100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/>
      <c r="AP70" s="4">
        <v>4</v>
      </c>
      <c r="AQ70" s="8">
        <v>357.6</v>
      </c>
      <c r="AR70" s="4">
        <v>3</v>
      </c>
      <c r="AS70" s="8">
        <v>268.2</v>
      </c>
      <c r="AT70" s="7">
        <v>0.3333</v>
      </c>
      <c r="AU70" s="7">
        <v>0.3333</v>
      </c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0.4348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32</v>
      </c>
      <c r="BK70" s="8">
        <v>2614.89</v>
      </c>
      <c r="BL70" s="2" t="s">
        <v>403</v>
      </c>
      <c r="BM70" s="7">
        <v>0.125</v>
      </c>
      <c r="BN70" s="7">
        <v>0.1368</v>
      </c>
      <c r="BO70" s="4">
        <v>4</v>
      </c>
      <c r="BP70" s="8">
        <v>357.6</v>
      </c>
      <c r="BQ70" s="4">
        <v>3</v>
      </c>
      <c r="BR70" s="8">
        <v>268.2</v>
      </c>
      <c r="BS70" s="7">
        <v>0.3333</v>
      </c>
      <c r="BT70" s="7">
        <v>0.3333</v>
      </c>
      <c r="BU70" s="2" t="s">
        <v>109</v>
      </c>
      <c r="BV70" s="2" t="s">
        <v>97</v>
      </c>
      <c r="BW70" s="2" t="s">
        <v>164</v>
      </c>
      <c r="BX70" s="2" t="s">
        <v>404</v>
      </c>
      <c r="BY70" s="2" t="s">
        <v>112</v>
      </c>
      <c r="BZ70" s="2" t="s">
        <v>100</v>
      </c>
    </row>
    <row r="71">
      <c r="A71" s="2" t="s">
        <v>405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381</v>
      </c>
      <c r="G71" s="2" t="s">
        <v>382</v>
      </c>
      <c r="H71" s="2" t="s">
        <v>383</v>
      </c>
      <c r="I71" s="2" t="s">
        <v>396</v>
      </c>
      <c r="J71" s="2" t="s">
        <v>120</v>
      </c>
      <c r="K71" s="2" t="s">
        <v>397</v>
      </c>
      <c r="L71" s="3">
        <v>80</v>
      </c>
      <c r="M71" s="3">
        <v>83.99</v>
      </c>
      <c r="N71" s="3">
        <v>169.99</v>
      </c>
      <c r="O71" s="2" t="s">
        <v>97</v>
      </c>
      <c r="P71" s="2" t="s">
        <v>141</v>
      </c>
      <c r="Q71" s="2" t="s">
        <v>99</v>
      </c>
      <c r="R71" s="2" t="s">
        <v>100</v>
      </c>
      <c r="S71" s="2" t="s">
        <v>398</v>
      </c>
      <c r="T71" s="2" t="s">
        <v>100</v>
      </c>
      <c r="U71" s="2" t="s">
        <v>102</v>
      </c>
      <c r="V71" s="2" t="s">
        <v>385</v>
      </c>
      <c r="W71" s="2" t="s">
        <v>291</v>
      </c>
      <c r="X71" s="2" t="s">
        <v>399</v>
      </c>
      <c r="Y71" s="2" t="s">
        <v>129</v>
      </c>
      <c r="Z71" s="4">
        <v>173</v>
      </c>
      <c r="AA71" s="4">
        <f>=ROUNDDOWN(34.6,0)</f>
      </c>
      <c r="AB71" s="5">
        <v>5</v>
      </c>
      <c r="AC71" s="2" t="s">
        <v>100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/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 t="s">
        <v>100</v>
      </c>
      <c r="BJ71" s="4">
        <v>14</v>
      </c>
      <c r="BK71" s="8">
        <v>1101.92</v>
      </c>
      <c r="BL71" s="2" t="s">
        <v>406</v>
      </c>
      <c r="BM71" s="7"/>
      <c r="BN71" s="7"/>
      <c r="BO71" s="4"/>
      <c r="BP71" s="8"/>
      <c r="BQ71" s="4"/>
      <c r="BR71" s="8"/>
      <c r="BS71" s="7"/>
      <c r="BT71" s="7"/>
      <c r="BU71" s="2" t="s">
        <v>109</v>
      </c>
      <c r="BV71" s="2" t="s">
        <v>97</v>
      </c>
      <c r="BW71" s="2" t="s">
        <v>164</v>
      </c>
      <c r="BX71" s="2" t="s">
        <v>407</v>
      </c>
      <c r="BY71" s="2" t="s">
        <v>112</v>
      </c>
      <c r="BZ71" s="2" t="s">
        <v>100</v>
      </c>
    </row>
    <row r="72">
      <c r="A72" s="2" t="s">
        <v>408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381</v>
      </c>
      <c r="G72" s="2" t="s">
        <v>382</v>
      </c>
      <c r="H72" s="2" t="s">
        <v>383</v>
      </c>
      <c r="I72" s="2" t="s">
        <v>396</v>
      </c>
      <c r="J72" s="2" t="s">
        <v>95</v>
      </c>
      <c r="K72" s="2" t="s">
        <v>276</v>
      </c>
      <c r="L72" s="3">
        <v>67.2</v>
      </c>
      <c r="M72" s="3">
        <v>70.55</v>
      </c>
      <c r="N72" s="3">
        <v>149.99</v>
      </c>
      <c r="O72" s="2" t="s">
        <v>97</v>
      </c>
      <c r="P72" s="2" t="s">
        <v>409</v>
      </c>
      <c r="Q72" s="2" t="s">
        <v>99</v>
      </c>
      <c r="R72" s="2" t="s">
        <v>100</v>
      </c>
      <c r="S72" s="2" t="s">
        <v>410</v>
      </c>
      <c r="T72" s="2" t="s">
        <v>100</v>
      </c>
      <c r="U72" s="2" t="s">
        <v>102</v>
      </c>
      <c r="V72" s="2" t="s">
        <v>385</v>
      </c>
      <c r="W72" s="2" t="s">
        <v>291</v>
      </c>
      <c r="X72" s="2" t="s">
        <v>399</v>
      </c>
      <c r="Y72" s="2" t="s">
        <v>129</v>
      </c>
      <c r="Z72" s="4">
        <v>660</v>
      </c>
      <c r="AA72" s="4">
        <f>=ROUNDDOWN(50.7692307692308,0)</f>
      </c>
      <c r="AB72" s="5">
        <v>13</v>
      </c>
      <c r="AC72" s="2" t="s">
        <v>100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/>
      <c r="AP72" s="4">
        <v>3</v>
      </c>
      <c r="AQ72" s="8">
        <v>232.44</v>
      </c>
      <c r="AR72" s="4">
        <v>23</v>
      </c>
      <c r="AS72" s="8">
        <v>1782.04</v>
      </c>
      <c r="AT72" s="7">
        <v>-0.8696</v>
      </c>
      <c r="AU72" s="7">
        <v>-0.8696</v>
      </c>
      <c r="AV72" s="4">
        <v>7</v>
      </c>
      <c r="AW72" s="8">
        <v>590.04</v>
      </c>
      <c r="AX72" s="4">
        <v>47</v>
      </c>
      <c r="AY72" s="8">
        <v>3927.64</v>
      </c>
      <c r="AZ72" s="7">
        <v>-0.8511</v>
      </c>
      <c r="BA72" s="7">
        <v>-0.8498</v>
      </c>
      <c r="BB72" s="7">
        <v>0.3939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0.22</v>
      </c>
      <c r="BJ72" s="4">
        <v>32</v>
      </c>
      <c r="BK72" s="8">
        <v>2214.75</v>
      </c>
      <c r="BL72" s="2" t="s">
        <v>411</v>
      </c>
      <c r="BM72" s="7">
        <v>0.0938</v>
      </c>
      <c r="BN72" s="7">
        <v>0.105</v>
      </c>
      <c r="BO72" s="4">
        <v>3</v>
      </c>
      <c r="BP72" s="8">
        <v>232.44</v>
      </c>
      <c r="BQ72" s="4">
        <v>23</v>
      </c>
      <c r="BR72" s="8">
        <v>1782.04</v>
      </c>
      <c r="BS72" s="7">
        <v>-0.8696</v>
      </c>
      <c r="BT72" s="7">
        <v>-0.8696</v>
      </c>
      <c r="BU72" s="2" t="s">
        <v>109</v>
      </c>
      <c r="BV72" s="2" t="s">
        <v>97</v>
      </c>
      <c r="BW72" s="2" t="s">
        <v>164</v>
      </c>
      <c r="BX72" s="2" t="s">
        <v>401</v>
      </c>
      <c r="BY72" s="2" t="s">
        <v>112</v>
      </c>
      <c r="BZ72" s="2" t="s">
        <v>100</v>
      </c>
    </row>
    <row r="73">
      <c r="A73" s="2" t="s">
        <v>412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381</v>
      </c>
      <c r="G73" s="2" t="s">
        <v>382</v>
      </c>
      <c r="H73" s="2" t="s">
        <v>383</v>
      </c>
      <c r="I73" s="2" t="s">
        <v>396</v>
      </c>
      <c r="J73" s="2" t="s">
        <v>114</v>
      </c>
      <c r="K73" s="2" t="s">
        <v>276</v>
      </c>
      <c r="L73" s="3">
        <v>80</v>
      </c>
      <c r="M73" s="3">
        <v>83.99</v>
      </c>
      <c r="N73" s="3">
        <v>169.99</v>
      </c>
      <c r="O73" s="2" t="s">
        <v>97</v>
      </c>
      <c r="P73" s="2" t="s">
        <v>409</v>
      </c>
      <c r="Q73" s="2" t="s">
        <v>99</v>
      </c>
      <c r="R73" s="2" t="s">
        <v>100</v>
      </c>
      <c r="S73" s="2" t="s">
        <v>410</v>
      </c>
      <c r="T73" s="2" t="s">
        <v>100</v>
      </c>
      <c r="U73" s="2" t="s">
        <v>102</v>
      </c>
      <c r="V73" s="2" t="s">
        <v>385</v>
      </c>
      <c r="W73" s="2" t="s">
        <v>291</v>
      </c>
      <c r="X73" s="2" t="s">
        <v>399</v>
      </c>
      <c r="Y73" s="2" t="s">
        <v>129</v>
      </c>
      <c r="Z73" s="4">
        <v>622</v>
      </c>
      <c r="AA73" s="4">
        <f>=ROUNDDOWN(44.4285714285714,0)</f>
      </c>
      <c r="AB73" s="5">
        <v>14</v>
      </c>
      <c r="AC73" s="2" t="s">
        <v>100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/>
      <c r="AP73" s="4">
        <v>2</v>
      </c>
      <c r="AQ73" s="8">
        <v>178.8</v>
      </c>
      <c r="AR73" s="4">
        <v>18</v>
      </c>
      <c r="AS73" s="8">
        <v>1609.2</v>
      </c>
      <c r="AT73" s="7">
        <v>-0.8889</v>
      </c>
      <c r="AU73" s="7">
        <v>-0.8889</v>
      </c>
      <c r="AV73" s="4" t="s">
        <v>100</v>
      </c>
      <c r="AW73" s="8" t="s">
        <v>100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>
        <v>0.303</v>
      </c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 t="s">
        <v>100</v>
      </c>
      <c r="BJ73" s="4">
        <v>44</v>
      </c>
      <c r="BK73" s="8">
        <v>3605.91</v>
      </c>
      <c r="BL73" s="2" t="s">
        <v>413</v>
      </c>
      <c r="BM73" s="7">
        <v>0.0455</v>
      </c>
      <c r="BN73" s="7">
        <v>0.0496</v>
      </c>
      <c r="BO73" s="4">
        <v>2</v>
      </c>
      <c r="BP73" s="8">
        <v>178.8</v>
      </c>
      <c r="BQ73" s="4">
        <v>18</v>
      </c>
      <c r="BR73" s="8">
        <v>1609.2</v>
      </c>
      <c r="BS73" s="7">
        <v>-0.8889</v>
      </c>
      <c r="BT73" s="7">
        <v>-0.8889</v>
      </c>
      <c r="BU73" s="2" t="s">
        <v>109</v>
      </c>
      <c r="BV73" s="2" t="s">
        <v>97</v>
      </c>
      <c r="BW73" s="2" t="s">
        <v>164</v>
      </c>
      <c r="BX73" s="2" t="s">
        <v>401</v>
      </c>
      <c r="BY73" s="2" t="s">
        <v>112</v>
      </c>
      <c r="BZ73" s="2" t="s">
        <v>100</v>
      </c>
    </row>
    <row r="74">
      <c r="A74" s="2" t="s">
        <v>414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381</v>
      </c>
      <c r="G74" s="2" t="s">
        <v>382</v>
      </c>
      <c r="H74" s="2" t="s">
        <v>383</v>
      </c>
      <c r="I74" s="2" t="s">
        <v>396</v>
      </c>
      <c r="J74" s="2" t="s">
        <v>120</v>
      </c>
      <c r="K74" s="2" t="s">
        <v>276</v>
      </c>
      <c r="L74" s="3">
        <v>80</v>
      </c>
      <c r="M74" s="3">
        <v>83.99</v>
      </c>
      <c r="N74" s="3">
        <v>169.99</v>
      </c>
      <c r="O74" s="2" t="s">
        <v>97</v>
      </c>
      <c r="P74" s="2" t="s">
        <v>409</v>
      </c>
      <c r="Q74" s="2" t="s">
        <v>99</v>
      </c>
      <c r="R74" s="2" t="s">
        <v>100</v>
      </c>
      <c r="S74" s="2" t="s">
        <v>410</v>
      </c>
      <c r="T74" s="2" t="s">
        <v>100</v>
      </c>
      <c r="U74" s="2" t="s">
        <v>102</v>
      </c>
      <c r="V74" s="2" t="s">
        <v>385</v>
      </c>
      <c r="W74" s="2" t="s">
        <v>291</v>
      </c>
      <c r="X74" s="2" t="s">
        <v>399</v>
      </c>
      <c r="Y74" s="2" t="s">
        <v>129</v>
      </c>
      <c r="Z74" s="4">
        <v>257</v>
      </c>
      <c r="AA74" s="4">
        <f>=ROUNDDOWN(42.8333333333333,0)</f>
      </c>
      <c r="AB74" s="5">
        <v>6</v>
      </c>
      <c r="AC74" s="2" t="s">
        <v>100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/>
      <c r="AP74" s="4">
        <v>2</v>
      </c>
      <c r="AQ74" s="8">
        <v>178.8</v>
      </c>
      <c r="AR74" s="4">
        <v>6</v>
      </c>
      <c r="AS74" s="8">
        <v>536.4</v>
      </c>
      <c r="AT74" s="7">
        <v>-0.6667</v>
      </c>
      <c r="AU74" s="7">
        <v>-0.6667</v>
      </c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0.303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 t="s">
        <v>100</v>
      </c>
      <c r="BJ74" s="4">
        <v>21</v>
      </c>
      <c r="BK74" s="8">
        <v>1756.1</v>
      </c>
      <c r="BL74" s="2" t="s">
        <v>415</v>
      </c>
      <c r="BM74" s="7">
        <v>0.0952</v>
      </c>
      <c r="BN74" s="7">
        <v>0.1018</v>
      </c>
      <c r="BO74" s="4">
        <v>2</v>
      </c>
      <c r="BP74" s="8">
        <v>178.8</v>
      </c>
      <c r="BQ74" s="4">
        <v>6</v>
      </c>
      <c r="BR74" s="8">
        <v>536.4</v>
      </c>
      <c r="BS74" s="7">
        <v>-0.6667</v>
      </c>
      <c r="BT74" s="7">
        <v>-0.6667</v>
      </c>
      <c r="BU74" s="2" t="s">
        <v>109</v>
      </c>
      <c r="BV74" s="2" t="s">
        <v>97</v>
      </c>
      <c r="BW74" s="2" t="s">
        <v>164</v>
      </c>
      <c r="BX74" s="2" t="s">
        <v>407</v>
      </c>
      <c r="BY74" s="2" t="s">
        <v>112</v>
      </c>
      <c r="BZ74" s="2" t="s">
        <v>100</v>
      </c>
    </row>
    <row r="75">
      <c r="A75" s="2" t="s">
        <v>416</v>
      </c>
      <c r="B75" s="2" t="s">
        <v>87</v>
      </c>
      <c r="C75" s="2" t="s">
        <v>88</v>
      </c>
      <c r="D75" s="2" t="s">
        <v>417</v>
      </c>
      <c r="E75" s="2" t="s">
        <v>418</v>
      </c>
      <c r="F75" s="2" t="s">
        <v>419</v>
      </c>
      <c r="G75" s="2" t="s">
        <v>420</v>
      </c>
      <c r="H75" s="2" t="s">
        <v>421</v>
      </c>
      <c r="I75" s="2" t="s">
        <v>422</v>
      </c>
      <c r="J75" s="2" t="s">
        <v>423</v>
      </c>
      <c r="K75" s="2" t="s">
        <v>424</v>
      </c>
      <c r="L75" s="3">
        <v>32.39</v>
      </c>
      <c r="M75" s="3">
        <v>34.01</v>
      </c>
      <c r="N75" s="3">
        <v>64.99</v>
      </c>
      <c r="O75" s="2" t="s">
        <v>97</v>
      </c>
      <c r="P75" s="2" t="s">
        <v>126</v>
      </c>
      <c r="Q75" s="2" t="s">
        <v>99</v>
      </c>
      <c r="R75" s="2" t="s">
        <v>100</v>
      </c>
      <c r="S75" s="2" t="s">
        <v>425</v>
      </c>
      <c r="T75" s="2" t="s">
        <v>100</v>
      </c>
      <c r="U75" s="2" t="s">
        <v>426</v>
      </c>
      <c r="V75" s="2" t="s">
        <v>427</v>
      </c>
      <c r="W75" s="2" t="s">
        <v>104</v>
      </c>
      <c r="X75" s="2" t="s">
        <v>428</v>
      </c>
      <c r="Y75" s="2" t="s">
        <v>129</v>
      </c>
      <c r="Z75" s="4">
        <v>541</v>
      </c>
      <c r="AA75" s="4">
        <f>=ROUNDDOWN(25.7619047619048,0)</f>
      </c>
      <c r="AB75" s="5">
        <v>21</v>
      </c>
      <c r="AC75" s="2" t="s">
        <v>116</v>
      </c>
      <c r="AD75" s="4">
        <v>100</v>
      </c>
      <c r="AE75" s="4">
        <v>390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/>
      <c r="AP75" s="4">
        <v>8</v>
      </c>
      <c r="AQ75" s="8">
        <v>313.84</v>
      </c>
      <c r="AR75" s="4">
        <v>21</v>
      </c>
      <c r="AS75" s="8">
        <v>823.83</v>
      </c>
      <c r="AT75" s="7">
        <v>-0.619</v>
      </c>
      <c r="AU75" s="7">
        <v>-0.619</v>
      </c>
      <c r="AV75" s="4">
        <v>58</v>
      </c>
      <c r="AW75" s="8">
        <v>3435.4</v>
      </c>
      <c r="AX75" s="4">
        <v>91</v>
      </c>
      <c r="AY75" s="8">
        <v>5046.78</v>
      </c>
      <c r="AZ75" s="7">
        <v>-0.3626</v>
      </c>
      <c r="BA75" s="7">
        <v>-0.3193</v>
      </c>
      <c r="BB75" s="7">
        <v>0.0914</v>
      </c>
      <c r="BC75" s="4">
        <v>214</v>
      </c>
      <c r="BD75" s="8">
        <v>13660.93</v>
      </c>
      <c r="BE75" s="4">
        <v>425</v>
      </c>
      <c r="BF75" s="8">
        <v>26503.71</v>
      </c>
      <c r="BG75" s="7">
        <v>-0.4965</v>
      </c>
      <c r="BH75" s="7">
        <v>-0.4846</v>
      </c>
      <c r="BI75" s="7">
        <v>0.2515</v>
      </c>
      <c r="BJ75" s="4">
        <v>52</v>
      </c>
      <c r="BK75" s="8">
        <v>1883.3</v>
      </c>
      <c r="BL75" s="2" t="s">
        <v>429</v>
      </c>
      <c r="BM75" s="7">
        <v>0.1538</v>
      </c>
      <c r="BN75" s="7">
        <v>0.1666</v>
      </c>
      <c r="BO75" s="4">
        <v>8</v>
      </c>
      <c r="BP75" s="8">
        <v>313.84</v>
      </c>
      <c r="BQ75" s="4">
        <v>21</v>
      </c>
      <c r="BR75" s="8">
        <v>823.83</v>
      </c>
      <c r="BS75" s="7">
        <v>-0.619</v>
      </c>
      <c r="BT75" s="7">
        <v>-0.619</v>
      </c>
      <c r="BU75" s="2" t="s">
        <v>109</v>
      </c>
      <c r="BV75" s="2" t="s">
        <v>97</v>
      </c>
      <c r="BW75" s="2" t="s">
        <v>164</v>
      </c>
      <c r="BX75" s="2" t="s">
        <v>430</v>
      </c>
      <c r="BY75" s="2" t="s">
        <v>112</v>
      </c>
      <c r="BZ75" s="2" t="s">
        <v>100</v>
      </c>
    </row>
    <row r="76">
      <c r="A76" s="2" t="s">
        <v>431</v>
      </c>
      <c r="B76" s="2" t="s">
        <v>87</v>
      </c>
      <c r="C76" s="2" t="s">
        <v>88</v>
      </c>
      <c r="D76" s="2" t="s">
        <v>417</v>
      </c>
      <c r="E76" s="2" t="s">
        <v>418</v>
      </c>
      <c r="F76" s="2" t="s">
        <v>419</v>
      </c>
      <c r="G76" s="2" t="s">
        <v>420</v>
      </c>
      <c r="H76" s="2" t="s">
        <v>421</v>
      </c>
      <c r="I76" s="2" t="s">
        <v>422</v>
      </c>
      <c r="J76" s="2" t="s">
        <v>157</v>
      </c>
      <c r="K76" s="2" t="s">
        <v>424</v>
      </c>
      <c r="L76" s="3">
        <v>39.69</v>
      </c>
      <c r="M76" s="3">
        <v>41.67</v>
      </c>
      <c r="N76" s="3">
        <v>79.99</v>
      </c>
      <c r="O76" s="2" t="s">
        <v>97</v>
      </c>
      <c r="P76" s="2" t="s">
        <v>126</v>
      </c>
      <c r="Q76" s="2" t="s">
        <v>99</v>
      </c>
      <c r="R76" s="2" t="s">
        <v>100</v>
      </c>
      <c r="S76" s="2" t="s">
        <v>425</v>
      </c>
      <c r="T76" s="2" t="s">
        <v>100</v>
      </c>
      <c r="U76" s="2" t="s">
        <v>432</v>
      </c>
      <c r="V76" s="2" t="s">
        <v>427</v>
      </c>
      <c r="W76" s="2" t="s">
        <v>104</v>
      </c>
      <c r="X76" s="2" t="s">
        <v>428</v>
      </c>
      <c r="Y76" s="2" t="s">
        <v>129</v>
      </c>
      <c r="Z76" s="4">
        <v>356</v>
      </c>
      <c r="AA76" s="4">
        <f>=ROUNDDOWN(23.7333333333333,0)</f>
      </c>
      <c r="AB76" s="5">
        <v>15</v>
      </c>
      <c r="AC76" s="2" t="s">
        <v>184</v>
      </c>
      <c r="AD76" s="4">
        <v>90</v>
      </c>
      <c r="AE76" s="4">
        <v>310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/>
      <c r="AP76" s="4">
        <v>4</v>
      </c>
      <c r="AQ76" s="8">
        <v>193.16</v>
      </c>
      <c r="AR76" s="4">
        <v>4</v>
      </c>
      <c r="AS76" s="8">
        <v>193.16</v>
      </c>
      <c r="AT76" s="7"/>
      <c r="AU76" s="7"/>
      <c r="AV76" s="4" t="s">
        <v>100</v>
      </c>
      <c r="AW76" s="8" t="s">
        <v>100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0.0562</v>
      </c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 t="s">
        <v>100</v>
      </c>
      <c r="BJ76" s="4">
        <v>37</v>
      </c>
      <c r="BK76" s="8">
        <v>1576.12</v>
      </c>
      <c r="BL76" s="2" t="s">
        <v>433</v>
      </c>
      <c r="BM76" s="7">
        <v>0.1081</v>
      </c>
      <c r="BN76" s="7">
        <v>0.1226</v>
      </c>
      <c r="BO76" s="4">
        <v>4</v>
      </c>
      <c r="BP76" s="8">
        <v>193.16</v>
      </c>
      <c r="BQ76" s="4">
        <v>4</v>
      </c>
      <c r="BR76" s="8">
        <v>193.16</v>
      </c>
      <c r="BS76" s="7"/>
      <c r="BT76" s="7"/>
      <c r="BU76" s="2" t="s">
        <v>109</v>
      </c>
      <c r="BV76" s="2" t="s">
        <v>97</v>
      </c>
      <c r="BW76" s="2" t="s">
        <v>164</v>
      </c>
      <c r="BX76" s="2" t="s">
        <v>434</v>
      </c>
      <c r="BY76" s="2" t="s">
        <v>112</v>
      </c>
      <c r="BZ76" s="2" t="s">
        <v>100</v>
      </c>
    </row>
    <row r="77">
      <c r="A77" s="2" t="s">
        <v>435</v>
      </c>
      <c r="B77" s="2" t="s">
        <v>87</v>
      </c>
      <c r="C77" s="2" t="s">
        <v>88</v>
      </c>
      <c r="D77" s="2" t="s">
        <v>417</v>
      </c>
      <c r="E77" s="2" t="s">
        <v>418</v>
      </c>
      <c r="F77" s="2" t="s">
        <v>419</v>
      </c>
      <c r="G77" s="2" t="s">
        <v>420</v>
      </c>
      <c r="H77" s="2" t="s">
        <v>421</v>
      </c>
      <c r="I77" s="2" t="s">
        <v>422</v>
      </c>
      <c r="J77" s="2" t="s">
        <v>95</v>
      </c>
      <c r="K77" s="2" t="s">
        <v>424</v>
      </c>
      <c r="L77" s="3">
        <v>49.5</v>
      </c>
      <c r="M77" s="3">
        <v>51.98</v>
      </c>
      <c r="N77" s="3">
        <v>99.99</v>
      </c>
      <c r="O77" s="2" t="s">
        <v>97</v>
      </c>
      <c r="P77" s="2" t="s">
        <v>126</v>
      </c>
      <c r="Q77" s="2" t="s">
        <v>99</v>
      </c>
      <c r="R77" s="2" t="s">
        <v>100</v>
      </c>
      <c r="S77" s="2" t="s">
        <v>425</v>
      </c>
      <c r="T77" s="2" t="s">
        <v>100</v>
      </c>
      <c r="U77" s="2" t="s">
        <v>432</v>
      </c>
      <c r="V77" s="2" t="s">
        <v>427</v>
      </c>
      <c r="W77" s="2" t="s">
        <v>104</v>
      </c>
      <c r="X77" s="2" t="s">
        <v>428</v>
      </c>
      <c r="Y77" s="2" t="s">
        <v>129</v>
      </c>
      <c r="Z77" s="4">
        <v>2035</v>
      </c>
      <c r="AA77" s="4">
        <f>=ROUNDDOWN(42.3958333333333,0)</f>
      </c>
      <c r="AB77" s="5">
        <v>48</v>
      </c>
      <c r="AC77" s="2" t="s">
        <v>436</v>
      </c>
      <c r="AD77" s="4">
        <v>130</v>
      </c>
      <c r="AE77" s="4">
        <v>320</v>
      </c>
      <c r="AF77" s="6">
        <v>65</v>
      </c>
      <c r="AG77" s="6">
        <v>48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/>
      <c r="AP77" s="4">
        <v>18</v>
      </c>
      <c r="AQ77" s="8">
        <v>940.68</v>
      </c>
      <c r="AR77" s="4">
        <v>35</v>
      </c>
      <c r="AS77" s="8">
        <v>1829.1</v>
      </c>
      <c r="AT77" s="7">
        <v>-0.4857</v>
      </c>
      <c r="AU77" s="7">
        <v>-0.4857</v>
      </c>
      <c r="AV77" s="4" t="s">
        <v>100</v>
      </c>
      <c r="AW77" s="8" t="s">
        <v>100</v>
      </c>
      <c r="AX77" s="4" t="s">
        <v>100</v>
      </c>
      <c r="AY77" s="8" t="s">
        <v>100</v>
      </c>
      <c r="AZ77" s="7" t="s">
        <v>100</v>
      </c>
      <c r="BA77" s="7" t="s">
        <v>100</v>
      </c>
      <c r="BB77" s="7">
        <v>0.2738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 t="s">
        <v>100</v>
      </c>
      <c r="BJ77" s="4">
        <v>102</v>
      </c>
      <c r="BK77" s="8">
        <v>5100.12</v>
      </c>
      <c r="BL77" s="2" t="s">
        <v>433</v>
      </c>
      <c r="BM77" s="7">
        <v>0.1765</v>
      </c>
      <c r="BN77" s="7">
        <v>0.1844</v>
      </c>
      <c r="BO77" s="4">
        <v>18</v>
      </c>
      <c r="BP77" s="8">
        <v>940.68</v>
      </c>
      <c r="BQ77" s="4">
        <v>35</v>
      </c>
      <c r="BR77" s="8">
        <v>1829.1</v>
      </c>
      <c r="BS77" s="7">
        <v>-0.4857</v>
      </c>
      <c r="BT77" s="7">
        <v>-0.4857</v>
      </c>
      <c r="BU77" s="2" t="s">
        <v>109</v>
      </c>
      <c r="BV77" s="2" t="s">
        <v>97</v>
      </c>
      <c r="BW77" s="2" t="s">
        <v>164</v>
      </c>
      <c r="BX77" s="2" t="s">
        <v>172</v>
      </c>
      <c r="BY77" s="2" t="s">
        <v>112</v>
      </c>
      <c r="BZ77" s="2" t="s">
        <v>100</v>
      </c>
    </row>
    <row r="78">
      <c r="A78" s="2" t="s">
        <v>437</v>
      </c>
      <c r="B78" s="2" t="s">
        <v>87</v>
      </c>
      <c r="C78" s="2" t="s">
        <v>88</v>
      </c>
      <c r="D78" s="2" t="s">
        <v>417</v>
      </c>
      <c r="E78" s="2" t="s">
        <v>418</v>
      </c>
      <c r="F78" s="2" t="s">
        <v>419</v>
      </c>
      <c r="G78" s="2" t="s">
        <v>420</v>
      </c>
      <c r="H78" s="2" t="s">
        <v>421</v>
      </c>
      <c r="I78" s="2" t="s">
        <v>422</v>
      </c>
      <c r="J78" s="2" t="s">
        <v>114</v>
      </c>
      <c r="K78" s="2" t="s">
        <v>424</v>
      </c>
      <c r="L78" s="3">
        <v>64.25</v>
      </c>
      <c r="M78" s="3">
        <v>67.46</v>
      </c>
      <c r="N78" s="3">
        <v>129.99</v>
      </c>
      <c r="O78" s="2" t="s">
        <v>97</v>
      </c>
      <c r="P78" s="2" t="s">
        <v>126</v>
      </c>
      <c r="Q78" s="2" t="s">
        <v>99</v>
      </c>
      <c r="R78" s="2" t="s">
        <v>100</v>
      </c>
      <c r="S78" s="2" t="s">
        <v>425</v>
      </c>
      <c r="T78" s="2" t="s">
        <v>100</v>
      </c>
      <c r="U78" s="2" t="s">
        <v>432</v>
      </c>
      <c r="V78" s="2" t="s">
        <v>427</v>
      </c>
      <c r="W78" s="2" t="s">
        <v>104</v>
      </c>
      <c r="X78" s="2" t="s">
        <v>428</v>
      </c>
      <c r="Y78" s="2" t="s">
        <v>129</v>
      </c>
      <c r="Z78" s="4">
        <v>1812</v>
      </c>
      <c r="AA78" s="4">
        <f>=ROUNDDOWN(33.5555555555556,0)</f>
      </c>
      <c r="AB78" s="5">
        <v>54</v>
      </c>
      <c r="AC78" s="2" t="s">
        <v>436</v>
      </c>
      <c r="AD78" s="4">
        <v>110</v>
      </c>
      <c r="AE78" s="4">
        <v>490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/>
      <c r="AP78" s="4">
        <v>28</v>
      </c>
      <c r="AQ78" s="8">
        <v>1987.72</v>
      </c>
      <c r="AR78" s="4">
        <v>31</v>
      </c>
      <c r="AS78" s="8">
        <v>2200.69</v>
      </c>
      <c r="AT78" s="7">
        <v>-0.0968</v>
      </c>
      <c r="AU78" s="7">
        <v>-0.0968</v>
      </c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>
        <v>0.5786</v>
      </c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268</v>
      </c>
      <c r="BK78" s="8">
        <v>18943.52</v>
      </c>
      <c r="BL78" s="2" t="s">
        <v>438</v>
      </c>
      <c r="BM78" s="7">
        <v>0.1045</v>
      </c>
      <c r="BN78" s="7">
        <v>0.1049</v>
      </c>
      <c r="BO78" s="4">
        <v>28</v>
      </c>
      <c r="BP78" s="8">
        <v>1987.72</v>
      </c>
      <c r="BQ78" s="4">
        <v>31</v>
      </c>
      <c r="BR78" s="8">
        <v>2200.69</v>
      </c>
      <c r="BS78" s="7">
        <v>-0.0968</v>
      </c>
      <c r="BT78" s="7">
        <v>-0.0968</v>
      </c>
      <c r="BU78" s="2" t="s">
        <v>109</v>
      </c>
      <c r="BV78" s="2" t="s">
        <v>97</v>
      </c>
      <c r="BW78" s="2" t="s">
        <v>164</v>
      </c>
      <c r="BX78" s="2" t="s">
        <v>172</v>
      </c>
      <c r="BY78" s="2" t="s">
        <v>112</v>
      </c>
      <c r="BZ78" s="2" t="s">
        <v>100</v>
      </c>
    </row>
    <row r="79">
      <c r="A79" s="2" t="s">
        <v>439</v>
      </c>
      <c r="B79" s="2" t="s">
        <v>87</v>
      </c>
      <c r="C79" s="2" t="s">
        <v>88</v>
      </c>
      <c r="D79" s="2" t="s">
        <v>417</v>
      </c>
      <c r="E79" s="2" t="s">
        <v>418</v>
      </c>
      <c r="F79" s="2" t="s">
        <v>419</v>
      </c>
      <c r="G79" s="2" t="s">
        <v>420</v>
      </c>
      <c r="H79" s="2" t="s">
        <v>421</v>
      </c>
      <c r="I79" s="2" t="s">
        <v>422</v>
      </c>
      <c r="J79" s="2" t="s">
        <v>423</v>
      </c>
      <c r="K79" s="2" t="s">
        <v>440</v>
      </c>
      <c r="L79" s="3">
        <v>32.39</v>
      </c>
      <c r="M79" s="3">
        <v>34.01</v>
      </c>
      <c r="N79" s="3">
        <v>64.99</v>
      </c>
      <c r="O79" s="2" t="s">
        <v>97</v>
      </c>
      <c r="P79" s="2" t="s">
        <v>126</v>
      </c>
      <c r="Q79" s="2" t="s">
        <v>99</v>
      </c>
      <c r="R79" s="2" t="s">
        <v>100</v>
      </c>
      <c r="S79" s="2" t="s">
        <v>441</v>
      </c>
      <c r="T79" s="2" t="s">
        <v>100</v>
      </c>
      <c r="U79" s="2" t="s">
        <v>426</v>
      </c>
      <c r="V79" s="2" t="s">
        <v>427</v>
      </c>
      <c r="W79" s="2" t="s">
        <v>104</v>
      </c>
      <c r="X79" s="2" t="s">
        <v>428</v>
      </c>
      <c r="Y79" s="2" t="s">
        <v>442</v>
      </c>
      <c r="Z79" s="4">
        <v>440</v>
      </c>
      <c r="AA79" s="4">
        <f>=ROUNDDOWN(44,0)</f>
      </c>
      <c r="AB79" s="5">
        <v>10</v>
      </c>
      <c r="AC79" s="2" t="s">
        <v>184</v>
      </c>
      <c r="AD79" s="4">
        <v>50</v>
      </c>
      <c r="AE79" s="4">
        <v>210</v>
      </c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/>
      <c r="AP79" s="4"/>
      <c r="AQ79" s="8"/>
      <c r="AR79" s="4">
        <v>7</v>
      </c>
      <c r="AS79" s="8">
        <v>260.89</v>
      </c>
      <c r="AT79" s="7">
        <v>-1</v>
      </c>
      <c r="AU79" s="7">
        <v>-1</v>
      </c>
      <c r="AV79" s="4">
        <v>26</v>
      </c>
      <c r="AW79" s="8">
        <v>1709.66</v>
      </c>
      <c r="AX79" s="4">
        <v>35</v>
      </c>
      <c r="AY79" s="8">
        <v>2093.57</v>
      </c>
      <c r="AZ79" s="7">
        <v>-0.2571</v>
      </c>
      <c r="BA79" s="7">
        <v>-0.1834</v>
      </c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0.1251</v>
      </c>
      <c r="BJ79" s="4">
        <v>38</v>
      </c>
      <c r="BK79" s="8">
        <v>1397.51</v>
      </c>
      <c r="BL79" s="2" t="s">
        <v>443</v>
      </c>
      <c r="BM79" s="7"/>
      <c r="BN79" s="7"/>
      <c r="BO79" s="4"/>
      <c r="BP79" s="8"/>
      <c r="BQ79" s="4">
        <v>7</v>
      </c>
      <c r="BR79" s="8">
        <v>260.89</v>
      </c>
      <c r="BS79" s="7">
        <v>-1</v>
      </c>
      <c r="BT79" s="7">
        <v>-1</v>
      </c>
      <c r="BU79" s="2" t="s">
        <v>109</v>
      </c>
      <c r="BV79" s="2" t="s">
        <v>97</v>
      </c>
      <c r="BW79" s="2" t="s">
        <v>442</v>
      </c>
      <c r="BX79" s="2" t="s">
        <v>444</v>
      </c>
      <c r="BY79" s="2" t="s">
        <v>112</v>
      </c>
      <c r="BZ79" s="2" t="s">
        <v>100</v>
      </c>
    </row>
    <row r="80">
      <c r="A80" s="2" t="s">
        <v>445</v>
      </c>
      <c r="B80" s="2" t="s">
        <v>87</v>
      </c>
      <c r="C80" s="2" t="s">
        <v>88</v>
      </c>
      <c r="D80" s="2" t="s">
        <v>417</v>
      </c>
      <c r="E80" s="2" t="s">
        <v>418</v>
      </c>
      <c r="F80" s="2" t="s">
        <v>419</v>
      </c>
      <c r="G80" s="2" t="s">
        <v>420</v>
      </c>
      <c r="H80" s="2" t="s">
        <v>421</v>
      </c>
      <c r="I80" s="2" t="s">
        <v>422</v>
      </c>
      <c r="J80" s="2" t="s">
        <v>157</v>
      </c>
      <c r="K80" s="2" t="s">
        <v>440</v>
      </c>
      <c r="L80" s="3">
        <v>39.69</v>
      </c>
      <c r="M80" s="3">
        <v>41.67</v>
      </c>
      <c r="N80" s="3">
        <v>79.99</v>
      </c>
      <c r="O80" s="2" t="s">
        <v>97</v>
      </c>
      <c r="P80" s="2" t="s">
        <v>126</v>
      </c>
      <c r="Q80" s="2" t="s">
        <v>99</v>
      </c>
      <c r="R80" s="2" t="s">
        <v>100</v>
      </c>
      <c r="S80" s="2" t="s">
        <v>441</v>
      </c>
      <c r="T80" s="2" t="s">
        <v>100</v>
      </c>
      <c r="U80" s="2" t="s">
        <v>432</v>
      </c>
      <c r="V80" s="2" t="s">
        <v>427</v>
      </c>
      <c r="W80" s="2" t="s">
        <v>104</v>
      </c>
      <c r="X80" s="2" t="s">
        <v>428</v>
      </c>
      <c r="Y80" s="2" t="s">
        <v>442</v>
      </c>
      <c r="Z80" s="4">
        <v>376</v>
      </c>
      <c r="AA80" s="4">
        <f>=ROUNDDOWN(53.7142857142857,0)</f>
      </c>
      <c r="AB80" s="5">
        <v>7</v>
      </c>
      <c r="AC80" s="2" t="s">
        <v>446</v>
      </c>
      <c r="AD80" s="4">
        <v>100</v>
      </c>
      <c r="AE80" s="4">
        <v>100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/>
      <c r="AP80" s="4">
        <v>1</v>
      </c>
      <c r="AQ80" s="8">
        <v>48.29</v>
      </c>
      <c r="AR80" s="4">
        <v>2</v>
      </c>
      <c r="AS80" s="8">
        <v>96.58</v>
      </c>
      <c r="AT80" s="7">
        <v>-0.5</v>
      </c>
      <c r="AU80" s="7">
        <v>-0.5</v>
      </c>
      <c r="AV80" s="4" t="s">
        <v>100</v>
      </c>
      <c r="AW80" s="8" t="s">
        <v>100</v>
      </c>
      <c r="AX80" s="4" t="s">
        <v>100</v>
      </c>
      <c r="AY80" s="8" t="s">
        <v>100</v>
      </c>
      <c r="AZ80" s="7" t="s">
        <v>100</v>
      </c>
      <c r="BA80" s="7" t="s">
        <v>100</v>
      </c>
      <c r="BB80" s="7">
        <v>0.0282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 t="s">
        <v>100</v>
      </c>
      <c r="BJ80" s="4">
        <v>6</v>
      </c>
      <c r="BK80" s="8">
        <v>260.7</v>
      </c>
      <c r="BL80" s="2" t="s">
        <v>447</v>
      </c>
      <c r="BM80" s="7">
        <v>0.1667</v>
      </c>
      <c r="BN80" s="7">
        <v>0.1852</v>
      </c>
      <c r="BO80" s="4">
        <v>1</v>
      </c>
      <c r="BP80" s="8">
        <v>48.29</v>
      </c>
      <c r="BQ80" s="4">
        <v>2</v>
      </c>
      <c r="BR80" s="8">
        <v>96.58</v>
      </c>
      <c r="BS80" s="7">
        <v>-0.5</v>
      </c>
      <c r="BT80" s="7">
        <v>-0.5</v>
      </c>
      <c r="BU80" s="2" t="s">
        <v>109</v>
      </c>
      <c r="BV80" s="2" t="s">
        <v>97</v>
      </c>
      <c r="BW80" s="2" t="s">
        <v>442</v>
      </c>
      <c r="BX80" s="2" t="s">
        <v>448</v>
      </c>
      <c r="BY80" s="2" t="s">
        <v>112</v>
      </c>
      <c r="BZ80" s="2" t="s">
        <v>100</v>
      </c>
    </row>
    <row r="81">
      <c r="A81" s="2" t="s">
        <v>449</v>
      </c>
      <c r="B81" s="2" t="s">
        <v>87</v>
      </c>
      <c r="C81" s="2" t="s">
        <v>88</v>
      </c>
      <c r="D81" s="2" t="s">
        <v>417</v>
      </c>
      <c r="E81" s="2" t="s">
        <v>418</v>
      </c>
      <c r="F81" s="2" t="s">
        <v>419</v>
      </c>
      <c r="G81" s="2" t="s">
        <v>420</v>
      </c>
      <c r="H81" s="2" t="s">
        <v>421</v>
      </c>
      <c r="I81" s="2" t="s">
        <v>422</v>
      </c>
      <c r="J81" s="2" t="s">
        <v>95</v>
      </c>
      <c r="K81" s="2" t="s">
        <v>440</v>
      </c>
      <c r="L81" s="3">
        <v>49.5</v>
      </c>
      <c r="M81" s="3">
        <v>51.98</v>
      </c>
      <c r="N81" s="3">
        <v>99.99</v>
      </c>
      <c r="O81" s="2" t="s">
        <v>97</v>
      </c>
      <c r="P81" s="2" t="s">
        <v>126</v>
      </c>
      <c r="Q81" s="2" t="s">
        <v>99</v>
      </c>
      <c r="R81" s="2" t="s">
        <v>100</v>
      </c>
      <c r="S81" s="2" t="s">
        <v>450</v>
      </c>
      <c r="T81" s="2" t="s">
        <v>100</v>
      </c>
      <c r="U81" s="2" t="s">
        <v>432</v>
      </c>
      <c r="V81" s="2" t="s">
        <v>427</v>
      </c>
      <c r="W81" s="2" t="s">
        <v>104</v>
      </c>
      <c r="X81" s="2" t="s">
        <v>428</v>
      </c>
      <c r="Y81" s="2" t="s">
        <v>129</v>
      </c>
      <c r="Z81" s="4">
        <v>1117</v>
      </c>
      <c r="AA81" s="4">
        <f>=ROUNDDOWN(42.9615384615385,0)</f>
      </c>
      <c r="AB81" s="5">
        <v>26</v>
      </c>
      <c r="AC81" s="2" t="s">
        <v>446</v>
      </c>
      <c r="AD81" s="4">
        <v>220</v>
      </c>
      <c r="AE81" s="4">
        <v>300</v>
      </c>
      <c r="AF81" s="6">
        <v>65</v>
      </c>
      <c r="AG81" s="6">
        <v>48</v>
      </c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/>
      <c r="AP81" s="4">
        <v>12</v>
      </c>
      <c r="AQ81" s="8">
        <v>689.88</v>
      </c>
      <c r="AR81" s="4">
        <v>12</v>
      </c>
      <c r="AS81" s="8">
        <v>689.88</v>
      </c>
      <c r="AT81" s="7"/>
      <c r="AU81" s="7"/>
      <c r="AV81" s="4" t="s">
        <v>100</v>
      </c>
      <c r="AW81" s="8" t="s">
        <v>100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0.4035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 t="s">
        <v>100</v>
      </c>
      <c r="BJ81" s="4">
        <v>67</v>
      </c>
      <c r="BK81" s="8">
        <v>3649.02</v>
      </c>
      <c r="BL81" s="2" t="s">
        <v>451</v>
      </c>
      <c r="BM81" s="7">
        <v>0.1791</v>
      </c>
      <c r="BN81" s="7">
        <v>0.1891</v>
      </c>
      <c r="BO81" s="4">
        <v>12</v>
      </c>
      <c r="BP81" s="8">
        <v>689.88</v>
      </c>
      <c r="BQ81" s="4">
        <v>12</v>
      </c>
      <c r="BR81" s="8">
        <v>689.88</v>
      </c>
      <c r="BS81" s="7"/>
      <c r="BT81" s="7"/>
      <c r="BU81" s="2" t="s">
        <v>109</v>
      </c>
      <c r="BV81" s="2" t="s">
        <v>97</v>
      </c>
      <c r="BW81" s="2" t="s">
        <v>164</v>
      </c>
      <c r="BX81" s="2" t="s">
        <v>452</v>
      </c>
      <c r="BY81" s="2" t="s">
        <v>112</v>
      </c>
      <c r="BZ81" s="2" t="s">
        <v>100</v>
      </c>
    </row>
    <row r="82">
      <c r="A82" s="2" t="s">
        <v>453</v>
      </c>
      <c r="B82" s="2" t="s">
        <v>87</v>
      </c>
      <c r="C82" s="2" t="s">
        <v>88</v>
      </c>
      <c r="D82" s="2" t="s">
        <v>417</v>
      </c>
      <c r="E82" s="2" t="s">
        <v>418</v>
      </c>
      <c r="F82" s="2" t="s">
        <v>419</v>
      </c>
      <c r="G82" s="2" t="s">
        <v>420</v>
      </c>
      <c r="H82" s="2" t="s">
        <v>421</v>
      </c>
      <c r="I82" s="2" t="s">
        <v>422</v>
      </c>
      <c r="J82" s="2" t="s">
        <v>114</v>
      </c>
      <c r="K82" s="2" t="s">
        <v>440</v>
      </c>
      <c r="L82" s="3">
        <v>64.25</v>
      </c>
      <c r="M82" s="3">
        <v>67.46</v>
      </c>
      <c r="N82" s="3">
        <v>129.99</v>
      </c>
      <c r="O82" s="2" t="s">
        <v>97</v>
      </c>
      <c r="P82" s="2" t="s">
        <v>126</v>
      </c>
      <c r="Q82" s="2" t="s">
        <v>99</v>
      </c>
      <c r="R82" s="2" t="s">
        <v>100</v>
      </c>
      <c r="S82" s="2" t="s">
        <v>450</v>
      </c>
      <c r="T82" s="2" t="s">
        <v>100</v>
      </c>
      <c r="U82" s="2" t="s">
        <v>432</v>
      </c>
      <c r="V82" s="2" t="s">
        <v>427</v>
      </c>
      <c r="W82" s="2" t="s">
        <v>104</v>
      </c>
      <c r="X82" s="2" t="s">
        <v>428</v>
      </c>
      <c r="Y82" s="2" t="s">
        <v>129</v>
      </c>
      <c r="Z82" s="4">
        <v>1126</v>
      </c>
      <c r="AA82" s="4">
        <f>=ROUNDDOWN(38.8275862068965,0)</f>
      </c>
      <c r="AB82" s="5">
        <v>29</v>
      </c>
      <c r="AC82" s="2" t="s">
        <v>436</v>
      </c>
      <c r="AD82" s="4">
        <v>340</v>
      </c>
      <c r="AE82" s="4">
        <v>690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/>
      <c r="AP82" s="4">
        <v>13</v>
      </c>
      <c r="AQ82" s="8">
        <v>971.49</v>
      </c>
      <c r="AR82" s="4">
        <v>14</v>
      </c>
      <c r="AS82" s="8">
        <v>1046.22</v>
      </c>
      <c r="AT82" s="7">
        <v>-0.0714</v>
      </c>
      <c r="AU82" s="7">
        <v>-0.0714</v>
      </c>
      <c r="AV82" s="4" t="s">
        <v>100</v>
      </c>
      <c r="AW82" s="8" t="s">
        <v>100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0.5682</v>
      </c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 t="s">
        <v>100</v>
      </c>
      <c r="BJ82" s="4">
        <v>88</v>
      </c>
      <c r="BK82" s="8">
        <v>6061.93</v>
      </c>
      <c r="BL82" s="2" t="s">
        <v>454</v>
      </c>
      <c r="BM82" s="7">
        <v>0.1477</v>
      </c>
      <c r="BN82" s="7">
        <v>0.1603</v>
      </c>
      <c r="BO82" s="4">
        <v>13</v>
      </c>
      <c r="BP82" s="8">
        <v>971.49</v>
      </c>
      <c r="BQ82" s="4">
        <v>14</v>
      </c>
      <c r="BR82" s="8">
        <v>1046.22</v>
      </c>
      <c r="BS82" s="7">
        <v>-0.0714</v>
      </c>
      <c r="BT82" s="7">
        <v>-0.0714</v>
      </c>
      <c r="BU82" s="2" t="s">
        <v>109</v>
      </c>
      <c r="BV82" s="2" t="s">
        <v>97</v>
      </c>
      <c r="BW82" s="2" t="s">
        <v>164</v>
      </c>
      <c r="BX82" s="2" t="s">
        <v>455</v>
      </c>
      <c r="BY82" s="2" t="s">
        <v>112</v>
      </c>
      <c r="BZ82" s="2" t="s">
        <v>100</v>
      </c>
    </row>
    <row r="83">
      <c r="A83" s="2" t="s">
        <v>456</v>
      </c>
      <c r="B83" s="2" t="s">
        <v>87</v>
      </c>
      <c r="C83" s="2" t="s">
        <v>88</v>
      </c>
      <c r="D83" s="2" t="s">
        <v>417</v>
      </c>
      <c r="E83" s="2" t="s">
        <v>418</v>
      </c>
      <c r="F83" s="2" t="s">
        <v>419</v>
      </c>
      <c r="G83" s="2" t="s">
        <v>420</v>
      </c>
      <c r="H83" s="2" t="s">
        <v>421</v>
      </c>
      <c r="I83" s="2" t="s">
        <v>422</v>
      </c>
      <c r="J83" s="2" t="s">
        <v>95</v>
      </c>
      <c r="K83" s="2" t="s">
        <v>457</v>
      </c>
      <c r="L83" s="3">
        <v>49.5</v>
      </c>
      <c r="M83" s="3">
        <v>51.98</v>
      </c>
      <c r="N83" s="3">
        <v>99.99</v>
      </c>
      <c r="O83" s="2" t="s">
        <v>97</v>
      </c>
      <c r="P83" s="2" t="s">
        <v>126</v>
      </c>
      <c r="Q83" s="2" t="s">
        <v>99</v>
      </c>
      <c r="R83" s="2" t="s">
        <v>100</v>
      </c>
      <c r="S83" s="2" t="s">
        <v>458</v>
      </c>
      <c r="T83" s="2" t="s">
        <v>100</v>
      </c>
      <c r="U83" s="2" t="s">
        <v>432</v>
      </c>
      <c r="V83" s="2" t="s">
        <v>427</v>
      </c>
      <c r="W83" s="2" t="s">
        <v>104</v>
      </c>
      <c r="X83" s="2" t="s">
        <v>428</v>
      </c>
      <c r="Y83" s="2" t="s">
        <v>459</v>
      </c>
      <c r="Z83" s="4">
        <v>850</v>
      </c>
      <c r="AA83" s="4">
        <f>=ROUNDDOWN(35.4166666666667,0)</f>
      </c>
      <c r="AB83" s="5">
        <v>24</v>
      </c>
      <c r="AC83" s="2" t="s">
        <v>446</v>
      </c>
      <c r="AD83" s="4">
        <v>100</v>
      </c>
      <c r="AE83" s="4">
        <v>210</v>
      </c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/>
      <c r="AP83" s="4">
        <v>9</v>
      </c>
      <c r="AQ83" s="8">
        <v>517.41</v>
      </c>
      <c r="AR83" s="4">
        <v>19</v>
      </c>
      <c r="AS83" s="8">
        <v>1092.31</v>
      </c>
      <c r="AT83" s="7">
        <v>-0.5263</v>
      </c>
      <c r="AU83" s="7">
        <v>-0.5263</v>
      </c>
      <c r="AV83" s="4">
        <v>21</v>
      </c>
      <c r="AW83" s="8">
        <v>1414.17</v>
      </c>
      <c r="AX83" s="4">
        <v>47</v>
      </c>
      <c r="AY83" s="8">
        <v>3184.75</v>
      </c>
      <c r="AZ83" s="7">
        <v>-0.5532</v>
      </c>
      <c r="BA83" s="7">
        <v>-0.556</v>
      </c>
      <c r="BB83" s="7">
        <v>0.3659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>
        <v>0.1035</v>
      </c>
      <c r="BJ83" s="4">
        <v>109</v>
      </c>
      <c r="BK83" s="8">
        <v>5566.8</v>
      </c>
      <c r="BL83" s="2" t="s">
        <v>460</v>
      </c>
      <c r="BM83" s="7">
        <v>0.0826</v>
      </c>
      <c r="BN83" s="7">
        <v>0.0929</v>
      </c>
      <c r="BO83" s="4">
        <v>9</v>
      </c>
      <c r="BP83" s="8">
        <v>517.41</v>
      </c>
      <c r="BQ83" s="4">
        <v>19</v>
      </c>
      <c r="BR83" s="8">
        <v>1092.31</v>
      </c>
      <c r="BS83" s="7">
        <v>-0.5263</v>
      </c>
      <c r="BT83" s="7">
        <v>-0.5263</v>
      </c>
      <c r="BU83" s="2" t="s">
        <v>109</v>
      </c>
      <c r="BV83" s="2" t="s">
        <v>97</v>
      </c>
      <c r="BW83" s="2" t="s">
        <v>459</v>
      </c>
      <c r="BX83" s="2" t="s">
        <v>461</v>
      </c>
      <c r="BY83" s="2" t="s">
        <v>112</v>
      </c>
      <c r="BZ83" s="2" t="s">
        <v>100</v>
      </c>
    </row>
    <row r="84">
      <c r="A84" s="2" t="s">
        <v>462</v>
      </c>
      <c r="B84" s="2" t="s">
        <v>87</v>
      </c>
      <c r="C84" s="2" t="s">
        <v>88</v>
      </c>
      <c r="D84" s="2" t="s">
        <v>417</v>
      </c>
      <c r="E84" s="2" t="s">
        <v>418</v>
      </c>
      <c r="F84" s="2" t="s">
        <v>419</v>
      </c>
      <c r="G84" s="2" t="s">
        <v>420</v>
      </c>
      <c r="H84" s="2" t="s">
        <v>421</v>
      </c>
      <c r="I84" s="2" t="s">
        <v>422</v>
      </c>
      <c r="J84" s="2" t="s">
        <v>114</v>
      </c>
      <c r="K84" s="2" t="s">
        <v>457</v>
      </c>
      <c r="L84" s="3">
        <v>64.25</v>
      </c>
      <c r="M84" s="3">
        <v>67.46</v>
      </c>
      <c r="N84" s="3">
        <v>129.99</v>
      </c>
      <c r="O84" s="2" t="s">
        <v>97</v>
      </c>
      <c r="P84" s="2" t="s">
        <v>126</v>
      </c>
      <c r="Q84" s="2" t="s">
        <v>99</v>
      </c>
      <c r="R84" s="2" t="s">
        <v>100</v>
      </c>
      <c r="S84" s="2" t="s">
        <v>458</v>
      </c>
      <c r="T84" s="2" t="s">
        <v>100</v>
      </c>
      <c r="U84" s="2" t="s">
        <v>432</v>
      </c>
      <c r="V84" s="2" t="s">
        <v>427</v>
      </c>
      <c r="W84" s="2" t="s">
        <v>104</v>
      </c>
      <c r="X84" s="2" t="s">
        <v>428</v>
      </c>
      <c r="Y84" s="2" t="s">
        <v>459</v>
      </c>
      <c r="Z84" s="4">
        <v>887</v>
      </c>
      <c r="AA84" s="4">
        <f>=ROUNDDOWN(30.5862068965517,0)</f>
      </c>
      <c r="AB84" s="5">
        <v>29</v>
      </c>
      <c r="AC84" s="2" t="s">
        <v>184</v>
      </c>
      <c r="AD84" s="4">
        <v>60</v>
      </c>
      <c r="AE84" s="4">
        <v>350</v>
      </c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12</v>
      </c>
      <c r="AQ84" s="8">
        <v>896.76</v>
      </c>
      <c r="AR84" s="4">
        <v>28</v>
      </c>
      <c r="AS84" s="8">
        <v>2092.44</v>
      </c>
      <c r="AT84" s="7">
        <v>-0.5714</v>
      </c>
      <c r="AU84" s="7">
        <v>-0.5714</v>
      </c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0.6341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>
        <v>125</v>
      </c>
      <c r="BK84" s="8">
        <v>8442.57</v>
      </c>
      <c r="BL84" s="2" t="s">
        <v>463</v>
      </c>
      <c r="BM84" s="7">
        <v>0.096</v>
      </c>
      <c r="BN84" s="7">
        <v>0.1062</v>
      </c>
      <c r="BO84" s="4">
        <v>12</v>
      </c>
      <c r="BP84" s="8">
        <v>896.76</v>
      </c>
      <c r="BQ84" s="4">
        <v>28</v>
      </c>
      <c r="BR84" s="8">
        <v>2092.44</v>
      </c>
      <c r="BS84" s="7">
        <v>-0.5714</v>
      </c>
      <c r="BT84" s="7">
        <v>-0.5714</v>
      </c>
      <c r="BU84" s="2" t="s">
        <v>109</v>
      </c>
      <c r="BV84" s="2" t="s">
        <v>97</v>
      </c>
      <c r="BW84" s="2" t="s">
        <v>459</v>
      </c>
      <c r="BX84" s="2" t="s">
        <v>464</v>
      </c>
      <c r="BY84" s="2" t="s">
        <v>112</v>
      </c>
      <c r="BZ84" s="2" t="s">
        <v>100</v>
      </c>
    </row>
    <row r="85">
      <c r="A85" s="2" t="s">
        <v>465</v>
      </c>
      <c r="B85" s="2" t="s">
        <v>87</v>
      </c>
      <c r="C85" s="2" t="s">
        <v>88</v>
      </c>
      <c r="D85" s="2" t="s">
        <v>417</v>
      </c>
      <c r="E85" s="2" t="s">
        <v>418</v>
      </c>
      <c r="F85" s="2" t="s">
        <v>419</v>
      </c>
      <c r="G85" s="2" t="s">
        <v>420</v>
      </c>
      <c r="H85" s="2" t="s">
        <v>421</v>
      </c>
      <c r="I85" s="2" t="s">
        <v>422</v>
      </c>
      <c r="J85" s="2" t="s">
        <v>423</v>
      </c>
      <c r="K85" s="2" t="s">
        <v>466</v>
      </c>
      <c r="L85" s="3">
        <v>32.39</v>
      </c>
      <c r="M85" s="3">
        <v>34.01</v>
      </c>
      <c r="N85" s="3">
        <v>64.99</v>
      </c>
      <c r="O85" s="2" t="s">
        <v>97</v>
      </c>
      <c r="P85" s="2" t="s">
        <v>126</v>
      </c>
      <c r="Q85" s="2" t="s">
        <v>99</v>
      </c>
      <c r="R85" s="2" t="s">
        <v>100</v>
      </c>
      <c r="S85" s="2" t="s">
        <v>458</v>
      </c>
      <c r="T85" s="2" t="s">
        <v>100</v>
      </c>
      <c r="U85" s="2" t="s">
        <v>426</v>
      </c>
      <c r="V85" s="2" t="s">
        <v>427</v>
      </c>
      <c r="W85" s="2" t="s">
        <v>104</v>
      </c>
      <c r="X85" s="2" t="s">
        <v>428</v>
      </c>
      <c r="Y85" s="2" t="s">
        <v>467</v>
      </c>
      <c r="Z85" s="4">
        <v>531</v>
      </c>
      <c r="AA85" s="4">
        <f>=ROUNDDOWN(35.4,0)</f>
      </c>
      <c r="AB85" s="5">
        <v>15</v>
      </c>
      <c r="AC85" s="2" t="s">
        <v>184</v>
      </c>
      <c r="AD85" s="4">
        <v>30</v>
      </c>
      <c r="AE85" s="4">
        <v>230</v>
      </c>
      <c r="AF85" s="6">
        <v>65</v>
      </c>
      <c r="AG85" s="6">
        <v>48</v>
      </c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/>
      <c r="AP85" s="4">
        <v>1</v>
      </c>
      <c r="AQ85" s="8">
        <v>39.23</v>
      </c>
      <c r="AR85" s="4">
        <v>4</v>
      </c>
      <c r="AS85" s="8">
        <v>156.92</v>
      </c>
      <c r="AT85" s="7">
        <v>-0.75</v>
      </c>
      <c r="AU85" s="7">
        <v>-0.75</v>
      </c>
      <c r="AV85" s="4">
        <v>19</v>
      </c>
      <c r="AW85" s="8">
        <v>1210.81</v>
      </c>
      <c r="AX85" s="4">
        <v>46</v>
      </c>
      <c r="AY85" s="8">
        <v>2793.3</v>
      </c>
      <c r="AZ85" s="7">
        <v>-0.587</v>
      </c>
      <c r="BA85" s="7">
        <v>-0.5665</v>
      </c>
      <c r="BB85" s="7">
        <v>0.0324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>
        <v>0.0886</v>
      </c>
      <c r="BJ85" s="4">
        <v>43</v>
      </c>
      <c r="BK85" s="8">
        <v>1575.03</v>
      </c>
      <c r="BL85" s="2" t="s">
        <v>468</v>
      </c>
      <c r="BM85" s="7">
        <v>0.0233</v>
      </c>
      <c r="BN85" s="7">
        <v>0.0249</v>
      </c>
      <c r="BO85" s="4">
        <v>1</v>
      </c>
      <c r="BP85" s="8">
        <v>39.23</v>
      </c>
      <c r="BQ85" s="4">
        <v>4</v>
      </c>
      <c r="BR85" s="8">
        <v>156.92</v>
      </c>
      <c r="BS85" s="7">
        <v>-0.75</v>
      </c>
      <c r="BT85" s="7">
        <v>-0.75</v>
      </c>
      <c r="BU85" s="2" t="s">
        <v>109</v>
      </c>
      <c r="BV85" s="2" t="s">
        <v>97</v>
      </c>
      <c r="BW85" s="2" t="s">
        <v>469</v>
      </c>
      <c r="BX85" s="2" t="s">
        <v>470</v>
      </c>
      <c r="BY85" s="2" t="s">
        <v>112</v>
      </c>
      <c r="BZ85" s="2" t="s">
        <v>100</v>
      </c>
    </row>
    <row r="86">
      <c r="A86" s="2" t="s">
        <v>471</v>
      </c>
      <c r="B86" s="2" t="s">
        <v>87</v>
      </c>
      <c r="C86" s="2" t="s">
        <v>88</v>
      </c>
      <c r="D86" s="2" t="s">
        <v>417</v>
      </c>
      <c r="E86" s="2" t="s">
        <v>418</v>
      </c>
      <c r="F86" s="2" t="s">
        <v>419</v>
      </c>
      <c r="G86" s="2" t="s">
        <v>420</v>
      </c>
      <c r="H86" s="2" t="s">
        <v>421</v>
      </c>
      <c r="I86" s="2" t="s">
        <v>422</v>
      </c>
      <c r="J86" s="2" t="s">
        <v>157</v>
      </c>
      <c r="K86" s="2" t="s">
        <v>466</v>
      </c>
      <c r="L86" s="3">
        <v>39.69</v>
      </c>
      <c r="M86" s="3">
        <v>41.67</v>
      </c>
      <c r="N86" s="3">
        <v>79.99</v>
      </c>
      <c r="O86" s="2" t="s">
        <v>97</v>
      </c>
      <c r="P86" s="2" t="s">
        <v>126</v>
      </c>
      <c r="Q86" s="2" t="s">
        <v>99</v>
      </c>
      <c r="R86" s="2" t="s">
        <v>100</v>
      </c>
      <c r="S86" s="2" t="s">
        <v>458</v>
      </c>
      <c r="T86" s="2" t="s">
        <v>100</v>
      </c>
      <c r="U86" s="2" t="s">
        <v>432</v>
      </c>
      <c r="V86" s="2" t="s">
        <v>427</v>
      </c>
      <c r="W86" s="2" t="s">
        <v>104</v>
      </c>
      <c r="X86" s="2" t="s">
        <v>428</v>
      </c>
      <c r="Y86" s="2" t="s">
        <v>467</v>
      </c>
      <c r="Z86" s="4">
        <v>337</v>
      </c>
      <c r="AA86" s="4">
        <f>=ROUNDDOWN(30.6363636363636,0)</f>
      </c>
      <c r="AB86" s="5">
        <v>11</v>
      </c>
      <c r="AC86" s="2" t="s">
        <v>116</v>
      </c>
      <c r="AD86" s="4">
        <v>80</v>
      </c>
      <c r="AE86" s="4">
        <v>280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/>
      <c r="AP86" s="4">
        <v>2</v>
      </c>
      <c r="AQ86" s="8">
        <v>96.58</v>
      </c>
      <c r="AR86" s="4">
        <v>4</v>
      </c>
      <c r="AS86" s="8">
        <v>193.16</v>
      </c>
      <c r="AT86" s="7">
        <v>-0.5</v>
      </c>
      <c r="AU86" s="7">
        <v>-0.5</v>
      </c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>
        <v>0.0798</v>
      </c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 t="s">
        <v>100</v>
      </c>
      <c r="BJ86" s="4">
        <v>37</v>
      </c>
      <c r="BK86" s="8">
        <v>1464.25</v>
      </c>
      <c r="BL86" s="2" t="s">
        <v>472</v>
      </c>
      <c r="BM86" s="7">
        <v>0.0541</v>
      </c>
      <c r="BN86" s="7">
        <v>0.066</v>
      </c>
      <c r="BO86" s="4">
        <v>2</v>
      </c>
      <c r="BP86" s="8">
        <v>96.58</v>
      </c>
      <c r="BQ86" s="4">
        <v>4</v>
      </c>
      <c r="BR86" s="8">
        <v>193.16</v>
      </c>
      <c r="BS86" s="7">
        <v>-0.5</v>
      </c>
      <c r="BT86" s="7">
        <v>-0.5</v>
      </c>
      <c r="BU86" s="2" t="s">
        <v>109</v>
      </c>
      <c r="BV86" s="2" t="s">
        <v>97</v>
      </c>
      <c r="BW86" s="2" t="s">
        <v>469</v>
      </c>
      <c r="BX86" s="2" t="s">
        <v>473</v>
      </c>
      <c r="BY86" s="2" t="s">
        <v>112</v>
      </c>
      <c r="BZ86" s="2" t="s">
        <v>100</v>
      </c>
    </row>
    <row r="87">
      <c r="A87" s="2" t="s">
        <v>474</v>
      </c>
      <c r="B87" s="2" t="s">
        <v>87</v>
      </c>
      <c r="C87" s="2" t="s">
        <v>88</v>
      </c>
      <c r="D87" s="2" t="s">
        <v>417</v>
      </c>
      <c r="E87" s="2" t="s">
        <v>418</v>
      </c>
      <c r="F87" s="2" t="s">
        <v>419</v>
      </c>
      <c r="G87" s="2" t="s">
        <v>420</v>
      </c>
      <c r="H87" s="2" t="s">
        <v>421</v>
      </c>
      <c r="I87" s="2" t="s">
        <v>422</v>
      </c>
      <c r="J87" s="2" t="s">
        <v>95</v>
      </c>
      <c r="K87" s="2" t="s">
        <v>466</v>
      </c>
      <c r="L87" s="3">
        <v>49.5</v>
      </c>
      <c r="M87" s="3">
        <v>51.98</v>
      </c>
      <c r="N87" s="3">
        <v>99.99</v>
      </c>
      <c r="O87" s="2" t="s">
        <v>97</v>
      </c>
      <c r="P87" s="2" t="s">
        <v>126</v>
      </c>
      <c r="Q87" s="2" t="s">
        <v>99</v>
      </c>
      <c r="R87" s="2" t="s">
        <v>100</v>
      </c>
      <c r="S87" s="2" t="s">
        <v>475</v>
      </c>
      <c r="T87" s="2" t="s">
        <v>100</v>
      </c>
      <c r="U87" s="2" t="s">
        <v>432</v>
      </c>
      <c r="V87" s="2" t="s">
        <v>427</v>
      </c>
      <c r="W87" s="2" t="s">
        <v>104</v>
      </c>
      <c r="X87" s="2" t="s">
        <v>428</v>
      </c>
      <c r="Y87" s="2" t="s">
        <v>129</v>
      </c>
      <c r="Z87" s="4">
        <v>1063</v>
      </c>
      <c r="AA87" s="4">
        <f>=ROUNDDOWN(29.5277777777778,0)</f>
      </c>
      <c r="AB87" s="5">
        <v>36</v>
      </c>
      <c r="AC87" s="2" t="s">
        <v>116</v>
      </c>
      <c r="AD87" s="4">
        <v>90</v>
      </c>
      <c r="AE87" s="4">
        <v>440</v>
      </c>
      <c r="AF87" s="6">
        <v>65</v>
      </c>
      <c r="AG87" s="6">
        <v>48</v>
      </c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/>
      <c r="AP87" s="4">
        <v>7</v>
      </c>
      <c r="AQ87" s="8">
        <v>402.43</v>
      </c>
      <c r="AR87" s="4">
        <v>23</v>
      </c>
      <c r="AS87" s="8">
        <v>1322.27</v>
      </c>
      <c r="AT87" s="7">
        <v>-0.6957</v>
      </c>
      <c r="AU87" s="7">
        <v>-0.6957</v>
      </c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0.3324</v>
      </c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>
        <v>132</v>
      </c>
      <c r="BK87" s="8">
        <v>6874.25</v>
      </c>
      <c r="BL87" s="2" t="s">
        <v>476</v>
      </c>
      <c r="BM87" s="7">
        <v>0.053</v>
      </c>
      <c r="BN87" s="7">
        <v>0.0585</v>
      </c>
      <c r="BO87" s="4">
        <v>7</v>
      </c>
      <c r="BP87" s="8">
        <v>402.43</v>
      </c>
      <c r="BQ87" s="4">
        <v>23</v>
      </c>
      <c r="BR87" s="8">
        <v>1322.27</v>
      </c>
      <c r="BS87" s="7">
        <v>-0.6957</v>
      </c>
      <c r="BT87" s="7">
        <v>-0.6957</v>
      </c>
      <c r="BU87" s="2" t="s">
        <v>109</v>
      </c>
      <c r="BV87" s="2" t="s">
        <v>97</v>
      </c>
      <c r="BW87" s="2" t="s">
        <v>164</v>
      </c>
      <c r="BX87" s="2" t="s">
        <v>452</v>
      </c>
      <c r="BY87" s="2" t="s">
        <v>112</v>
      </c>
      <c r="BZ87" s="2" t="s">
        <v>100</v>
      </c>
    </row>
    <row r="88">
      <c r="A88" s="2" t="s">
        <v>477</v>
      </c>
      <c r="B88" s="2" t="s">
        <v>87</v>
      </c>
      <c r="C88" s="2" t="s">
        <v>88</v>
      </c>
      <c r="D88" s="2" t="s">
        <v>417</v>
      </c>
      <c r="E88" s="2" t="s">
        <v>418</v>
      </c>
      <c r="F88" s="2" t="s">
        <v>419</v>
      </c>
      <c r="G88" s="2" t="s">
        <v>420</v>
      </c>
      <c r="H88" s="2" t="s">
        <v>421</v>
      </c>
      <c r="I88" s="2" t="s">
        <v>422</v>
      </c>
      <c r="J88" s="2" t="s">
        <v>114</v>
      </c>
      <c r="K88" s="2" t="s">
        <v>466</v>
      </c>
      <c r="L88" s="3">
        <v>64.25</v>
      </c>
      <c r="M88" s="3">
        <v>67.46</v>
      </c>
      <c r="N88" s="3">
        <v>129.99</v>
      </c>
      <c r="O88" s="2" t="s">
        <v>97</v>
      </c>
      <c r="P88" s="2" t="s">
        <v>126</v>
      </c>
      <c r="Q88" s="2" t="s">
        <v>99</v>
      </c>
      <c r="R88" s="2" t="s">
        <v>100</v>
      </c>
      <c r="S88" s="2" t="s">
        <v>475</v>
      </c>
      <c r="T88" s="2" t="s">
        <v>100</v>
      </c>
      <c r="U88" s="2" t="s">
        <v>432</v>
      </c>
      <c r="V88" s="2" t="s">
        <v>427</v>
      </c>
      <c r="W88" s="2" t="s">
        <v>104</v>
      </c>
      <c r="X88" s="2" t="s">
        <v>428</v>
      </c>
      <c r="Y88" s="2" t="s">
        <v>129</v>
      </c>
      <c r="Z88" s="4">
        <v>1338</v>
      </c>
      <c r="AA88" s="4">
        <f>=ROUNDDOWN(35.2105263157895,0)</f>
      </c>
      <c r="AB88" s="5">
        <v>38</v>
      </c>
      <c r="AC88" s="2" t="s">
        <v>116</v>
      </c>
      <c r="AD88" s="4">
        <v>70</v>
      </c>
      <c r="AE88" s="4">
        <v>400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/>
      <c r="AP88" s="4">
        <v>9</v>
      </c>
      <c r="AQ88" s="8">
        <v>672.57</v>
      </c>
      <c r="AR88" s="4">
        <v>15</v>
      </c>
      <c r="AS88" s="8">
        <v>1120.95</v>
      </c>
      <c r="AT88" s="7">
        <v>-0.4</v>
      </c>
      <c r="AU88" s="7">
        <v>-0.4</v>
      </c>
      <c r="AV88" s="4" t="s">
        <v>100</v>
      </c>
      <c r="AW88" s="8" t="s">
        <v>100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>
        <v>0.5555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 t="s">
        <v>100</v>
      </c>
      <c r="BJ88" s="4">
        <v>133</v>
      </c>
      <c r="BK88" s="8">
        <v>8654.16</v>
      </c>
      <c r="BL88" s="2" t="s">
        <v>478</v>
      </c>
      <c r="BM88" s="7">
        <v>0.0677</v>
      </c>
      <c r="BN88" s="7">
        <v>0.0777</v>
      </c>
      <c r="BO88" s="4">
        <v>9</v>
      </c>
      <c r="BP88" s="8">
        <v>672.57</v>
      </c>
      <c r="BQ88" s="4">
        <v>15</v>
      </c>
      <c r="BR88" s="8">
        <v>1120.95</v>
      </c>
      <c r="BS88" s="7">
        <v>-0.4</v>
      </c>
      <c r="BT88" s="7">
        <v>-0.4</v>
      </c>
      <c r="BU88" s="2" t="s">
        <v>109</v>
      </c>
      <c r="BV88" s="2" t="s">
        <v>97</v>
      </c>
      <c r="BW88" s="2" t="s">
        <v>164</v>
      </c>
      <c r="BX88" s="2" t="s">
        <v>479</v>
      </c>
      <c r="BY88" s="2" t="s">
        <v>112</v>
      </c>
      <c r="BZ88" s="2" t="s">
        <v>100</v>
      </c>
    </row>
    <row r="89">
      <c r="A89" s="2" t="s">
        <v>480</v>
      </c>
      <c r="B89" s="2" t="s">
        <v>87</v>
      </c>
      <c r="C89" s="2" t="s">
        <v>88</v>
      </c>
      <c r="D89" s="2" t="s">
        <v>417</v>
      </c>
      <c r="E89" s="2" t="s">
        <v>418</v>
      </c>
      <c r="F89" s="2" t="s">
        <v>419</v>
      </c>
      <c r="G89" s="2" t="s">
        <v>420</v>
      </c>
      <c r="H89" s="2" t="s">
        <v>421</v>
      </c>
      <c r="I89" s="2" t="s">
        <v>481</v>
      </c>
      <c r="J89" s="2" t="s">
        <v>95</v>
      </c>
      <c r="K89" s="2" t="s">
        <v>482</v>
      </c>
      <c r="L89" s="3">
        <v>49.5</v>
      </c>
      <c r="M89" s="3">
        <v>51.98</v>
      </c>
      <c r="N89" s="3">
        <v>99.99</v>
      </c>
      <c r="O89" s="2" t="s">
        <v>97</v>
      </c>
      <c r="P89" s="2" t="s">
        <v>483</v>
      </c>
      <c r="Q89" s="2" t="s">
        <v>99</v>
      </c>
      <c r="R89" s="2" t="s">
        <v>100</v>
      </c>
      <c r="S89" s="2" t="s">
        <v>484</v>
      </c>
      <c r="T89" s="2" t="s">
        <v>100</v>
      </c>
      <c r="U89" s="2" t="s">
        <v>432</v>
      </c>
      <c r="V89" s="2" t="s">
        <v>427</v>
      </c>
      <c r="W89" s="2" t="s">
        <v>104</v>
      </c>
      <c r="X89" s="2" t="s">
        <v>428</v>
      </c>
      <c r="Y89" s="2" t="s">
        <v>485</v>
      </c>
      <c r="Z89" s="4">
        <v>474</v>
      </c>
      <c r="AA89" s="4">
        <f>=ROUNDDOWN(22.5714285714286,0)</f>
      </c>
      <c r="AB89" s="5">
        <v>21</v>
      </c>
      <c r="AC89" s="2" t="s">
        <v>100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/>
      <c r="AP89" s="4">
        <v>6</v>
      </c>
      <c r="AQ89" s="8">
        <v>327.72</v>
      </c>
      <c r="AR89" s="4"/>
      <c r="AS89" s="8"/>
      <c r="AT89" s="7"/>
      <c r="AU89" s="7"/>
      <c r="AV89" s="4">
        <v>15</v>
      </c>
      <c r="AW89" s="8">
        <v>1000.29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>
        <v>0.3276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>
        <v>0.0732</v>
      </c>
      <c r="BJ89" s="4">
        <v>101</v>
      </c>
      <c r="BK89" s="8">
        <v>5271.11</v>
      </c>
      <c r="BL89" s="2" t="s">
        <v>486</v>
      </c>
      <c r="BM89" s="7">
        <v>0.0594</v>
      </c>
      <c r="BN89" s="7">
        <v>0.0622</v>
      </c>
      <c r="BO89" s="4">
        <v>6</v>
      </c>
      <c r="BP89" s="8">
        <v>327.72</v>
      </c>
      <c r="BQ89" s="4"/>
      <c r="BR89" s="8"/>
      <c r="BS89" s="7"/>
      <c r="BT89" s="7"/>
      <c r="BU89" s="2" t="s">
        <v>109</v>
      </c>
      <c r="BV89" s="2" t="s">
        <v>97</v>
      </c>
      <c r="BW89" s="2" t="s">
        <v>487</v>
      </c>
      <c r="BX89" s="2" t="s">
        <v>488</v>
      </c>
      <c r="BY89" s="2" t="s">
        <v>112</v>
      </c>
      <c r="BZ89" s="2" t="s">
        <v>100</v>
      </c>
    </row>
    <row r="90">
      <c r="A90" s="2" t="s">
        <v>489</v>
      </c>
      <c r="B90" s="2" t="s">
        <v>87</v>
      </c>
      <c r="C90" s="2" t="s">
        <v>88</v>
      </c>
      <c r="D90" s="2" t="s">
        <v>417</v>
      </c>
      <c r="E90" s="2" t="s">
        <v>418</v>
      </c>
      <c r="F90" s="2" t="s">
        <v>419</v>
      </c>
      <c r="G90" s="2" t="s">
        <v>420</v>
      </c>
      <c r="H90" s="2" t="s">
        <v>421</v>
      </c>
      <c r="I90" s="2" t="s">
        <v>481</v>
      </c>
      <c r="J90" s="2" t="s">
        <v>114</v>
      </c>
      <c r="K90" s="2" t="s">
        <v>482</v>
      </c>
      <c r="L90" s="3">
        <v>64.25</v>
      </c>
      <c r="M90" s="3">
        <v>67.46</v>
      </c>
      <c r="N90" s="3">
        <v>129.99</v>
      </c>
      <c r="O90" s="2" t="s">
        <v>97</v>
      </c>
      <c r="P90" s="2" t="s">
        <v>483</v>
      </c>
      <c r="Q90" s="2" t="s">
        <v>99</v>
      </c>
      <c r="R90" s="2" t="s">
        <v>100</v>
      </c>
      <c r="S90" s="2" t="s">
        <v>484</v>
      </c>
      <c r="T90" s="2" t="s">
        <v>100</v>
      </c>
      <c r="U90" s="2" t="s">
        <v>432</v>
      </c>
      <c r="V90" s="2" t="s">
        <v>427</v>
      </c>
      <c r="W90" s="2" t="s">
        <v>104</v>
      </c>
      <c r="X90" s="2" t="s">
        <v>428</v>
      </c>
      <c r="Y90" s="2" t="s">
        <v>485</v>
      </c>
      <c r="Z90" s="4">
        <v>591</v>
      </c>
      <c r="AA90" s="4">
        <f>=ROUNDDOWN(24.625,0)</f>
      </c>
      <c r="AB90" s="5">
        <v>24</v>
      </c>
      <c r="AC90" s="2" t="s">
        <v>100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/>
      <c r="AP90" s="4">
        <v>9</v>
      </c>
      <c r="AQ90" s="8">
        <v>672.57</v>
      </c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>
        <v>0.6724</v>
      </c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 t="s">
        <v>100</v>
      </c>
      <c r="BJ90" s="4">
        <v>108</v>
      </c>
      <c r="BK90" s="8">
        <v>7302.83</v>
      </c>
      <c r="BL90" s="2" t="s">
        <v>490</v>
      </c>
      <c r="BM90" s="7">
        <v>0.0833</v>
      </c>
      <c r="BN90" s="7">
        <v>0.0921</v>
      </c>
      <c r="BO90" s="4">
        <v>9</v>
      </c>
      <c r="BP90" s="8">
        <v>672.57</v>
      </c>
      <c r="BQ90" s="4"/>
      <c r="BR90" s="8"/>
      <c r="BS90" s="7"/>
      <c r="BT90" s="7"/>
      <c r="BU90" s="2" t="s">
        <v>109</v>
      </c>
      <c r="BV90" s="2" t="s">
        <v>97</v>
      </c>
      <c r="BW90" s="2" t="s">
        <v>487</v>
      </c>
      <c r="BX90" s="2" t="s">
        <v>488</v>
      </c>
      <c r="BY90" s="2" t="s">
        <v>112</v>
      </c>
      <c r="BZ90" s="2" t="s">
        <v>100</v>
      </c>
    </row>
    <row r="91">
      <c r="A91" s="2" t="s">
        <v>491</v>
      </c>
      <c r="B91" s="2" t="s">
        <v>87</v>
      </c>
      <c r="C91" s="2" t="s">
        <v>88</v>
      </c>
      <c r="D91" s="2" t="s">
        <v>417</v>
      </c>
      <c r="E91" s="2" t="s">
        <v>418</v>
      </c>
      <c r="F91" s="2" t="s">
        <v>419</v>
      </c>
      <c r="G91" s="2" t="s">
        <v>420</v>
      </c>
      <c r="H91" s="2" t="s">
        <v>421</v>
      </c>
      <c r="I91" s="2" t="s">
        <v>422</v>
      </c>
      <c r="J91" s="2" t="s">
        <v>95</v>
      </c>
      <c r="K91" s="2" t="s">
        <v>492</v>
      </c>
      <c r="L91" s="3">
        <v>49.5</v>
      </c>
      <c r="M91" s="3">
        <v>51.98</v>
      </c>
      <c r="N91" s="3">
        <v>99.99</v>
      </c>
      <c r="O91" s="2" t="s">
        <v>97</v>
      </c>
      <c r="P91" s="2" t="s">
        <v>126</v>
      </c>
      <c r="Q91" s="2" t="s">
        <v>99</v>
      </c>
      <c r="R91" s="2" t="s">
        <v>100</v>
      </c>
      <c r="S91" s="2" t="s">
        <v>493</v>
      </c>
      <c r="T91" s="2" t="s">
        <v>100</v>
      </c>
      <c r="U91" s="2" t="s">
        <v>432</v>
      </c>
      <c r="V91" s="2" t="s">
        <v>427</v>
      </c>
      <c r="W91" s="2" t="s">
        <v>104</v>
      </c>
      <c r="X91" s="2" t="s">
        <v>428</v>
      </c>
      <c r="Y91" s="2" t="s">
        <v>129</v>
      </c>
      <c r="Z91" s="4">
        <v>816</v>
      </c>
      <c r="AA91" s="4">
        <f>=ROUNDDOWN(30.2222222222222,0)</f>
      </c>
      <c r="AB91" s="5">
        <v>27</v>
      </c>
      <c r="AC91" s="2" t="s">
        <v>116</v>
      </c>
      <c r="AD91" s="4">
        <v>130</v>
      </c>
      <c r="AE91" s="4">
        <v>590</v>
      </c>
      <c r="AF91" s="6">
        <v>65</v>
      </c>
      <c r="AG91" s="6">
        <v>48</v>
      </c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/>
      <c r="AP91" s="4">
        <v>7</v>
      </c>
      <c r="AQ91" s="8">
        <v>402.43</v>
      </c>
      <c r="AR91" s="4">
        <v>23</v>
      </c>
      <c r="AS91" s="8">
        <v>1322.27</v>
      </c>
      <c r="AT91" s="7">
        <v>-0.6957</v>
      </c>
      <c r="AU91" s="7">
        <v>-0.6957</v>
      </c>
      <c r="AV91" s="4">
        <v>13</v>
      </c>
      <c r="AW91" s="8">
        <v>850.81</v>
      </c>
      <c r="AX91" s="4">
        <v>48</v>
      </c>
      <c r="AY91" s="8">
        <v>3190.52</v>
      </c>
      <c r="AZ91" s="7">
        <v>-0.7292</v>
      </c>
      <c r="BA91" s="7">
        <v>-0.7333</v>
      </c>
      <c r="BB91" s="7">
        <v>0.473</v>
      </c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0.0623</v>
      </c>
      <c r="BJ91" s="4">
        <v>99</v>
      </c>
      <c r="BK91" s="8">
        <v>5066.55</v>
      </c>
      <c r="BL91" s="2" t="s">
        <v>494</v>
      </c>
      <c r="BM91" s="7">
        <v>0.0707</v>
      </c>
      <c r="BN91" s="7">
        <v>0.0794</v>
      </c>
      <c r="BO91" s="4">
        <v>7</v>
      </c>
      <c r="BP91" s="8">
        <v>402.43</v>
      </c>
      <c r="BQ91" s="4">
        <v>23</v>
      </c>
      <c r="BR91" s="8">
        <v>1322.27</v>
      </c>
      <c r="BS91" s="7">
        <v>-0.6957</v>
      </c>
      <c r="BT91" s="7">
        <v>-0.6957</v>
      </c>
      <c r="BU91" s="2" t="s">
        <v>109</v>
      </c>
      <c r="BV91" s="2" t="s">
        <v>97</v>
      </c>
      <c r="BW91" s="2" t="s">
        <v>164</v>
      </c>
      <c r="BX91" s="2" t="s">
        <v>495</v>
      </c>
      <c r="BY91" s="2" t="s">
        <v>112</v>
      </c>
      <c r="BZ91" s="2" t="s">
        <v>100</v>
      </c>
    </row>
    <row r="92">
      <c r="A92" s="2" t="s">
        <v>496</v>
      </c>
      <c r="B92" s="2" t="s">
        <v>87</v>
      </c>
      <c r="C92" s="2" t="s">
        <v>88</v>
      </c>
      <c r="D92" s="2" t="s">
        <v>417</v>
      </c>
      <c r="E92" s="2" t="s">
        <v>418</v>
      </c>
      <c r="F92" s="2" t="s">
        <v>419</v>
      </c>
      <c r="G92" s="2" t="s">
        <v>420</v>
      </c>
      <c r="H92" s="2" t="s">
        <v>421</v>
      </c>
      <c r="I92" s="2" t="s">
        <v>422</v>
      </c>
      <c r="J92" s="2" t="s">
        <v>114</v>
      </c>
      <c r="K92" s="2" t="s">
        <v>492</v>
      </c>
      <c r="L92" s="3">
        <v>64.25</v>
      </c>
      <c r="M92" s="3">
        <v>67.46</v>
      </c>
      <c r="N92" s="3">
        <v>129.99</v>
      </c>
      <c r="O92" s="2" t="s">
        <v>97</v>
      </c>
      <c r="P92" s="2" t="s">
        <v>126</v>
      </c>
      <c r="Q92" s="2" t="s">
        <v>99</v>
      </c>
      <c r="R92" s="2" t="s">
        <v>100</v>
      </c>
      <c r="S92" s="2" t="s">
        <v>493</v>
      </c>
      <c r="T92" s="2" t="s">
        <v>100</v>
      </c>
      <c r="U92" s="2" t="s">
        <v>432</v>
      </c>
      <c r="V92" s="2" t="s">
        <v>427</v>
      </c>
      <c r="W92" s="2" t="s">
        <v>497</v>
      </c>
      <c r="X92" s="2" t="s">
        <v>498</v>
      </c>
      <c r="Y92" s="2" t="s">
        <v>129</v>
      </c>
      <c r="Z92" s="4">
        <v>943</v>
      </c>
      <c r="AA92" s="4">
        <f>=ROUNDDOWN(29.46875,0)</f>
      </c>
      <c r="AB92" s="5">
        <v>32</v>
      </c>
      <c r="AC92" s="2" t="s">
        <v>116</v>
      </c>
      <c r="AD92" s="4">
        <v>200</v>
      </c>
      <c r="AE92" s="4">
        <v>460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6</v>
      </c>
      <c r="AQ92" s="8">
        <v>448.38</v>
      </c>
      <c r="AR92" s="4">
        <v>25</v>
      </c>
      <c r="AS92" s="8">
        <v>1868.25</v>
      </c>
      <c r="AT92" s="7">
        <v>-0.76</v>
      </c>
      <c r="AU92" s="7">
        <v>-0.76</v>
      </c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0.527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148</v>
      </c>
      <c r="BK92" s="8">
        <v>10125.07</v>
      </c>
      <c r="BL92" s="2" t="s">
        <v>499</v>
      </c>
      <c r="BM92" s="7">
        <v>0.0405</v>
      </c>
      <c r="BN92" s="7">
        <v>0.0443</v>
      </c>
      <c r="BO92" s="4">
        <v>6</v>
      </c>
      <c r="BP92" s="8">
        <v>448.38</v>
      </c>
      <c r="BQ92" s="4">
        <v>25</v>
      </c>
      <c r="BR92" s="8">
        <v>1868.25</v>
      </c>
      <c r="BS92" s="7">
        <v>-0.76</v>
      </c>
      <c r="BT92" s="7">
        <v>-0.76</v>
      </c>
      <c r="BU92" s="2" t="s">
        <v>109</v>
      </c>
      <c r="BV92" s="2" t="s">
        <v>97</v>
      </c>
      <c r="BW92" s="2" t="s">
        <v>164</v>
      </c>
      <c r="BX92" s="2" t="s">
        <v>452</v>
      </c>
      <c r="BY92" s="2" t="s">
        <v>112</v>
      </c>
      <c r="BZ92" s="2" t="s">
        <v>100</v>
      </c>
    </row>
    <row r="93">
      <c r="A93" s="2" t="s">
        <v>500</v>
      </c>
      <c r="B93" s="2" t="s">
        <v>87</v>
      </c>
      <c r="C93" s="2" t="s">
        <v>88</v>
      </c>
      <c r="D93" s="2" t="s">
        <v>417</v>
      </c>
      <c r="E93" s="2" t="s">
        <v>418</v>
      </c>
      <c r="F93" s="2" t="s">
        <v>419</v>
      </c>
      <c r="G93" s="2" t="s">
        <v>420</v>
      </c>
      <c r="H93" s="2" t="s">
        <v>421</v>
      </c>
      <c r="I93" s="2" t="s">
        <v>422</v>
      </c>
      <c r="J93" s="2" t="s">
        <v>423</v>
      </c>
      <c r="K93" s="2" t="s">
        <v>96</v>
      </c>
      <c r="L93" s="3">
        <v>32.39</v>
      </c>
      <c r="M93" s="3">
        <v>34.01</v>
      </c>
      <c r="N93" s="3">
        <v>64.99</v>
      </c>
      <c r="O93" s="2" t="s">
        <v>97</v>
      </c>
      <c r="P93" s="2" t="s">
        <v>126</v>
      </c>
      <c r="Q93" s="2" t="s">
        <v>99</v>
      </c>
      <c r="R93" s="2" t="s">
        <v>100</v>
      </c>
      <c r="S93" s="2" t="s">
        <v>501</v>
      </c>
      <c r="T93" s="2" t="s">
        <v>100</v>
      </c>
      <c r="U93" s="2" t="s">
        <v>426</v>
      </c>
      <c r="V93" s="2" t="s">
        <v>427</v>
      </c>
      <c r="W93" s="2" t="s">
        <v>104</v>
      </c>
      <c r="X93" s="2" t="s">
        <v>428</v>
      </c>
      <c r="Y93" s="2" t="s">
        <v>442</v>
      </c>
      <c r="Z93" s="4">
        <v>437</v>
      </c>
      <c r="AA93" s="4">
        <f>=ROUNDDOWN(39.7272727272727,0)</f>
      </c>
      <c r="AB93" s="5">
        <v>11</v>
      </c>
      <c r="AC93" s="2" t="s">
        <v>446</v>
      </c>
      <c r="AD93" s="4">
        <v>50</v>
      </c>
      <c r="AE93" s="4">
        <v>130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/>
      <c r="AP93" s="4">
        <v>1</v>
      </c>
      <c r="AQ93" s="8">
        <v>39.23</v>
      </c>
      <c r="AR93" s="4">
        <v>4</v>
      </c>
      <c r="AS93" s="8">
        <v>156.92</v>
      </c>
      <c r="AT93" s="7">
        <v>-0.75</v>
      </c>
      <c r="AU93" s="7">
        <v>-0.75</v>
      </c>
      <c r="AV93" s="4">
        <v>12</v>
      </c>
      <c r="AW93" s="8">
        <v>765.86</v>
      </c>
      <c r="AX93" s="4">
        <v>56</v>
      </c>
      <c r="AY93" s="8">
        <v>3555.52</v>
      </c>
      <c r="AZ93" s="7">
        <v>-0.7857</v>
      </c>
      <c r="BA93" s="7">
        <v>-0.7846</v>
      </c>
      <c r="BB93" s="7">
        <v>0.0512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0.0561</v>
      </c>
      <c r="BJ93" s="4">
        <v>30</v>
      </c>
      <c r="BK93" s="8">
        <v>1045.37</v>
      </c>
      <c r="BL93" s="2" t="s">
        <v>502</v>
      </c>
      <c r="BM93" s="7">
        <v>0.0333</v>
      </c>
      <c r="BN93" s="7">
        <v>0.0375</v>
      </c>
      <c r="BO93" s="4">
        <v>1</v>
      </c>
      <c r="BP93" s="8">
        <v>39.23</v>
      </c>
      <c r="BQ93" s="4">
        <v>4</v>
      </c>
      <c r="BR93" s="8">
        <v>156.92</v>
      </c>
      <c r="BS93" s="7">
        <v>-0.75</v>
      </c>
      <c r="BT93" s="7">
        <v>-0.75</v>
      </c>
      <c r="BU93" s="2" t="s">
        <v>109</v>
      </c>
      <c r="BV93" s="2" t="s">
        <v>97</v>
      </c>
      <c r="BW93" s="2" t="s">
        <v>442</v>
      </c>
      <c r="BX93" s="2" t="s">
        <v>503</v>
      </c>
      <c r="BY93" s="2" t="s">
        <v>112</v>
      </c>
      <c r="BZ93" s="2" t="s">
        <v>100</v>
      </c>
    </row>
    <row r="94">
      <c r="A94" s="2" t="s">
        <v>504</v>
      </c>
      <c r="B94" s="2" t="s">
        <v>87</v>
      </c>
      <c r="C94" s="2" t="s">
        <v>88</v>
      </c>
      <c r="D94" s="2" t="s">
        <v>417</v>
      </c>
      <c r="E94" s="2" t="s">
        <v>418</v>
      </c>
      <c r="F94" s="2" t="s">
        <v>419</v>
      </c>
      <c r="G94" s="2" t="s">
        <v>420</v>
      </c>
      <c r="H94" s="2" t="s">
        <v>421</v>
      </c>
      <c r="I94" s="2" t="s">
        <v>422</v>
      </c>
      <c r="J94" s="2" t="s">
        <v>157</v>
      </c>
      <c r="K94" s="2" t="s">
        <v>96</v>
      </c>
      <c r="L94" s="3">
        <v>39.69</v>
      </c>
      <c r="M94" s="3">
        <v>41.67</v>
      </c>
      <c r="N94" s="3">
        <v>79.99</v>
      </c>
      <c r="O94" s="2" t="s">
        <v>97</v>
      </c>
      <c r="P94" s="2" t="s">
        <v>126</v>
      </c>
      <c r="Q94" s="2" t="s">
        <v>99</v>
      </c>
      <c r="R94" s="2" t="s">
        <v>100</v>
      </c>
      <c r="S94" s="2" t="s">
        <v>501</v>
      </c>
      <c r="T94" s="2" t="s">
        <v>100</v>
      </c>
      <c r="U94" s="2" t="s">
        <v>432</v>
      </c>
      <c r="V94" s="2" t="s">
        <v>427</v>
      </c>
      <c r="W94" s="2" t="s">
        <v>104</v>
      </c>
      <c r="X94" s="2" t="s">
        <v>428</v>
      </c>
      <c r="Y94" s="2" t="s">
        <v>442</v>
      </c>
      <c r="Z94" s="4">
        <v>217</v>
      </c>
      <c r="AA94" s="4">
        <f>=ROUNDDOWN(31,0)</f>
      </c>
      <c r="AB94" s="5">
        <v>7</v>
      </c>
      <c r="AC94" s="2" t="s">
        <v>184</v>
      </c>
      <c r="AD94" s="4">
        <v>80</v>
      </c>
      <c r="AE94" s="4">
        <v>170</v>
      </c>
      <c r="AF94" s="6">
        <v>65</v>
      </c>
      <c r="AG94" s="6">
        <v>48</v>
      </c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/>
      <c r="AP94" s="4">
        <v>1</v>
      </c>
      <c r="AQ94" s="8">
        <v>48.29</v>
      </c>
      <c r="AR94" s="4">
        <v>8</v>
      </c>
      <c r="AS94" s="8">
        <v>386.32</v>
      </c>
      <c r="AT94" s="7">
        <v>-0.875</v>
      </c>
      <c r="AU94" s="7">
        <v>-0.875</v>
      </c>
      <c r="AV94" s="4" t="s">
        <v>100</v>
      </c>
      <c r="AW94" s="8" t="s">
        <v>100</v>
      </c>
      <c r="AX94" s="4" t="s">
        <v>100</v>
      </c>
      <c r="AY94" s="8" t="s">
        <v>100</v>
      </c>
      <c r="AZ94" s="7" t="s">
        <v>100</v>
      </c>
      <c r="BA94" s="7" t="s">
        <v>100</v>
      </c>
      <c r="BB94" s="7">
        <v>0.0631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 t="s">
        <v>100</v>
      </c>
      <c r="BJ94" s="4">
        <v>36</v>
      </c>
      <c r="BK94" s="8">
        <v>1468.6</v>
      </c>
      <c r="BL94" s="2" t="s">
        <v>505</v>
      </c>
      <c r="BM94" s="7">
        <v>0.0278</v>
      </c>
      <c r="BN94" s="7">
        <v>0.0329</v>
      </c>
      <c r="BO94" s="4">
        <v>1</v>
      </c>
      <c r="BP94" s="8">
        <v>48.29</v>
      </c>
      <c r="BQ94" s="4">
        <v>8</v>
      </c>
      <c r="BR94" s="8">
        <v>386.32</v>
      </c>
      <c r="BS94" s="7">
        <v>-0.875</v>
      </c>
      <c r="BT94" s="7">
        <v>-0.875</v>
      </c>
      <c r="BU94" s="2" t="s">
        <v>109</v>
      </c>
      <c r="BV94" s="2" t="s">
        <v>97</v>
      </c>
      <c r="BW94" s="2" t="s">
        <v>442</v>
      </c>
      <c r="BX94" s="2" t="s">
        <v>506</v>
      </c>
      <c r="BY94" s="2" t="s">
        <v>112</v>
      </c>
      <c r="BZ94" s="2" t="s">
        <v>100</v>
      </c>
    </row>
    <row r="95">
      <c r="A95" s="2" t="s">
        <v>507</v>
      </c>
      <c r="B95" s="2" t="s">
        <v>87</v>
      </c>
      <c r="C95" s="2" t="s">
        <v>88</v>
      </c>
      <c r="D95" s="2" t="s">
        <v>417</v>
      </c>
      <c r="E95" s="2" t="s">
        <v>418</v>
      </c>
      <c r="F95" s="2" t="s">
        <v>419</v>
      </c>
      <c r="G95" s="2" t="s">
        <v>420</v>
      </c>
      <c r="H95" s="2" t="s">
        <v>421</v>
      </c>
      <c r="I95" s="2" t="s">
        <v>422</v>
      </c>
      <c r="J95" s="2" t="s">
        <v>95</v>
      </c>
      <c r="K95" s="2" t="s">
        <v>96</v>
      </c>
      <c r="L95" s="3">
        <v>49.5</v>
      </c>
      <c r="M95" s="3">
        <v>51.98</v>
      </c>
      <c r="N95" s="3">
        <v>99.99</v>
      </c>
      <c r="O95" s="2" t="s">
        <v>97</v>
      </c>
      <c r="P95" s="2" t="s">
        <v>126</v>
      </c>
      <c r="Q95" s="2" t="s">
        <v>99</v>
      </c>
      <c r="R95" s="2" t="s">
        <v>100</v>
      </c>
      <c r="S95" s="2" t="s">
        <v>508</v>
      </c>
      <c r="T95" s="2" t="s">
        <v>100</v>
      </c>
      <c r="U95" s="2" t="s">
        <v>432</v>
      </c>
      <c r="V95" s="2" t="s">
        <v>427</v>
      </c>
      <c r="W95" s="2" t="s">
        <v>104</v>
      </c>
      <c r="X95" s="2" t="s">
        <v>428</v>
      </c>
      <c r="Y95" s="2" t="s">
        <v>129</v>
      </c>
      <c r="Z95" s="4">
        <v>1025</v>
      </c>
      <c r="AA95" s="4">
        <f>=ROUNDDOWN(37.962962962963,0)</f>
      </c>
      <c r="AB95" s="5">
        <v>27</v>
      </c>
      <c r="AC95" s="2" t="s">
        <v>446</v>
      </c>
      <c r="AD95" s="4">
        <v>140</v>
      </c>
      <c r="AE95" s="4">
        <v>300</v>
      </c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/>
      <c r="AP95" s="4">
        <v>4</v>
      </c>
      <c r="AQ95" s="8">
        <v>229.96</v>
      </c>
      <c r="AR95" s="4">
        <v>16</v>
      </c>
      <c r="AS95" s="8">
        <v>919.84</v>
      </c>
      <c r="AT95" s="7">
        <v>-0.75</v>
      </c>
      <c r="AU95" s="7">
        <v>-0.75</v>
      </c>
      <c r="AV95" s="4" t="s">
        <v>100</v>
      </c>
      <c r="AW95" s="8" t="s">
        <v>100</v>
      </c>
      <c r="AX95" s="4" t="s">
        <v>100</v>
      </c>
      <c r="AY95" s="8" t="s">
        <v>100</v>
      </c>
      <c r="AZ95" s="7" t="s">
        <v>100</v>
      </c>
      <c r="BA95" s="7" t="s">
        <v>100</v>
      </c>
      <c r="BB95" s="7">
        <v>0.3003</v>
      </c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 t="s">
        <v>100</v>
      </c>
      <c r="BJ95" s="4">
        <v>89</v>
      </c>
      <c r="BK95" s="8">
        <v>4504.45</v>
      </c>
      <c r="BL95" s="2" t="s">
        <v>509</v>
      </c>
      <c r="BM95" s="7">
        <v>0.0449</v>
      </c>
      <c r="BN95" s="7">
        <v>0.0511</v>
      </c>
      <c r="BO95" s="4">
        <v>4</v>
      </c>
      <c r="BP95" s="8">
        <v>229.96</v>
      </c>
      <c r="BQ95" s="4">
        <v>16</v>
      </c>
      <c r="BR95" s="8">
        <v>919.84</v>
      </c>
      <c r="BS95" s="7">
        <v>-0.75</v>
      </c>
      <c r="BT95" s="7">
        <v>-0.75</v>
      </c>
      <c r="BU95" s="2" t="s">
        <v>109</v>
      </c>
      <c r="BV95" s="2" t="s">
        <v>97</v>
      </c>
      <c r="BW95" s="2" t="s">
        <v>164</v>
      </c>
      <c r="BX95" s="2" t="s">
        <v>373</v>
      </c>
      <c r="BY95" s="2" t="s">
        <v>112</v>
      </c>
      <c r="BZ95" s="2" t="s">
        <v>100</v>
      </c>
    </row>
    <row r="96">
      <c r="A96" s="2" t="s">
        <v>510</v>
      </c>
      <c r="B96" s="2" t="s">
        <v>87</v>
      </c>
      <c r="C96" s="2" t="s">
        <v>88</v>
      </c>
      <c r="D96" s="2" t="s">
        <v>417</v>
      </c>
      <c r="E96" s="2" t="s">
        <v>418</v>
      </c>
      <c r="F96" s="2" t="s">
        <v>419</v>
      </c>
      <c r="G96" s="2" t="s">
        <v>420</v>
      </c>
      <c r="H96" s="2" t="s">
        <v>421</v>
      </c>
      <c r="I96" s="2" t="s">
        <v>422</v>
      </c>
      <c r="J96" s="2" t="s">
        <v>114</v>
      </c>
      <c r="K96" s="2" t="s">
        <v>96</v>
      </c>
      <c r="L96" s="3">
        <v>64.25</v>
      </c>
      <c r="M96" s="3">
        <v>67.46</v>
      </c>
      <c r="N96" s="3">
        <v>129.99</v>
      </c>
      <c r="O96" s="2" t="s">
        <v>97</v>
      </c>
      <c r="P96" s="2" t="s">
        <v>126</v>
      </c>
      <c r="Q96" s="2" t="s">
        <v>99</v>
      </c>
      <c r="R96" s="2" t="s">
        <v>100</v>
      </c>
      <c r="S96" s="2" t="s">
        <v>508</v>
      </c>
      <c r="T96" s="2" t="s">
        <v>100</v>
      </c>
      <c r="U96" s="2" t="s">
        <v>432</v>
      </c>
      <c r="V96" s="2" t="s">
        <v>427</v>
      </c>
      <c r="W96" s="2" t="s">
        <v>104</v>
      </c>
      <c r="X96" s="2" t="s">
        <v>428</v>
      </c>
      <c r="Y96" s="2" t="s">
        <v>129</v>
      </c>
      <c r="Z96" s="4">
        <v>1079</v>
      </c>
      <c r="AA96" s="4">
        <f>=ROUNDDOWN(33.71875,0)</f>
      </c>
      <c r="AB96" s="5">
        <v>32</v>
      </c>
      <c r="AC96" s="2" t="s">
        <v>446</v>
      </c>
      <c r="AD96" s="4">
        <v>140</v>
      </c>
      <c r="AE96" s="4">
        <v>320</v>
      </c>
      <c r="AF96" s="6">
        <v>65</v>
      </c>
      <c r="AG96" s="6">
        <v>48</v>
      </c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/>
      <c r="AP96" s="4">
        <v>6</v>
      </c>
      <c r="AQ96" s="8">
        <v>448.38</v>
      </c>
      <c r="AR96" s="4">
        <v>28</v>
      </c>
      <c r="AS96" s="8">
        <v>2092.44</v>
      </c>
      <c r="AT96" s="7">
        <v>-0.7857</v>
      </c>
      <c r="AU96" s="7">
        <v>-0.7857</v>
      </c>
      <c r="AV96" s="4" t="s">
        <v>100</v>
      </c>
      <c r="AW96" s="8" t="s">
        <v>100</v>
      </c>
      <c r="AX96" s="4" t="s">
        <v>100</v>
      </c>
      <c r="AY96" s="8" t="s">
        <v>100</v>
      </c>
      <c r="AZ96" s="7" t="s">
        <v>100</v>
      </c>
      <c r="BA96" s="7" t="s">
        <v>100</v>
      </c>
      <c r="BB96" s="7">
        <v>0.5855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 t="s">
        <v>100</v>
      </c>
      <c r="BJ96" s="4">
        <v>125</v>
      </c>
      <c r="BK96" s="8">
        <v>8398.83</v>
      </c>
      <c r="BL96" s="2" t="s">
        <v>511</v>
      </c>
      <c r="BM96" s="7">
        <v>0.048</v>
      </c>
      <c r="BN96" s="7">
        <v>0.0534</v>
      </c>
      <c r="BO96" s="4">
        <v>6</v>
      </c>
      <c r="BP96" s="8">
        <v>448.38</v>
      </c>
      <c r="BQ96" s="4">
        <v>28</v>
      </c>
      <c r="BR96" s="8">
        <v>2092.44</v>
      </c>
      <c r="BS96" s="7">
        <v>-0.7857</v>
      </c>
      <c r="BT96" s="7">
        <v>-0.7857</v>
      </c>
      <c r="BU96" s="2" t="s">
        <v>109</v>
      </c>
      <c r="BV96" s="2" t="s">
        <v>97</v>
      </c>
      <c r="BW96" s="2" t="s">
        <v>164</v>
      </c>
      <c r="BX96" s="2" t="s">
        <v>512</v>
      </c>
      <c r="BY96" s="2" t="s">
        <v>112</v>
      </c>
      <c r="BZ96" s="2" t="s">
        <v>100</v>
      </c>
    </row>
    <row r="97">
      <c r="A97" s="2" t="s">
        <v>513</v>
      </c>
      <c r="B97" s="2" t="s">
        <v>87</v>
      </c>
      <c r="C97" s="2" t="s">
        <v>88</v>
      </c>
      <c r="D97" s="2" t="s">
        <v>417</v>
      </c>
      <c r="E97" s="2" t="s">
        <v>418</v>
      </c>
      <c r="F97" s="2" t="s">
        <v>419</v>
      </c>
      <c r="G97" s="2" t="s">
        <v>420</v>
      </c>
      <c r="H97" s="2" t="s">
        <v>421</v>
      </c>
      <c r="I97" s="2" t="s">
        <v>422</v>
      </c>
      <c r="J97" s="2" t="s">
        <v>95</v>
      </c>
      <c r="K97" s="2" t="s">
        <v>216</v>
      </c>
      <c r="L97" s="3">
        <v>49.5</v>
      </c>
      <c r="M97" s="3">
        <v>51.98</v>
      </c>
      <c r="N97" s="3">
        <v>99.99</v>
      </c>
      <c r="O97" s="2" t="s">
        <v>97</v>
      </c>
      <c r="P97" s="2" t="s">
        <v>126</v>
      </c>
      <c r="Q97" s="2" t="s">
        <v>99</v>
      </c>
      <c r="R97" s="2" t="s">
        <v>100</v>
      </c>
      <c r="S97" s="2" t="s">
        <v>514</v>
      </c>
      <c r="T97" s="2" t="s">
        <v>100</v>
      </c>
      <c r="U97" s="2" t="s">
        <v>432</v>
      </c>
      <c r="V97" s="2" t="s">
        <v>427</v>
      </c>
      <c r="W97" s="2" t="s">
        <v>104</v>
      </c>
      <c r="X97" s="2" t="s">
        <v>428</v>
      </c>
      <c r="Y97" s="2" t="s">
        <v>129</v>
      </c>
      <c r="Z97" s="4">
        <v>802</v>
      </c>
      <c r="AA97" s="4">
        <f>=ROUNDDOWN(33.4166666666667,0)</f>
      </c>
      <c r="AB97" s="5">
        <v>24</v>
      </c>
      <c r="AC97" s="2" t="s">
        <v>184</v>
      </c>
      <c r="AD97" s="4">
        <v>20</v>
      </c>
      <c r="AE97" s="4">
        <v>350</v>
      </c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/>
      <c r="AP97" s="4">
        <v>8</v>
      </c>
      <c r="AQ97" s="8">
        <v>459.92</v>
      </c>
      <c r="AR97" s="4">
        <v>10</v>
      </c>
      <c r="AS97" s="8">
        <v>574.9</v>
      </c>
      <c r="AT97" s="7">
        <v>-0.2</v>
      </c>
      <c r="AU97" s="7">
        <v>-0.2</v>
      </c>
      <c r="AV97" s="4">
        <v>12</v>
      </c>
      <c r="AW97" s="8">
        <v>758.84</v>
      </c>
      <c r="AX97" s="4">
        <v>20</v>
      </c>
      <c r="AY97" s="8">
        <v>1322.2</v>
      </c>
      <c r="AZ97" s="7">
        <v>-0.4</v>
      </c>
      <c r="BA97" s="7">
        <v>-0.4261</v>
      </c>
      <c r="BB97" s="7">
        <v>0.6061</v>
      </c>
      <c r="BC97" s="4" t="s">
        <v>100</v>
      </c>
      <c r="BD97" s="8" t="s">
        <v>100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>
        <v>0.0555</v>
      </c>
      <c r="BJ97" s="4">
        <v>90</v>
      </c>
      <c r="BK97" s="8">
        <v>4569.04</v>
      </c>
      <c r="BL97" s="2" t="s">
        <v>515</v>
      </c>
      <c r="BM97" s="7">
        <v>0.0889</v>
      </c>
      <c r="BN97" s="7">
        <v>0.1007</v>
      </c>
      <c r="BO97" s="4">
        <v>8</v>
      </c>
      <c r="BP97" s="8">
        <v>459.92</v>
      </c>
      <c r="BQ97" s="4">
        <v>10</v>
      </c>
      <c r="BR97" s="8">
        <v>574.9</v>
      </c>
      <c r="BS97" s="7">
        <v>-0.2</v>
      </c>
      <c r="BT97" s="7">
        <v>-0.2</v>
      </c>
      <c r="BU97" s="2" t="s">
        <v>109</v>
      </c>
      <c r="BV97" s="2" t="s">
        <v>97</v>
      </c>
      <c r="BW97" s="2" t="s">
        <v>164</v>
      </c>
      <c r="BX97" s="2" t="s">
        <v>495</v>
      </c>
      <c r="BY97" s="2" t="s">
        <v>112</v>
      </c>
      <c r="BZ97" s="2" t="s">
        <v>100</v>
      </c>
    </row>
    <row r="98">
      <c r="A98" s="2" t="s">
        <v>516</v>
      </c>
      <c r="B98" s="2" t="s">
        <v>87</v>
      </c>
      <c r="C98" s="2" t="s">
        <v>88</v>
      </c>
      <c r="D98" s="2" t="s">
        <v>417</v>
      </c>
      <c r="E98" s="2" t="s">
        <v>418</v>
      </c>
      <c r="F98" s="2" t="s">
        <v>419</v>
      </c>
      <c r="G98" s="2" t="s">
        <v>420</v>
      </c>
      <c r="H98" s="2" t="s">
        <v>421</v>
      </c>
      <c r="I98" s="2" t="s">
        <v>422</v>
      </c>
      <c r="J98" s="2" t="s">
        <v>114</v>
      </c>
      <c r="K98" s="2" t="s">
        <v>216</v>
      </c>
      <c r="L98" s="3">
        <v>64.25</v>
      </c>
      <c r="M98" s="3">
        <v>67.46</v>
      </c>
      <c r="N98" s="3">
        <v>129.99</v>
      </c>
      <c r="O98" s="2" t="s">
        <v>97</v>
      </c>
      <c r="P98" s="2" t="s">
        <v>126</v>
      </c>
      <c r="Q98" s="2" t="s">
        <v>99</v>
      </c>
      <c r="R98" s="2" t="s">
        <v>100</v>
      </c>
      <c r="S98" s="2" t="s">
        <v>514</v>
      </c>
      <c r="T98" s="2" t="s">
        <v>100</v>
      </c>
      <c r="U98" s="2" t="s">
        <v>432</v>
      </c>
      <c r="V98" s="2" t="s">
        <v>427</v>
      </c>
      <c r="W98" s="2" t="s">
        <v>104</v>
      </c>
      <c r="X98" s="2" t="s">
        <v>428</v>
      </c>
      <c r="Y98" s="2" t="s">
        <v>129</v>
      </c>
      <c r="Z98" s="4">
        <v>861</v>
      </c>
      <c r="AA98" s="4">
        <f>=ROUNDDOWN(37.4347826086956,0)</f>
      </c>
      <c r="AB98" s="5">
        <v>23</v>
      </c>
      <c r="AC98" s="2" t="s">
        <v>446</v>
      </c>
      <c r="AD98" s="4">
        <v>180</v>
      </c>
      <c r="AE98" s="4">
        <v>380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/>
      <c r="AP98" s="4">
        <v>4</v>
      </c>
      <c r="AQ98" s="8">
        <v>298.92</v>
      </c>
      <c r="AR98" s="4">
        <v>10</v>
      </c>
      <c r="AS98" s="8">
        <v>747.3</v>
      </c>
      <c r="AT98" s="7">
        <v>-0.6</v>
      </c>
      <c r="AU98" s="7">
        <v>-0.6</v>
      </c>
      <c r="AV98" s="4" t="s">
        <v>100</v>
      </c>
      <c r="AW98" s="8" t="s">
        <v>100</v>
      </c>
      <c r="AX98" s="4" t="s">
        <v>100</v>
      </c>
      <c r="AY98" s="8" t="s">
        <v>100</v>
      </c>
      <c r="AZ98" s="7" t="s">
        <v>100</v>
      </c>
      <c r="BA98" s="7" t="s">
        <v>100</v>
      </c>
      <c r="BB98" s="7">
        <v>0.3939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 t="s">
        <v>100</v>
      </c>
      <c r="BJ98" s="4">
        <v>80</v>
      </c>
      <c r="BK98" s="8">
        <v>5429.93</v>
      </c>
      <c r="BL98" s="2" t="s">
        <v>517</v>
      </c>
      <c r="BM98" s="7">
        <v>0.05</v>
      </c>
      <c r="BN98" s="7">
        <v>0.0551</v>
      </c>
      <c r="BO98" s="4">
        <v>4</v>
      </c>
      <c r="BP98" s="8">
        <v>298.92</v>
      </c>
      <c r="BQ98" s="4">
        <v>10</v>
      </c>
      <c r="BR98" s="8">
        <v>747.3</v>
      </c>
      <c r="BS98" s="7">
        <v>-0.6</v>
      </c>
      <c r="BT98" s="7">
        <v>-0.6</v>
      </c>
      <c r="BU98" s="2" t="s">
        <v>109</v>
      </c>
      <c r="BV98" s="2" t="s">
        <v>97</v>
      </c>
      <c r="BW98" s="2" t="s">
        <v>164</v>
      </c>
      <c r="BX98" s="2" t="s">
        <v>452</v>
      </c>
      <c r="BY98" s="2" t="s">
        <v>112</v>
      </c>
      <c r="BZ98" s="2" t="s">
        <v>100</v>
      </c>
    </row>
    <row r="99">
      <c r="A99" s="2" t="s">
        <v>518</v>
      </c>
      <c r="B99" s="2" t="s">
        <v>87</v>
      </c>
      <c r="C99" s="2" t="s">
        <v>88</v>
      </c>
      <c r="D99" s="2" t="s">
        <v>417</v>
      </c>
      <c r="E99" s="2" t="s">
        <v>418</v>
      </c>
      <c r="F99" s="2" t="s">
        <v>419</v>
      </c>
      <c r="G99" s="2" t="s">
        <v>420</v>
      </c>
      <c r="H99" s="2" t="s">
        <v>421</v>
      </c>
      <c r="I99" s="2" t="s">
        <v>481</v>
      </c>
      <c r="J99" s="2" t="s">
        <v>95</v>
      </c>
      <c r="K99" s="2" t="s">
        <v>519</v>
      </c>
      <c r="L99" s="3">
        <v>49.5</v>
      </c>
      <c r="M99" s="3">
        <v>51.98</v>
      </c>
      <c r="N99" s="3">
        <v>99.99</v>
      </c>
      <c r="O99" s="2" t="s">
        <v>97</v>
      </c>
      <c r="P99" s="2" t="s">
        <v>483</v>
      </c>
      <c r="Q99" s="2" t="s">
        <v>99</v>
      </c>
      <c r="R99" s="2" t="s">
        <v>100</v>
      </c>
      <c r="S99" s="2" t="s">
        <v>484</v>
      </c>
      <c r="T99" s="2" t="s">
        <v>100</v>
      </c>
      <c r="U99" s="2" t="s">
        <v>432</v>
      </c>
      <c r="V99" s="2" t="s">
        <v>427</v>
      </c>
      <c r="W99" s="2" t="s">
        <v>104</v>
      </c>
      <c r="X99" s="2" t="s">
        <v>428</v>
      </c>
      <c r="Y99" s="2" t="s">
        <v>485</v>
      </c>
      <c r="Z99" s="4">
        <v>280</v>
      </c>
      <c r="AA99" s="4">
        <f>=ROUNDDOWN(18.6666666666667,0)</f>
      </c>
      <c r="AB99" s="5">
        <v>15</v>
      </c>
      <c r="AC99" s="2" t="s">
        <v>100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/>
      <c r="AP99" s="4">
        <v>4</v>
      </c>
      <c r="AQ99" s="8">
        <v>218.48</v>
      </c>
      <c r="AR99" s="4"/>
      <c r="AS99" s="8"/>
      <c r="AT99" s="7"/>
      <c r="AU99" s="7"/>
      <c r="AV99" s="4">
        <v>11</v>
      </c>
      <c r="AW99" s="8">
        <v>741.59</v>
      </c>
      <c r="AX99" s="4" t="s">
        <v>100</v>
      </c>
      <c r="AY99" s="8" t="s">
        <v>100</v>
      </c>
      <c r="AZ99" s="7" t="s">
        <v>100</v>
      </c>
      <c r="BA99" s="7" t="s">
        <v>100</v>
      </c>
      <c r="BB99" s="7">
        <v>0.2946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0.0543</v>
      </c>
      <c r="BJ99" s="4">
        <v>46</v>
      </c>
      <c r="BK99" s="8">
        <v>2477.13</v>
      </c>
      <c r="BL99" s="2" t="s">
        <v>415</v>
      </c>
      <c r="BM99" s="7">
        <v>0.087</v>
      </c>
      <c r="BN99" s="7">
        <v>0.0882</v>
      </c>
      <c r="BO99" s="4">
        <v>4</v>
      </c>
      <c r="BP99" s="8">
        <v>218.48</v>
      </c>
      <c r="BQ99" s="4"/>
      <c r="BR99" s="8"/>
      <c r="BS99" s="7"/>
      <c r="BT99" s="7"/>
      <c r="BU99" s="2" t="s">
        <v>109</v>
      </c>
      <c r="BV99" s="2" t="s">
        <v>97</v>
      </c>
      <c r="BW99" s="2" t="s">
        <v>487</v>
      </c>
      <c r="BX99" s="2" t="s">
        <v>520</v>
      </c>
      <c r="BY99" s="2" t="s">
        <v>112</v>
      </c>
      <c r="BZ99" s="2" t="s">
        <v>100</v>
      </c>
    </row>
    <row r="100">
      <c r="A100" s="2" t="s">
        <v>521</v>
      </c>
      <c r="B100" s="2" t="s">
        <v>87</v>
      </c>
      <c r="C100" s="2" t="s">
        <v>88</v>
      </c>
      <c r="D100" s="2" t="s">
        <v>417</v>
      </c>
      <c r="E100" s="2" t="s">
        <v>418</v>
      </c>
      <c r="F100" s="2" t="s">
        <v>419</v>
      </c>
      <c r="G100" s="2" t="s">
        <v>420</v>
      </c>
      <c r="H100" s="2" t="s">
        <v>421</v>
      </c>
      <c r="I100" s="2" t="s">
        <v>481</v>
      </c>
      <c r="J100" s="2" t="s">
        <v>114</v>
      </c>
      <c r="K100" s="2" t="s">
        <v>519</v>
      </c>
      <c r="L100" s="3">
        <v>64.25</v>
      </c>
      <c r="M100" s="3">
        <v>67.46</v>
      </c>
      <c r="N100" s="3">
        <v>129.99</v>
      </c>
      <c r="O100" s="2" t="s">
        <v>97</v>
      </c>
      <c r="P100" s="2" t="s">
        <v>483</v>
      </c>
      <c r="Q100" s="2" t="s">
        <v>99</v>
      </c>
      <c r="R100" s="2" t="s">
        <v>100</v>
      </c>
      <c r="S100" s="2" t="s">
        <v>484</v>
      </c>
      <c r="T100" s="2" t="s">
        <v>100</v>
      </c>
      <c r="U100" s="2" t="s">
        <v>432</v>
      </c>
      <c r="V100" s="2" t="s">
        <v>427</v>
      </c>
      <c r="W100" s="2" t="s">
        <v>104</v>
      </c>
      <c r="X100" s="2" t="s">
        <v>428</v>
      </c>
      <c r="Y100" s="2" t="s">
        <v>522</v>
      </c>
      <c r="Z100" s="4">
        <v>338</v>
      </c>
      <c r="AA100" s="4">
        <f>=ROUNDDOWN(19.8823529411765,0)</f>
      </c>
      <c r="AB100" s="5">
        <v>17</v>
      </c>
      <c r="AC100" s="2" t="s">
        <v>100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/>
      <c r="AP100" s="4">
        <v>7</v>
      </c>
      <c r="AQ100" s="8">
        <v>523.11</v>
      </c>
      <c r="AR100" s="4"/>
      <c r="AS100" s="8"/>
      <c r="AT100" s="7"/>
      <c r="AU100" s="7"/>
      <c r="AV100" s="4" t="s">
        <v>100</v>
      </c>
      <c r="AW100" s="8" t="s">
        <v>100</v>
      </c>
      <c r="AX100" s="4" t="s">
        <v>100</v>
      </c>
      <c r="AY100" s="8" t="s">
        <v>100</v>
      </c>
      <c r="AZ100" s="7" t="s">
        <v>100</v>
      </c>
      <c r="BA100" s="7" t="s">
        <v>100</v>
      </c>
      <c r="BB100" s="7">
        <v>0.7054</v>
      </c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 t="s">
        <v>100</v>
      </c>
      <c r="BJ100" s="4">
        <v>65</v>
      </c>
      <c r="BK100" s="8">
        <v>4480.19</v>
      </c>
      <c r="BL100" s="2" t="s">
        <v>122</v>
      </c>
      <c r="BM100" s="7">
        <v>0.1077</v>
      </c>
      <c r="BN100" s="7">
        <v>0.1168</v>
      </c>
      <c r="BO100" s="4">
        <v>7</v>
      </c>
      <c r="BP100" s="8">
        <v>523.11</v>
      </c>
      <c r="BQ100" s="4"/>
      <c r="BR100" s="8"/>
      <c r="BS100" s="7"/>
      <c r="BT100" s="7"/>
      <c r="BU100" s="2" t="s">
        <v>109</v>
      </c>
      <c r="BV100" s="2" t="s">
        <v>97</v>
      </c>
      <c r="BW100" s="2" t="s">
        <v>487</v>
      </c>
      <c r="BX100" s="2" t="s">
        <v>488</v>
      </c>
      <c r="BY100" s="2" t="s">
        <v>112</v>
      </c>
      <c r="BZ100" s="2" t="s">
        <v>100</v>
      </c>
    </row>
    <row r="101">
      <c r="A101" s="2" t="s">
        <v>523</v>
      </c>
      <c r="B101" s="2" t="s">
        <v>87</v>
      </c>
      <c r="C101" s="2" t="s">
        <v>88</v>
      </c>
      <c r="D101" s="2" t="s">
        <v>417</v>
      </c>
      <c r="E101" s="2" t="s">
        <v>418</v>
      </c>
      <c r="F101" s="2" t="s">
        <v>419</v>
      </c>
      <c r="G101" s="2" t="s">
        <v>420</v>
      </c>
      <c r="H101" s="2" t="s">
        <v>421</v>
      </c>
      <c r="I101" s="2" t="s">
        <v>422</v>
      </c>
      <c r="J101" s="2" t="s">
        <v>95</v>
      </c>
      <c r="K101" s="2" t="s">
        <v>276</v>
      </c>
      <c r="L101" s="3">
        <v>49.5</v>
      </c>
      <c r="M101" s="3">
        <v>51.98</v>
      </c>
      <c r="N101" s="3">
        <v>99.99</v>
      </c>
      <c r="O101" s="2" t="s">
        <v>97</v>
      </c>
      <c r="P101" s="2" t="s">
        <v>126</v>
      </c>
      <c r="Q101" s="2" t="s">
        <v>99</v>
      </c>
      <c r="R101" s="2" t="s">
        <v>100</v>
      </c>
      <c r="S101" s="2" t="s">
        <v>524</v>
      </c>
      <c r="T101" s="2" t="s">
        <v>100</v>
      </c>
      <c r="U101" s="2" t="s">
        <v>432</v>
      </c>
      <c r="V101" s="2" t="s">
        <v>427</v>
      </c>
      <c r="W101" s="2" t="s">
        <v>104</v>
      </c>
      <c r="X101" s="2" t="s">
        <v>428</v>
      </c>
      <c r="Y101" s="2" t="s">
        <v>129</v>
      </c>
      <c r="Z101" s="4">
        <v>561</v>
      </c>
      <c r="AA101" s="4">
        <f>=ROUNDDOWN(33,0)</f>
      </c>
      <c r="AB101" s="5">
        <v>17</v>
      </c>
      <c r="AC101" s="2" t="s">
        <v>116</v>
      </c>
      <c r="AD101" s="4">
        <v>50</v>
      </c>
      <c r="AE101" s="4">
        <v>340</v>
      </c>
      <c r="AF101" s="6">
        <v>65</v>
      </c>
      <c r="AG101" s="6">
        <v>48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/>
      <c r="AP101" s="4">
        <v>2</v>
      </c>
      <c r="AQ101" s="8">
        <v>109.24</v>
      </c>
      <c r="AR101" s="4">
        <v>11</v>
      </c>
      <c r="AS101" s="8">
        <v>600.82</v>
      </c>
      <c r="AT101" s="7">
        <v>-0.8182</v>
      </c>
      <c r="AU101" s="7">
        <v>-0.8182</v>
      </c>
      <c r="AV101" s="4">
        <v>9</v>
      </c>
      <c r="AW101" s="8">
        <v>632.35</v>
      </c>
      <c r="AX101" s="4">
        <v>23</v>
      </c>
      <c r="AY101" s="8">
        <v>1497.58</v>
      </c>
      <c r="AZ101" s="7">
        <v>-0.6087</v>
      </c>
      <c r="BA101" s="7">
        <v>-0.5778</v>
      </c>
      <c r="BB101" s="7">
        <v>0.1728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>
        <v>0.0463</v>
      </c>
      <c r="BJ101" s="4">
        <v>50</v>
      </c>
      <c r="BK101" s="8">
        <v>2561.28</v>
      </c>
      <c r="BL101" s="2" t="s">
        <v>525</v>
      </c>
      <c r="BM101" s="7">
        <v>0.04</v>
      </c>
      <c r="BN101" s="7">
        <v>0.0427</v>
      </c>
      <c r="BO101" s="4">
        <v>2</v>
      </c>
      <c r="BP101" s="8">
        <v>109.24</v>
      </c>
      <c r="BQ101" s="4">
        <v>11</v>
      </c>
      <c r="BR101" s="8">
        <v>600.82</v>
      </c>
      <c r="BS101" s="7">
        <v>-0.8182</v>
      </c>
      <c r="BT101" s="7">
        <v>-0.8182</v>
      </c>
      <c r="BU101" s="2" t="s">
        <v>109</v>
      </c>
      <c r="BV101" s="2" t="s">
        <v>97</v>
      </c>
      <c r="BW101" s="2" t="s">
        <v>164</v>
      </c>
      <c r="BX101" s="2" t="s">
        <v>379</v>
      </c>
      <c r="BY101" s="2" t="s">
        <v>112</v>
      </c>
      <c r="BZ101" s="2" t="s">
        <v>100</v>
      </c>
    </row>
    <row r="102">
      <c r="A102" s="2" t="s">
        <v>526</v>
      </c>
      <c r="B102" s="2" t="s">
        <v>87</v>
      </c>
      <c r="C102" s="2" t="s">
        <v>88</v>
      </c>
      <c r="D102" s="2" t="s">
        <v>417</v>
      </c>
      <c r="E102" s="2" t="s">
        <v>418</v>
      </c>
      <c r="F102" s="2" t="s">
        <v>419</v>
      </c>
      <c r="G102" s="2" t="s">
        <v>420</v>
      </c>
      <c r="H102" s="2" t="s">
        <v>421</v>
      </c>
      <c r="I102" s="2" t="s">
        <v>422</v>
      </c>
      <c r="J102" s="2" t="s">
        <v>114</v>
      </c>
      <c r="K102" s="2" t="s">
        <v>276</v>
      </c>
      <c r="L102" s="3">
        <v>64.25</v>
      </c>
      <c r="M102" s="3">
        <v>67.46</v>
      </c>
      <c r="N102" s="3">
        <v>129.99</v>
      </c>
      <c r="O102" s="2" t="s">
        <v>97</v>
      </c>
      <c r="P102" s="2" t="s">
        <v>126</v>
      </c>
      <c r="Q102" s="2" t="s">
        <v>99</v>
      </c>
      <c r="R102" s="2" t="s">
        <v>100</v>
      </c>
      <c r="S102" s="2" t="s">
        <v>524</v>
      </c>
      <c r="T102" s="2" t="s">
        <v>100</v>
      </c>
      <c r="U102" s="2" t="s">
        <v>432</v>
      </c>
      <c r="V102" s="2" t="s">
        <v>427</v>
      </c>
      <c r="W102" s="2" t="s">
        <v>104</v>
      </c>
      <c r="X102" s="2" t="s">
        <v>428</v>
      </c>
      <c r="Y102" s="2" t="s">
        <v>527</v>
      </c>
      <c r="Z102" s="4">
        <v>739</v>
      </c>
      <c r="AA102" s="4">
        <f>=ROUNDDOWN(36.95,0)</f>
      </c>
      <c r="AB102" s="5">
        <v>20</v>
      </c>
      <c r="AC102" s="2" t="s">
        <v>184</v>
      </c>
      <c r="AD102" s="4">
        <v>20</v>
      </c>
      <c r="AE102" s="4">
        <v>370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/>
      <c r="AP102" s="4">
        <v>7</v>
      </c>
      <c r="AQ102" s="8">
        <v>523.11</v>
      </c>
      <c r="AR102" s="4">
        <v>12</v>
      </c>
      <c r="AS102" s="8">
        <v>896.76</v>
      </c>
      <c r="AT102" s="7">
        <v>-0.4167</v>
      </c>
      <c r="AU102" s="7">
        <v>-0.4167</v>
      </c>
      <c r="AV102" s="4" t="s">
        <v>100</v>
      </c>
      <c r="AW102" s="8" t="s">
        <v>100</v>
      </c>
      <c r="AX102" s="4" t="s">
        <v>100</v>
      </c>
      <c r="AY102" s="8" t="s">
        <v>100</v>
      </c>
      <c r="AZ102" s="7" t="s">
        <v>100</v>
      </c>
      <c r="BA102" s="7" t="s">
        <v>100</v>
      </c>
      <c r="BB102" s="7">
        <v>0.8272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 t="s">
        <v>100</v>
      </c>
      <c r="BJ102" s="4">
        <v>70</v>
      </c>
      <c r="BK102" s="8">
        <v>4618.26</v>
      </c>
      <c r="BL102" s="2" t="s">
        <v>528</v>
      </c>
      <c r="BM102" s="7">
        <v>0.1</v>
      </c>
      <c r="BN102" s="7">
        <v>0.1133</v>
      </c>
      <c r="BO102" s="4">
        <v>7</v>
      </c>
      <c r="BP102" s="8">
        <v>523.11</v>
      </c>
      <c r="BQ102" s="4">
        <v>12</v>
      </c>
      <c r="BR102" s="8">
        <v>896.76</v>
      </c>
      <c r="BS102" s="7">
        <v>-0.4167</v>
      </c>
      <c r="BT102" s="7">
        <v>-0.4167</v>
      </c>
      <c r="BU102" s="2" t="s">
        <v>109</v>
      </c>
      <c r="BV102" s="2" t="s">
        <v>97</v>
      </c>
      <c r="BW102" s="2" t="s">
        <v>164</v>
      </c>
      <c r="BX102" s="2" t="s">
        <v>529</v>
      </c>
      <c r="BY102" s="2" t="s">
        <v>112</v>
      </c>
      <c r="BZ102" s="2" t="s">
        <v>100</v>
      </c>
    </row>
    <row r="103">
      <c r="A103" s="2" t="s">
        <v>530</v>
      </c>
      <c r="B103" s="2" t="s">
        <v>87</v>
      </c>
      <c r="C103" s="2" t="s">
        <v>88</v>
      </c>
      <c r="D103" s="2" t="s">
        <v>417</v>
      </c>
      <c r="E103" s="2" t="s">
        <v>418</v>
      </c>
      <c r="F103" s="2" t="s">
        <v>419</v>
      </c>
      <c r="G103" s="2" t="s">
        <v>420</v>
      </c>
      <c r="H103" s="2" t="s">
        <v>421</v>
      </c>
      <c r="I103" s="2" t="s">
        <v>422</v>
      </c>
      <c r="J103" s="2" t="s">
        <v>95</v>
      </c>
      <c r="K103" s="2" t="s">
        <v>140</v>
      </c>
      <c r="L103" s="3">
        <v>49.5</v>
      </c>
      <c r="M103" s="3">
        <v>51.98</v>
      </c>
      <c r="N103" s="3">
        <v>99.99</v>
      </c>
      <c r="O103" s="2" t="s">
        <v>97</v>
      </c>
      <c r="P103" s="2" t="s">
        <v>126</v>
      </c>
      <c r="Q103" s="2" t="s">
        <v>99</v>
      </c>
      <c r="R103" s="2" t="s">
        <v>100</v>
      </c>
      <c r="S103" s="2" t="s">
        <v>531</v>
      </c>
      <c r="T103" s="2" t="s">
        <v>100</v>
      </c>
      <c r="U103" s="2" t="s">
        <v>432</v>
      </c>
      <c r="V103" s="2" t="s">
        <v>427</v>
      </c>
      <c r="W103" s="2" t="s">
        <v>104</v>
      </c>
      <c r="X103" s="2" t="s">
        <v>428</v>
      </c>
      <c r="Y103" s="2" t="s">
        <v>532</v>
      </c>
      <c r="Z103" s="4">
        <v>435</v>
      </c>
      <c r="AA103" s="4">
        <f>=ROUNDDOWN(22.8947368421053,0)</f>
      </c>
      <c r="AB103" s="5">
        <v>19</v>
      </c>
      <c r="AC103" s="2" t="s">
        <v>184</v>
      </c>
      <c r="AD103" s="4">
        <v>80</v>
      </c>
      <c r="AE103" s="4">
        <v>280</v>
      </c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/>
      <c r="AP103" s="4">
        <v>5</v>
      </c>
      <c r="AQ103" s="8">
        <v>273.1</v>
      </c>
      <c r="AR103" s="4">
        <v>11</v>
      </c>
      <c r="AS103" s="8">
        <v>600.82</v>
      </c>
      <c r="AT103" s="7">
        <v>-0.5455</v>
      </c>
      <c r="AU103" s="7">
        <v>-0.5455</v>
      </c>
      <c r="AV103" s="4">
        <v>8</v>
      </c>
      <c r="AW103" s="8">
        <v>497.29</v>
      </c>
      <c r="AX103" s="4">
        <v>21</v>
      </c>
      <c r="AY103" s="8">
        <v>1348.12</v>
      </c>
      <c r="AZ103" s="7">
        <v>-0.619</v>
      </c>
      <c r="BA103" s="7">
        <v>-0.6311</v>
      </c>
      <c r="BB103" s="7">
        <v>0.5492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0.0364</v>
      </c>
      <c r="BJ103" s="4">
        <v>78</v>
      </c>
      <c r="BK103" s="8">
        <v>3931.75</v>
      </c>
      <c r="BL103" s="2" t="s">
        <v>533</v>
      </c>
      <c r="BM103" s="7">
        <v>0.0641</v>
      </c>
      <c r="BN103" s="7">
        <v>0.0695</v>
      </c>
      <c r="BO103" s="4">
        <v>5</v>
      </c>
      <c r="BP103" s="8">
        <v>273.1</v>
      </c>
      <c r="BQ103" s="4">
        <v>11</v>
      </c>
      <c r="BR103" s="8">
        <v>600.82</v>
      </c>
      <c r="BS103" s="7">
        <v>-0.5455</v>
      </c>
      <c r="BT103" s="7">
        <v>-0.5455</v>
      </c>
      <c r="BU103" s="2" t="s">
        <v>109</v>
      </c>
      <c r="BV103" s="2" t="s">
        <v>97</v>
      </c>
      <c r="BW103" s="2" t="s">
        <v>534</v>
      </c>
      <c r="BX103" s="2" t="s">
        <v>535</v>
      </c>
      <c r="BY103" s="2" t="s">
        <v>112</v>
      </c>
      <c r="BZ103" s="2" t="s">
        <v>100</v>
      </c>
    </row>
    <row r="104">
      <c r="A104" s="2" t="s">
        <v>536</v>
      </c>
      <c r="B104" s="2" t="s">
        <v>87</v>
      </c>
      <c r="C104" s="2" t="s">
        <v>88</v>
      </c>
      <c r="D104" s="2" t="s">
        <v>417</v>
      </c>
      <c r="E104" s="2" t="s">
        <v>418</v>
      </c>
      <c r="F104" s="2" t="s">
        <v>419</v>
      </c>
      <c r="G104" s="2" t="s">
        <v>420</v>
      </c>
      <c r="H104" s="2" t="s">
        <v>421</v>
      </c>
      <c r="I104" s="2" t="s">
        <v>422</v>
      </c>
      <c r="J104" s="2" t="s">
        <v>114</v>
      </c>
      <c r="K104" s="2" t="s">
        <v>140</v>
      </c>
      <c r="L104" s="3">
        <v>64.25</v>
      </c>
      <c r="M104" s="3">
        <v>67.46</v>
      </c>
      <c r="N104" s="3">
        <v>129.99</v>
      </c>
      <c r="O104" s="2" t="s">
        <v>97</v>
      </c>
      <c r="P104" s="2" t="s">
        <v>126</v>
      </c>
      <c r="Q104" s="2" t="s">
        <v>99</v>
      </c>
      <c r="R104" s="2" t="s">
        <v>100</v>
      </c>
      <c r="S104" s="2" t="s">
        <v>531</v>
      </c>
      <c r="T104" s="2" t="s">
        <v>100</v>
      </c>
      <c r="U104" s="2" t="s">
        <v>432</v>
      </c>
      <c r="V104" s="2" t="s">
        <v>427</v>
      </c>
      <c r="W104" s="2" t="s">
        <v>104</v>
      </c>
      <c r="X104" s="2" t="s">
        <v>428</v>
      </c>
      <c r="Y104" s="2" t="s">
        <v>532</v>
      </c>
      <c r="Z104" s="4">
        <v>738</v>
      </c>
      <c r="AA104" s="4">
        <f>=ROUNDDOWN(38.8421052631579,0)</f>
      </c>
      <c r="AB104" s="5">
        <v>19</v>
      </c>
      <c r="AC104" s="2" t="s">
        <v>100</v>
      </c>
      <c r="AD104" s="4"/>
      <c r="AE104" s="4"/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/>
      <c r="AP104" s="4">
        <v>3</v>
      </c>
      <c r="AQ104" s="8">
        <v>224.19</v>
      </c>
      <c r="AR104" s="4">
        <v>10</v>
      </c>
      <c r="AS104" s="8">
        <v>747.3</v>
      </c>
      <c r="AT104" s="7">
        <v>-0.7</v>
      </c>
      <c r="AU104" s="7">
        <v>-0.7</v>
      </c>
      <c r="AV104" s="4" t="s">
        <v>100</v>
      </c>
      <c r="AW104" s="8" t="s">
        <v>100</v>
      </c>
      <c r="AX104" s="4" t="s">
        <v>100</v>
      </c>
      <c r="AY104" s="8" t="s">
        <v>100</v>
      </c>
      <c r="AZ104" s="7" t="s">
        <v>100</v>
      </c>
      <c r="BA104" s="7" t="s">
        <v>100</v>
      </c>
      <c r="BB104" s="7">
        <v>0.4508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 t="s">
        <v>100</v>
      </c>
      <c r="BJ104" s="4">
        <v>70</v>
      </c>
      <c r="BK104" s="8">
        <v>4783.09</v>
      </c>
      <c r="BL104" s="2" t="s">
        <v>537</v>
      </c>
      <c r="BM104" s="7">
        <v>0.0429</v>
      </c>
      <c r="BN104" s="7">
        <v>0.0469</v>
      </c>
      <c r="BO104" s="4">
        <v>3</v>
      </c>
      <c r="BP104" s="8">
        <v>224.19</v>
      </c>
      <c r="BQ104" s="4">
        <v>10</v>
      </c>
      <c r="BR104" s="8">
        <v>747.3</v>
      </c>
      <c r="BS104" s="7">
        <v>-0.7</v>
      </c>
      <c r="BT104" s="7">
        <v>-0.7</v>
      </c>
      <c r="BU104" s="2" t="s">
        <v>109</v>
      </c>
      <c r="BV104" s="2" t="s">
        <v>97</v>
      </c>
      <c r="BW104" s="2" t="s">
        <v>534</v>
      </c>
      <c r="BX104" s="2" t="s">
        <v>538</v>
      </c>
      <c r="BY104" s="2" t="s">
        <v>112</v>
      </c>
      <c r="BZ104" s="2" t="s">
        <v>100</v>
      </c>
    </row>
    <row r="105">
      <c r="A105" s="2" t="s">
        <v>539</v>
      </c>
      <c r="B105" s="2" t="s">
        <v>87</v>
      </c>
      <c r="C105" s="2" t="s">
        <v>88</v>
      </c>
      <c r="D105" s="2" t="s">
        <v>417</v>
      </c>
      <c r="E105" s="2" t="s">
        <v>418</v>
      </c>
      <c r="F105" s="2" t="s">
        <v>419</v>
      </c>
      <c r="G105" s="2" t="s">
        <v>420</v>
      </c>
      <c r="H105" s="2" t="s">
        <v>421</v>
      </c>
      <c r="I105" s="2" t="s">
        <v>422</v>
      </c>
      <c r="J105" s="2" t="s">
        <v>157</v>
      </c>
      <c r="K105" s="2" t="s">
        <v>540</v>
      </c>
      <c r="L105" s="3">
        <v>39.69</v>
      </c>
      <c r="M105" s="3">
        <v>41.67</v>
      </c>
      <c r="N105" s="3">
        <v>79.99</v>
      </c>
      <c r="O105" s="2" t="s">
        <v>97</v>
      </c>
      <c r="P105" s="2" t="s">
        <v>141</v>
      </c>
      <c r="Q105" s="2" t="s">
        <v>99</v>
      </c>
      <c r="R105" s="2" t="s">
        <v>100</v>
      </c>
      <c r="S105" s="2" t="s">
        <v>458</v>
      </c>
      <c r="T105" s="2" t="s">
        <v>100</v>
      </c>
      <c r="U105" s="2" t="s">
        <v>432</v>
      </c>
      <c r="V105" s="2" t="s">
        <v>427</v>
      </c>
      <c r="W105" s="2" t="s">
        <v>104</v>
      </c>
      <c r="X105" s="2" t="s">
        <v>428</v>
      </c>
      <c r="Y105" s="2" t="s">
        <v>541</v>
      </c>
      <c r="Z105" s="4">
        <v>235</v>
      </c>
      <c r="AA105" s="4">
        <f>=ROUNDDOWN(33.5714285714286,0)</f>
      </c>
      <c r="AB105" s="5">
        <v>7</v>
      </c>
      <c r="AC105" s="2" t="s">
        <v>179</v>
      </c>
      <c r="AD105" s="4">
        <v>130</v>
      </c>
      <c r="AE105" s="4">
        <v>130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/>
      <c r="AP105" s="4"/>
      <c r="AQ105" s="8"/>
      <c r="AR105" s="4">
        <v>5</v>
      </c>
      <c r="AS105" s="8">
        <v>229.4</v>
      </c>
      <c r="AT105" s="7">
        <v>-1</v>
      </c>
      <c r="AU105" s="7">
        <v>-1</v>
      </c>
      <c r="AV105" s="4">
        <v>5</v>
      </c>
      <c r="AW105" s="8">
        <v>321.93</v>
      </c>
      <c r="AX105" s="4">
        <v>28</v>
      </c>
      <c r="AY105" s="8">
        <v>1810.27</v>
      </c>
      <c r="AZ105" s="7">
        <v>-0.8214</v>
      </c>
      <c r="BA105" s="7">
        <v>-0.8222</v>
      </c>
      <c r="BB105" s="7"/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0.0236</v>
      </c>
      <c r="BJ105" s="4">
        <v>23</v>
      </c>
      <c r="BK105" s="8">
        <v>958.09</v>
      </c>
      <c r="BL105" s="2" t="s">
        <v>542</v>
      </c>
      <c r="BM105" s="7"/>
      <c r="BN105" s="7"/>
      <c r="BO105" s="4"/>
      <c r="BP105" s="8"/>
      <c r="BQ105" s="4">
        <v>5</v>
      </c>
      <c r="BR105" s="8">
        <v>229.4</v>
      </c>
      <c r="BS105" s="7">
        <v>-1</v>
      </c>
      <c r="BT105" s="7">
        <v>-1</v>
      </c>
      <c r="BU105" s="2" t="s">
        <v>109</v>
      </c>
      <c r="BV105" s="2" t="s">
        <v>97</v>
      </c>
      <c r="BW105" s="2" t="s">
        <v>469</v>
      </c>
      <c r="BX105" s="2" t="s">
        <v>543</v>
      </c>
      <c r="BY105" s="2" t="s">
        <v>112</v>
      </c>
      <c r="BZ105" s="2" t="s">
        <v>100</v>
      </c>
    </row>
    <row r="106">
      <c r="A106" s="2" t="s">
        <v>544</v>
      </c>
      <c r="B106" s="2" t="s">
        <v>87</v>
      </c>
      <c r="C106" s="2" t="s">
        <v>88</v>
      </c>
      <c r="D106" s="2" t="s">
        <v>417</v>
      </c>
      <c r="E106" s="2" t="s">
        <v>418</v>
      </c>
      <c r="F106" s="2" t="s">
        <v>419</v>
      </c>
      <c r="G106" s="2" t="s">
        <v>420</v>
      </c>
      <c r="H106" s="2" t="s">
        <v>421</v>
      </c>
      <c r="I106" s="2" t="s">
        <v>422</v>
      </c>
      <c r="J106" s="2" t="s">
        <v>95</v>
      </c>
      <c r="K106" s="2" t="s">
        <v>540</v>
      </c>
      <c r="L106" s="3">
        <v>49.5</v>
      </c>
      <c r="M106" s="3">
        <v>51.98</v>
      </c>
      <c r="N106" s="3">
        <v>99.99</v>
      </c>
      <c r="O106" s="2" t="s">
        <v>97</v>
      </c>
      <c r="P106" s="2" t="s">
        <v>141</v>
      </c>
      <c r="Q106" s="2" t="s">
        <v>99</v>
      </c>
      <c r="R106" s="2" t="s">
        <v>100</v>
      </c>
      <c r="S106" s="2" t="s">
        <v>531</v>
      </c>
      <c r="T106" s="2" t="s">
        <v>100</v>
      </c>
      <c r="U106" s="2" t="s">
        <v>432</v>
      </c>
      <c r="V106" s="2" t="s">
        <v>427</v>
      </c>
      <c r="W106" s="2" t="s">
        <v>104</v>
      </c>
      <c r="X106" s="2" t="s">
        <v>428</v>
      </c>
      <c r="Y106" s="2" t="s">
        <v>442</v>
      </c>
      <c r="Z106" s="4">
        <v>676</v>
      </c>
      <c r="AA106" s="4">
        <f>=ROUNDDOWN(33.8,0)</f>
      </c>
      <c r="AB106" s="5">
        <v>20</v>
      </c>
      <c r="AC106" s="2" t="s">
        <v>179</v>
      </c>
      <c r="AD106" s="4">
        <v>180</v>
      </c>
      <c r="AE106" s="4">
        <v>180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/>
      <c r="AP106" s="4">
        <v>3</v>
      </c>
      <c r="AQ106" s="8">
        <v>172.47</v>
      </c>
      <c r="AR106" s="4">
        <v>8</v>
      </c>
      <c r="AS106" s="8">
        <v>459.92</v>
      </c>
      <c r="AT106" s="7">
        <v>-0.625</v>
      </c>
      <c r="AU106" s="7">
        <v>-0.625</v>
      </c>
      <c r="AV106" s="4" t="s">
        <v>100</v>
      </c>
      <c r="AW106" s="8" t="s">
        <v>100</v>
      </c>
      <c r="AX106" s="4" t="s">
        <v>100</v>
      </c>
      <c r="AY106" s="8" t="s">
        <v>100</v>
      </c>
      <c r="AZ106" s="7" t="s">
        <v>100</v>
      </c>
      <c r="BA106" s="7" t="s">
        <v>100</v>
      </c>
      <c r="BB106" s="7">
        <v>0.5357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 t="s">
        <v>100</v>
      </c>
      <c r="BJ106" s="4">
        <v>81</v>
      </c>
      <c r="BK106" s="8">
        <v>4090.32</v>
      </c>
      <c r="BL106" s="2" t="s">
        <v>525</v>
      </c>
      <c r="BM106" s="7">
        <v>0.037</v>
      </c>
      <c r="BN106" s="7">
        <v>0.0422</v>
      </c>
      <c r="BO106" s="4">
        <v>3</v>
      </c>
      <c r="BP106" s="8">
        <v>172.47</v>
      </c>
      <c r="BQ106" s="4">
        <v>8</v>
      </c>
      <c r="BR106" s="8">
        <v>459.92</v>
      </c>
      <c r="BS106" s="7">
        <v>-0.625</v>
      </c>
      <c r="BT106" s="7">
        <v>-0.625</v>
      </c>
      <c r="BU106" s="2" t="s">
        <v>109</v>
      </c>
      <c r="BV106" s="2" t="s">
        <v>97</v>
      </c>
      <c r="BW106" s="2" t="s">
        <v>442</v>
      </c>
      <c r="BX106" s="2" t="s">
        <v>503</v>
      </c>
      <c r="BY106" s="2" t="s">
        <v>112</v>
      </c>
      <c r="BZ106" s="2" t="s">
        <v>100</v>
      </c>
    </row>
    <row r="107">
      <c r="A107" s="2" t="s">
        <v>545</v>
      </c>
      <c r="B107" s="2" t="s">
        <v>87</v>
      </c>
      <c r="C107" s="2" t="s">
        <v>88</v>
      </c>
      <c r="D107" s="2" t="s">
        <v>417</v>
      </c>
      <c r="E107" s="2" t="s">
        <v>418</v>
      </c>
      <c r="F107" s="2" t="s">
        <v>419</v>
      </c>
      <c r="G107" s="2" t="s">
        <v>420</v>
      </c>
      <c r="H107" s="2" t="s">
        <v>421</v>
      </c>
      <c r="I107" s="2" t="s">
        <v>422</v>
      </c>
      <c r="J107" s="2" t="s">
        <v>114</v>
      </c>
      <c r="K107" s="2" t="s">
        <v>540</v>
      </c>
      <c r="L107" s="3">
        <v>64.25</v>
      </c>
      <c r="M107" s="3">
        <v>67.46</v>
      </c>
      <c r="N107" s="3">
        <v>129.99</v>
      </c>
      <c r="O107" s="2" t="s">
        <v>97</v>
      </c>
      <c r="P107" s="2" t="s">
        <v>141</v>
      </c>
      <c r="Q107" s="2" t="s">
        <v>99</v>
      </c>
      <c r="R107" s="2" t="s">
        <v>100</v>
      </c>
      <c r="S107" s="2" t="s">
        <v>531</v>
      </c>
      <c r="T107" s="2" t="s">
        <v>100</v>
      </c>
      <c r="U107" s="2" t="s">
        <v>432</v>
      </c>
      <c r="V107" s="2" t="s">
        <v>427</v>
      </c>
      <c r="W107" s="2" t="s">
        <v>104</v>
      </c>
      <c r="X107" s="2" t="s">
        <v>428</v>
      </c>
      <c r="Y107" s="2" t="s">
        <v>442</v>
      </c>
      <c r="Z107" s="4">
        <v>941</v>
      </c>
      <c r="AA107" s="4">
        <f>=ROUNDDOWN(40.9130434782609,0)</f>
      </c>
      <c r="AB107" s="5">
        <v>23</v>
      </c>
      <c r="AC107" s="2" t="s">
        <v>179</v>
      </c>
      <c r="AD107" s="4">
        <v>90</v>
      </c>
      <c r="AE107" s="4">
        <v>90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/>
      <c r="AP107" s="4">
        <v>2</v>
      </c>
      <c r="AQ107" s="8">
        <v>149.46</v>
      </c>
      <c r="AR107" s="4">
        <v>15</v>
      </c>
      <c r="AS107" s="8">
        <v>1120.95</v>
      </c>
      <c r="AT107" s="7">
        <v>-0.8667</v>
      </c>
      <c r="AU107" s="7">
        <v>-0.8667</v>
      </c>
      <c r="AV107" s="4" t="s">
        <v>100</v>
      </c>
      <c r="AW107" s="8" t="s">
        <v>100</v>
      </c>
      <c r="AX107" s="4" t="s">
        <v>100</v>
      </c>
      <c r="AY107" s="8" t="s">
        <v>100</v>
      </c>
      <c r="AZ107" s="7" t="s">
        <v>100</v>
      </c>
      <c r="BA107" s="7" t="s">
        <v>100</v>
      </c>
      <c r="BB107" s="7">
        <v>0.4643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 t="s">
        <v>100</v>
      </c>
      <c r="BJ107" s="4">
        <v>106</v>
      </c>
      <c r="BK107" s="8">
        <v>7045.56</v>
      </c>
      <c r="BL107" s="2" t="s">
        <v>494</v>
      </c>
      <c r="BM107" s="7">
        <v>0.0189</v>
      </c>
      <c r="BN107" s="7">
        <v>0.0212</v>
      </c>
      <c r="BO107" s="4">
        <v>2</v>
      </c>
      <c r="BP107" s="8">
        <v>149.46</v>
      </c>
      <c r="BQ107" s="4">
        <v>15</v>
      </c>
      <c r="BR107" s="8">
        <v>1120.95</v>
      </c>
      <c r="BS107" s="7">
        <v>-0.8667</v>
      </c>
      <c r="BT107" s="7">
        <v>-0.8667</v>
      </c>
      <c r="BU107" s="2" t="s">
        <v>109</v>
      </c>
      <c r="BV107" s="2" t="s">
        <v>97</v>
      </c>
      <c r="BW107" s="2" t="s">
        <v>442</v>
      </c>
      <c r="BX107" s="2" t="s">
        <v>546</v>
      </c>
      <c r="BY107" s="2" t="s">
        <v>112</v>
      </c>
      <c r="BZ107" s="2" t="s">
        <v>100</v>
      </c>
    </row>
    <row r="108">
      <c r="A108" s="2" t="s">
        <v>547</v>
      </c>
      <c r="B108" s="2" t="s">
        <v>87</v>
      </c>
      <c r="C108" s="2" t="s">
        <v>88</v>
      </c>
      <c r="D108" s="2" t="s">
        <v>417</v>
      </c>
      <c r="E108" s="2" t="s">
        <v>418</v>
      </c>
      <c r="F108" s="2" t="s">
        <v>419</v>
      </c>
      <c r="G108" s="2" t="s">
        <v>420</v>
      </c>
      <c r="H108" s="2" t="s">
        <v>421</v>
      </c>
      <c r="I108" s="2" t="s">
        <v>422</v>
      </c>
      <c r="J108" s="2" t="s">
        <v>95</v>
      </c>
      <c r="K108" s="2" t="s">
        <v>177</v>
      </c>
      <c r="L108" s="3">
        <v>49.5</v>
      </c>
      <c r="M108" s="3">
        <v>51.98</v>
      </c>
      <c r="N108" s="3">
        <v>99.99</v>
      </c>
      <c r="O108" s="2" t="s">
        <v>97</v>
      </c>
      <c r="P108" s="2" t="s">
        <v>141</v>
      </c>
      <c r="Q108" s="2" t="s">
        <v>99</v>
      </c>
      <c r="R108" s="2" t="s">
        <v>100</v>
      </c>
      <c r="S108" s="2" t="s">
        <v>548</v>
      </c>
      <c r="T108" s="2" t="s">
        <v>100</v>
      </c>
      <c r="U108" s="2" t="s">
        <v>432</v>
      </c>
      <c r="V108" s="2" t="s">
        <v>427</v>
      </c>
      <c r="W108" s="2" t="s">
        <v>104</v>
      </c>
      <c r="X108" s="2" t="s">
        <v>428</v>
      </c>
      <c r="Y108" s="2" t="s">
        <v>549</v>
      </c>
      <c r="Z108" s="4">
        <v>380</v>
      </c>
      <c r="AA108" s="4">
        <f>=ROUNDDOWN(38,0)</f>
      </c>
      <c r="AB108" s="5">
        <v>10</v>
      </c>
      <c r="AC108" s="2" t="s">
        <v>446</v>
      </c>
      <c r="AD108" s="4">
        <v>90</v>
      </c>
      <c r="AE108" s="4">
        <v>90</v>
      </c>
      <c r="AF108" s="6">
        <v>65</v>
      </c>
      <c r="AG108" s="6">
        <v>48</v>
      </c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/>
      <c r="AP108" s="4">
        <v>3</v>
      </c>
      <c r="AQ108" s="8">
        <v>172.47</v>
      </c>
      <c r="AR108" s="4">
        <v>5</v>
      </c>
      <c r="AS108" s="8">
        <v>287.45</v>
      </c>
      <c r="AT108" s="7">
        <v>-0.4</v>
      </c>
      <c r="AU108" s="7">
        <v>-0.4</v>
      </c>
      <c r="AV108" s="4">
        <v>5</v>
      </c>
      <c r="AW108" s="8">
        <v>321.93</v>
      </c>
      <c r="AX108" s="4">
        <v>10</v>
      </c>
      <c r="AY108" s="8">
        <v>661.1</v>
      </c>
      <c r="AZ108" s="7">
        <v>-0.5</v>
      </c>
      <c r="BA108" s="7">
        <v>-0.513</v>
      </c>
      <c r="BB108" s="7">
        <v>0.5357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0.0236</v>
      </c>
      <c r="BJ108" s="4">
        <v>38</v>
      </c>
      <c r="BK108" s="8">
        <v>1963.12</v>
      </c>
      <c r="BL108" s="2" t="s">
        <v>550</v>
      </c>
      <c r="BM108" s="7">
        <v>0.0789</v>
      </c>
      <c r="BN108" s="7">
        <v>0.0879</v>
      </c>
      <c r="BO108" s="4">
        <v>3</v>
      </c>
      <c r="BP108" s="8">
        <v>172.47</v>
      </c>
      <c r="BQ108" s="4">
        <v>5</v>
      </c>
      <c r="BR108" s="8">
        <v>287.45</v>
      </c>
      <c r="BS108" s="7">
        <v>-0.4</v>
      </c>
      <c r="BT108" s="7">
        <v>-0.4</v>
      </c>
      <c r="BU108" s="2" t="s">
        <v>109</v>
      </c>
      <c r="BV108" s="2" t="s">
        <v>97</v>
      </c>
      <c r="BW108" s="2" t="s">
        <v>164</v>
      </c>
      <c r="BX108" s="2" t="s">
        <v>551</v>
      </c>
      <c r="BY108" s="2" t="s">
        <v>112</v>
      </c>
      <c r="BZ108" s="2" t="s">
        <v>100</v>
      </c>
    </row>
    <row r="109">
      <c r="A109" s="2" t="s">
        <v>552</v>
      </c>
      <c r="B109" s="2" t="s">
        <v>87</v>
      </c>
      <c r="C109" s="2" t="s">
        <v>88</v>
      </c>
      <c r="D109" s="2" t="s">
        <v>417</v>
      </c>
      <c r="E109" s="2" t="s">
        <v>418</v>
      </c>
      <c r="F109" s="2" t="s">
        <v>419</v>
      </c>
      <c r="G109" s="2" t="s">
        <v>420</v>
      </c>
      <c r="H109" s="2" t="s">
        <v>421</v>
      </c>
      <c r="I109" s="2" t="s">
        <v>422</v>
      </c>
      <c r="J109" s="2" t="s">
        <v>114</v>
      </c>
      <c r="K109" s="2" t="s">
        <v>177</v>
      </c>
      <c r="L109" s="3">
        <v>64.25</v>
      </c>
      <c r="M109" s="3">
        <v>67.46</v>
      </c>
      <c r="N109" s="3">
        <v>129.99</v>
      </c>
      <c r="O109" s="2" t="s">
        <v>97</v>
      </c>
      <c r="P109" s="2" t="s">
        <v>141</v>
      </c>
      <c r="Q109" s="2" t="s">
        <v>99</v>
      </c>
      <c r="R109" s="2" t="s">
        <v>100</v>
      </c>
      <c r="S109" s="2" t="s">
        <v>548</v>
      </c>
      <c r="T109" s="2" t="s">
        <v>100</v>
      </c>
      <c r="U109" s="2" t="s">
        <v>432</v>
      </c>
      <c r="V109" s="2" t="s">
        <v>427</v>
      </c>
      <c r="W109" s="2" t="s">
        <v>104</v>
      </c>
      <c r="X109" s="2" t="s">
        <v>428</v>
      </c>
      <c r="Y109" s="2" t="s">
        <v>129</v>
      </c>
      <c r="Z109" s="4">
        <v>349</v>
      </c>
      <c r="AA109" s="4">
        <f>=ROUNDDOWN(34.9,0)</f>
      </c>
      <c r="AB109" s="5">
        <v>10</v>
      </c>
      <c r="AC109" s="2" t="s">
        <v>184</v>
      </c>
      <c r="AD109" s="4">
        <v>20</v>
      </c>
      <c r="AE109" s="4">
        <v>230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/>
      <c r="AP109" s="4">
        <v>2</v>
      </c>
      <c r="AQ109" s="8">
        <v>149.46</v>
      </c>
      <c r="AR109" s="4">
        <v>5</v>
      </c>
      <c r="AS109" s="8">
        <v>373.65</v>
      </c>
      <c r="AT109" s="7">
        <v>-0.6</v>
      </c>
      <c r="AU109" s="7">
        <v>-0.6</v>
      </c>
      <c r="AV109" s="4" t="s">
        <v>100</v>
      </c>
      <c r="AW109" s="8" t="s">
        <v>100</v>
      </c>
      <c r="AX109" s="4" t="s">
        <v>100</v>
      </c>
      <c r="AY109" s="8" t="s">
        <v>100</v>
      </c>
      <c r="AZ109" s="7" t="s">
        <v>100</v>
      </c>
      <c r="BA109" s="7" t="s">
        <v>100</v>
      </c>
      <c r="BB109" s="7">
        <v>0.4643</v>
      </c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 t="s">
        <v>100</v>
      </c>
      <c r="BJ109" s="4">
        <v>46</v>
      </c>
      <c r="BK109" s="8">
        <v>3060.15</v>
      </c>
      <c r="BL109" s="2" t="s">
        <v>553</v>
      </c>
      <c r="BM109" s="7">
        <v>0.0435</v>
      </c>
      <c r="BN109" s="7">
        <v>0.0488</v>
      </c>
      <c r="BO109" s="4">
        <v>2</v>
      </c>
      <c r="BP109" s="8">
        <v>149.46</v>
      </c>
      <c r="BQ109" s="4">
        <v>5</v>
      </c>
      <c r="BR109" s="8">
        <v>373.65</v>
      </c>
      <c r="BS109" s="7">
        <v>-0.6</v>
      </c>
      <c r="BT109" s="7">
        <v>-0.6</v>
      </c>
      <c r="BU109" s="2" t="s">
        <v>109</v>
      </c>
      <c r="BV109" s="2" t="s">
        <v>97</v>
      </c>
      <c r="BW109" s="2" t="s">
        <v>164</v>
      </c>
      <c r="BX109" s="2" t="s">
        <v>554</v>
      </c>
      <c r="BY109" s="2" t="s">
        <v>112</v>
      </c>
      <c r="BZ109" s="2" t="s">
        <v>100</v>
      </c>
    </row>
    <row r="110">
      <c r="A110" s="2" t="s">
        <v>555</v>
      </c>
      <c r="B110" s="2" t="s">
        <v>87</v>
      </c>
      <c r="C110" s="2" t="s">
        <v>88</v>
      </c>
      <c r="D110" s="2" t="s">
        <v>417</v>
      </c>
      <c r="E110" s="2" t="s">
        <v>556</v>
      </c>
      <c r="F110" s="2" t="s">
        <v>91</v>
      </c>
      <c r="G110" s="2" t="s">
        <v>92</v>
      </c>
      <c r="H110" s="2" t="s">
        <v>93</v>
      </c>
      <c r="I110" s="2" t="s">
        <v>557</v>
      </c>
      <c r="J110" s="2" t="s">
        <v>558</v>
      </c>
      <c r="K110" s="2" t="s">
        <v>96</v>
      </c>
      <c r="L110" s="3">
        <v>51.83</v>
      </c>
      <c r="M110" s="3">
        <v>54.42</v>
      </c>
      <c r="N110" s="3">
        <v>109.99</v>
      </c>
      <c r="O110" s="2" t="s">
        <v>97</v>
      </c>
      <c r="P110" s="2" t="s">
        <v>126</v>
      </c>
      <c r="Q110" s="2" t="s">
        <v>99</v>
      </c>
      <c r="R110" s="2" t="s">
        <v>100</v>
      </c>
      <c r="S110" s="2" t="s">
        <v>101</v>
      </c>
      <c r="T110" s="2" t="s">
        <v>100</v>
      </c>
      <c r="U110" s="2" t="s">
        <v>559</v>
      </c>
      <c r="V110" s="2" t="s">
        <v>103</v>
      </c>
      <c r="W110" s="2" t="s">
        <v>104</v>
      </c>
      <c r="X110" s="2" t="s">
        <v>105</v>
      </c>
      <c r="Y110" s="2" t="s">
        <v>115</v>
      </c>
      <c r="Z110" s="4">
        <v>1379</v>
      </c>
      <c r="AA110" s="4">
        <f>=ROUNDDOWN(38.3055555555556,0)</f>
      </c>
      <c r="AB110" s="5">
        <v>36</v>
      </c>
      <c r="AC110" s="2" t="s">
        <v>116</v>
      </c>
      <c r="AD110" s="4">
        <v>300</v>
      </c>
      <c r="AE110" s="4">
        <v>570</v>
      </c>
      <c r="AF110" s="6">
        <v>66</v>
      </c>
      <c r="AG110" s="6">
        <v>49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/>
      <c r="AP110" s="4">
        <v>36</v>
      </c>
      <c r="AQ110" s="8">
        <v>2360.52</v>
      </c>
      <c r="AR110" s="4">
        <v>7</v>
      </c>
      <c r="AS110" s="8">
        <v>458.99</v>
      </c>
      <c r="AT110" s="7">
        <v>4.1429</v>
      </c>
      <c r="AU110" s="7">
        <v>4.1429</v>
      </c>
      <c r="AV110" s="4">
        <v>64</v>
      </c>
      <c r="AW110" s="8">
        <v>4363.36</v>
      </c>
      <c r="AX110" s="4">
        <v>18</v>
      </c>
      <c r="AY110" s="8">
        <v>1245.82</v>
      </c>
      <c r="AZ110" s="7">
        <v>2.5556</v>
      </c>
      <c r="BA110" s="7">
        <v>2.5024</v>
      </c>
      <c r="BB110" s="7">
        <v>0.541</v>
      </c>
      <c r="BC110" s="4">
        <v>89</v>
      </c>
      <c r="BD110" s="8">
        <v>6080.09</v>
      </c>
      <c r="BE110" s="4">
        <v>41</v>
      </c>
      <c r="BF110" s="8">
        <v>2873.13</v>
      </c>
      <c r="BG110" s="7">
        <v>1.1707</v>
      </c>
      <c r="BH110" s="7">
        <v>1.1162</v>
      </c>
      <c r="BI110" s="7">
        <v>0.7176</v>
      </c>
      <c r="BJ110" s="4">
        <v>129</v>
      </c>
      <c r="BK110" s="8">
        <v>7706.25</v>
      </c>
      <c r="BL110" s="2" t="s">
        <v>560</v>
      </c>
      <c r="BM110" s="7">
        <v>0.2791</v>
      </c>
      <c r="BN110" s="7">
        <v>0.3063</v>
      </c>
      <c r="BO110" s="4">
        <v>36</v>
      </c>
      <c r="BP110" s="8">
        <v>2360.52</v>
      </c>
      <c r="BQ110" s="4">
        <v>7</v>
      </c>
      <c r="BR110" s="8">
        <v>458.99</v>
      </c>
      <c r="BS110" s="7">
        <v>4.1429</v>
      </c>
      <c r="BT110" s="7">
        <v>4.1429</v>
      </c>
      <c r="BU110" s="2" t="s">
        <v>109</v>
      </c>
      <c r="BV110" s="2" t="s">
        <v>97</v>
      </c>
      <c r="BW110" s="2" t="s">
        <v>115</v>
      </c>
      <c r="BX110" s="2" t="s">
        <v>561</v>
      </c>
      <c r="BY110" s="2" t="s">
        <v>112</v>
      </c>
      <c r="BZ110" s="2" t="s">
        <v>100</v>
      </c>
    </row>
    <row r="111">
      <c r="A111" s="2" t="s">
        <v>562</v>
      </c>
      <c r="B111" s="2" t="s">
        <v>87</v>
      </c>
      <c r="C111" s="2" t="s">
        <v>88</v>
      </c>
      <c r="D111" s="2" t="s">
        <v>417</v>
      </c>
      <c r="E111" s="2" t="s">
        <v>556</v>
      </c>
      <c r="F111" s="2" t="s">
        <v>91</v>
      </c>
      <c r="G111" s="2" t="s">
        <v>92</v>
      </c>
      <c r="H111" s="2" t="s">
        <v>93</v>
      </c>
      <c r="I111" s="2" t="s">
        <v>557</v>
      </c>
      <c r="J111" s="2" t="s">
        <v>563</v>
      </c>
      <c r="K111" s="2" t="s">
        <v>96</v>
      </c>
      <c r="L111" s="3">
        <v>57.32</v>
      </c>
      <c r="M111" s="3">
        <v>60.19</v>
      </c>
      <c r="N111" s="3">
        <v>119.99</v>
      </c>
      <c r="O111" s="2" t="s">
        <v>97</v>
      </c>
      <c r="P111" s="2" t="s">
        <v>126</v>
      </c>
      <c r="Q111" s="2" t="s">
        <v>99</v>
      </c>
      <c r="R111" s="2" t="s">
        <v>100</v>
      </c>
      <c r="S111" s="2" t="s">
        <v>101</v>
      </c>
      <c r="T111" s="2" t="s">
        <v>100</v>
      </c>
      <c r="U111" s="2" t="s">
        <v>559</v>
      </c>
      <c r="V111" s="2" t="s">
        <v>103</v>
      </c>
      <c r="W111" s="2" t="s">
        <v>104</v>
      </c>
      <c r="X111" s="2" t="s">
        <v>105</v>
      </c>
      <c r="Y111" s="2" t="s">
        <v>115</v>
      </c>
      <c r="Z111" s="4">
        <v>1957</v>
      </c>
      <c r="AA111" s="4">
        <f>=ROUNDDOWN(35.5818181818182,0)</f>
      </c>
      <c r="AB111" s="5">
        <v>55</v>
      </c>
      <c r="AC111" s="2" t="s">
        <v>116</v>
      </c>
      <c r="AD111" s="4">
        <v>600</v>
      </c>
      <c r="AE111" s="4">
        <v>930</v>
      </c>
      <c r="AF111" s="6">
        <v>66</v>
      </c>
      <c r="AG111" s="6">
        <v>49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28</v>
      </c>
      <c r="AQ111" s="8">
        <v>2002.84</v>
      </c>
      <c r="AR111" s="4">
        <v>11</v>
      </c>
      <c r="AS111" s="8">
        <v>786.83</v>
      </c>
      <c r="AT111" s="7">
        <v>1.5455</v>
      </c>
      <c r="AU111" s="7">
        <v>1.5455</v>
      </c>
      <c r="AV111" s="4" t="s">
        <v>100</v>
      </c>
      <c r="AW111" s="8" t="s">
        <v>100</v>
      </c>
      <c r="AX111" s="4" t="s">
        <v>100</v>
      </c>
      <c r="AY111" s="8" t="s">
        <v>100</v>
      </c>
      <c r="AZ111" s="7" t="s">
        <v>100</v>
      </c>
      <c r="BA111" s="7" t="s">
        <v>100</v>
      </c>
      <c r="BB111" s="7">
        <v>0.459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 t="s">
        <v>100</v>
      </c>
      <c r="BJ111" s="4">
        <v>184</v>
      </c>
      <c r="BK111" s="8">
        <v>11853.85</v>
      </c>
      <c r="BL111" s="2" t="s">
        <v>564</v>
      </c>
      <c r="BM111" s="7">
        <v>0.1522</v>
      </c>
      <c r="BN111" s="7">
        <v>0.169</v>
      </c>
      <c r="BO111" s="4">
        <v>28</v>
      </c>
      <c r="BP111" s="8">
        <v>2002.84</v>
      </c>
      <c r="BQ111" s="4">
        <v>11</v>
      </c>
      <c r="BR111" s="8">
        <v>786.83</v>
      </c>
      <c r="BS111" s="7">
        <v>1.5455</v>
      </c>
      <c r="BT111" s="7">
        <v>1.5455</v>
      </c>
      <c r="BU111" s="2" t="s">
        <v>109</v>
      </c>
      <c r="BV111" s="2" t="s">
        <v>97</v>
      </c>
      <c r="BW111" s="2" t="s">
        <v>115</v>
      </c>
      <c r="BX111" s="2" t="s">
        <v>561</v>
      </c>
      <c r="BY111" s="2" t="s">
        <v>112</v>
      </c>
      <c r="BZ111" s="2" t="s">
        <v>100</v>
      </c>
    </row>
    <row r="112">
      <c r="A112" s="2" t="s">
        <v>565</v>
      </c>
      <c r="B112" s="2" t="s">
        <v>87</v>
      </c>
      <c r="C112" s="2" t="s">
        <v>88</v>
      </c>
      <c r="D112" s="2" t="s">
        <v>417</v>
      </c>
      <c r="E112" s="2" t="s">
        <v>556</v>
      </c>
      <c r="F112" s="2" t="s">
        <v>91</v>
      </c>
      <c r="G112" s="2" t="s">
        <v>92</v>
      </c>
      <c r="H112" s="2" t="s">
        <v>93</v>
      </c>
      <c r="I112" s="2" t="s">
        <v>557</v>
      </c>
      <c r="J112" s="2" t="s">
        <v>558</v>
      </c>
      <c r="K112" s="2" t="s">
        <v>125</v>
      </c>
      <c r="L112" s="3">
        <v>51.83</v>
      </c>
      <c r="M112" s="3">
        <v>54.42</v>
      </c>
      <c r="N112" s="3">
        <v>109.99</v>
      </c>
      <c r="O112" s="2" t="s">
        <v>97</v>
      </c>
      <c r="P112" s="2" t="s">
        <v>141</v>
      </c>
      <c r="Q112" s="2" t="s">
        <v>99</v>
      </c>
      <c r="R112" s="2" t="s">
        <v>100</v>
      </c>
      <c r="S112" s="2" t="s">
        <v>127</v>
      </c>
      <c r="T112" s="2" t="s">
        <v>100</v>
      </c>
      <c r="U112" s="2" t="s">
        <v>559</v>
      </c>
      <c r="V112" s="2" t="s">
        <v>103</v>
      </c>
      <c r="W112" s="2" t="s">
        <v>104</v>
      </c>
      <c r="X112" s="2" t="s">
        <v>128</v>
      </c>
      <c r="Y112" s="2" t="s">
        <v>566</v>
      </c>
      <c r="Z112" s="4">
        <v>1149</v>
      </c>
      <c r="AA112" s="4">
        <f>=ROUNDDOWN(57.45,0)</f>
      </c>
      <c r="AB112" s="5">
        <v>20</v>
      </c>
      <c r="AC112" s="2" t="s">
        <v>100</v>
      </c>
      <c r="AD112" s="4"/>
      <c r="AE112" s="4"/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/>
      <c r="AP112" s="4">
        <v>12</v>
      </c>
      <c r="AQ112" s="8">
        <v>786.84</v>
      </c>
      <c r="AR112" s="4">
        <v>3</v>
      </c>
      <c r="AS112" s="8">
        <v>196.71</v>
      </c>
      <c r="AT112" s="7">
        <v>3</v>
      </c>
      <c r="AU112" s="7">
        <v>3</v>
      </c>
      <c r="AV112" s="4">
        <v>25</v>
      </c>
      <c r="AW112" s="8">
        <v>1716.73</v>
      </c>
      <c r="AX112" s="4">
        <v>23</v>
      </c>
      <c r="AY112" s="8">
        <v>1627.31</v>
      </c>
      <c r="AZ112" s="7">
        <v>0.087</v>
      </c>
      <c r="BA112" s="7">
        <v>0.0549</v>
      </c>
      <c r="BB112" s="7">
        <v>0.4583</v>
      </c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0.2824</v>
      </c>
      <c r="BJ112" s="4">
        <v>77</v>
      </c>
      <c r="BK112" s="8">
        <v>4448.8</v>
      </c>
      <c r="BL112" s="2" t="s">
        <v>567</v>
      </c>
      <c r="BM112" s="7">
        <v>0.1558</v>
      </c>
      <c r="BN112" s="7">
        <v>0.1769</v>
      </c>
      <c r="BO112" s="4">
        <v>12</v>
      </c>
      <c r="BP112" s="8">
        <v>786.84</v>
      </c>
      <c r="BQ112" s="4">
        <v>3</v>
      </c>
      <c r="BR112" s="8">
        <v>196.71</v>
      </c>
      <c r="BS112" s="7">
        <v>3</v>
      </c>
      <c r="BT112" s="7">
        <v>3</v>
      </c>
      <c r="BU112" s="2" t="s">
        <v>109</v>
      </c>
      <c r="BV112" s="2" t="s">
        <v>97</v>
      </c>
      <c r="BW112" s="2" t="s">
        <v>131</v>
      </c>
      <c r="BX112" s="2" t="s">
        <v>568</v>
      </c>
      <c r="BY112" s="2" t="s">
        <v>112</v>
      </c>
      <c r="BZ112" s="2" t="s">
        <v>100</v>
      </c>
    </row>
    <row r="113">
      <c r="A113" s="2" t="s">
        <v>569</v>
      </c>
      <c r="B113" s="2" t="s">
        <v>87</v>
      </c>
      <c r="C113" s="2" t="s">
        <v>88</v>
      </c>
      <c r="D113" s="2" t="s">
        <v>417</v>
      </c>
      <c r="E113" s="2" t="s">
        <v>556</v>
      </c>
      <c r="F113" s="2" t="s">
        <v>91</v>
      </c>
      <c r="G113" s="2" t="s">
        <v>92</v>
      </c>
      <c r="H113" s="2" t="s">
        <v>93</v>
      </c>
      <c r="I113" s="2" t="s">
        <v>557</v>
      </c>
      <c r="J113" s="2" t="s">
        <v>563</v>
      </c>
      <c r="K113" s="2" t="s">
        <v>125</v>
      </c>
      <c r="L113" s="3">
        <v>57.32</v>
      </c>
      <c r="M113" s="3">
        <v>60.19</v>
      </c>
      <c r="N113" s="3">
        <v>119.99</v>
      </c>
      <c r="O113" s="2" t="s">
        <v>97</v>
      </c>
      <c r="P113" s="2" t="s">
        <v>141</v>
      </c>
      <c r="Q113" s="2" t="s">
        <v>99</v>
      </c>
      <c r="R113" s="2" t="s">
        <v>100</v>
      </c>
      <c r="S113" s="2" t="s">
        <v>127</v>
      </c>
      <c r="T113" s="2" t="s">
        <v>100</v>
      </c>
      <c r="U113" s="2" t="s">
        <v>559</v>
      </c>
      <c r="V113" s="2" t="s">
        <v>103</v>
      </c>
      <c r="W113" s="2" t="s">
        <v>104</v>
      </c>
      <c r="X113" s="2" t="s">
        <v>128</v>
      </c>
      <c r="Y113" s="2" t="s">
        <v>566</v>
      </c>
      <c r="Z113" s="4">
        <v>1268</v>
      </c>
      <c r="AA113" s="4">
        <f>=ROUNDDOWN(40.9032258064516,0)</f>
      </c>
      <c r="AB113" s="5">
        <v>31</v>
      </c>
      <c r="AC113" s="2" t="s">
        <v>116</v>
      </c>
      <c r="AD113" s="4">
        <v>40</v>
      </c>
      <c r="AE113" s="4">
        <v>40</v>
      </c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/>
      <c r="AP113" s="4">
        <v>13</v>
      </c>
      <c r="AQ113" s="8">
        <v>929.89</v>
      </c>
      <c r="AR113" s="4">
        <v>20</v>
      </c>
      <c r="AS113" s="8">
        <v>1430.6</v>
      </c>
      <c r="AT113" s="7">
        <v>-0.35</v>
      </c>
      <c r="AU113" s="7">
        <v>-0.35</v>
      </c>
      <c r="AV113" s="4" t="s">
        <v>100</v>
      </c>
      <c r="AW113" s="8" t="s">
        <v>100</v>
      </c>
      <c r="AX113" s="4" t="s">
        <v>100</v>
      </c>
      <c r="AY113" s="8" t="s">
        <v>100</v>
      </c>
      <c r="AZ113" s="7" t="s">
        <v>100</v>
      </c>
      <c r="BA113" s="7" t="s">
        <v>100</v>
      </c>
      <c r="BB113" s="7">
        <v>0.5417</v>
      </c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 t="s">
        <v>100</v>
      </c>
      <c r="BJ113" s="4">
        <v>166</v>
      </c>
      <c r="BK113" s="8">
        <v>10918.11</v>
      </c>
      <c r="BL113" s="2" t="s">
        <v>570</v>
      </c>
      <c r="BM113" s="7">
        <v>0.0783</v>
      </c>
      <c r="BN113" s="7">
        <v>0.0852</v>
      </c>
      <c r="BO113" s="4">
        <v>13</v>
      </c>
      <c r="BP113" s="8">
        <v>929.89</v>
      </c>
      <c r="BQ113" s="4">
        <v>20</v>
      </c>
      <c r="BR113" s="8">
        <v>1430.6</v>
      </c>
      <c r="BS113" s="7">
        <v>-0.35</v>
      </c>
      <c r="BT113" s="7">
        <v>-0.35</v>
      </c>
      <c r="BU113" s="2" t="s">
        <v>109</v>
      </c>
      <c r="BV113" s="2" t="s">
        <v>97</v>
      </c>
      <c r="BW113" s="2" t="s">
        <v>131</v>
      </c>
      <c r="BX113" s="2" t="s">
        <v>568</v>
      </c>
      <c r="BY113" s="2" t="s">
        <v>112</v>
      </c>
      <c r="BZ113" s="2" t="s">
        <v>100</v>
      </c>
    </row>
    <row r="114">
      <c r="A114" s="2" t="s">
        <v>571</v>
      </c>
      <c r="B114" s="2" t="s">
        <v>87</v>
      </c>
      <c r="C114" s="2" t="s">
        <v>572</v>
      </c>
      <c r="D114" s="2" t="s">
        <v>89</v>
      </c>
      <c r="E114" s="2" t="s">
        <v>90</v>
      </c>
      <c r="F114" s="2" t="s">
        <v>573</v>
      </c>
      <c r="G114" s="2" t="s">
        <v>573</v>
      </c>
      <c r="H114" s="2" t="s">
        <v>573</v>
      </c>
      <c r="I114" s="2" t="s">
        <v>574</v>
      </c>
      <c r="J114" s="2" t="s">
        <v>95</v>
      </c>
      <c r="K114" s="2" t="s">
        <v>575</v>
      </c>
      <c r="L114" s="3">
        <v>165</v>
      </c>
      <c r="M114" s="3">
        <v>173.24</v>
      </c>
      <c r="N114" s="3">
        <v>329.99</v>
      </c>
      <c r="O114" s="2" t="s">
        <v>97</v>
      </c>
      <c r="P114" s="2" t="s">
        <v>576</v>
      </c>
      <c r="Q114" s="2" t="s">
        <v>99</v>
      </c>
      <c r="R114" s="2" t="s">
        <v>100</v>
      </c>
      <c r="S114" s="2" t="s">
        <v>577</v>
      </c>
      <c r="T114" s="2" t="s">
        <v>263</v>
      </c>
      <c r="U114" s="2" t="s">
        <v>290</v>
      </c>
      <c r="V114" s="2" t="s">
        <v>103</v>
      </c>
      <c r="W114" s="2" t="s">
        <v>578</v>
      </c>
      <c r="X114" s="2" t="s">
        <v>428</v>
      </c>
      <c r="Y114" s="2" t="s">
        <v>579</v>
      </c>
      <c r="Z114" s="4">
        <v>803</v>
      </c>
      <c r="AA114" s="4">
        <f>=ROUNDDOWN(23.6176470588235,0)</f>
      </c>
      <c r="AB114" s="5">
        <v>34</v>
      </c>
      <c r="AC114" s="2" t="s">
        <v>195</v>
      </c>
      <c r="AD114" s="4">
        <v>100</v>
      </c>
      <c r="AE114" s="4">
        <v>380</v>
      </c>
      <c r="AF114" s="6">
        <v>67</v>
      </c>
      <c r="AG114" s="6">
        <v>50</v>
      </c>
      <c r="AH114" s="7">
        <v>1</v>
      </c>
      <c r="AI114" s="4"/>
      <c r="AJ114" s="4">
        <f>=ROUNDDOWN({0},0)</f>
      </c>
      <c r="AK114" s="5">
        <v>20.7</v>
      </c>
      <c r="AL114" s="2" t="s">
        <v>303</v>
      </c>
      <c r="AM114" s="4">
        <v>150</v>
      </c>
      <c r="AN114" s="4">
        <v>150</v>
      </c>
      <c r="AO114" s="7">
        <v>1</v>
      </c>
      <c r="AP114" s="4">
        <v>45</v>
      </c>
      <c r="AQ114" s="8">
        <v>8381.7</v>
      </c>
      <c r="AR114" s="4">
        <v>83</v>
      </c>
      <c r="AS114" s="8">
        <v>15459.58</v>
      </c>
      <c r="AT114" s="7">
        <v>-0.4578</v>
      </c>
      <c r="AU114" s="7">
        <v>-0.4578</v>
      </c>
      <c r="AV114" s="4">
        <v>123</v>
      </c>
      <c r="AW114" s="8">
        <v>25331.1</v>
      </c>
      <c r="AX114" s="4">
        <v>218</v>
      </c>
      <c r="AY114" s="8">
        <v>44795.08</v>
      </c>
      <c r="AZ114" s="7">
        <v>-0.4358</v>
      </c>
      <c r="BA114" s="7">
        <v>-0.4345</v>
      </c>
      <c r="BB114" s="7">
        <v>0.3309</v>
      </c>
      <c r="BC114" s="4">
        <v>262</v>
      </c>
      <c r="BD114" s="8">
        <v>53969.09</v>
      </c>
      <c r="BE114" s="4">
        <v>281</v>
      </c>
      <c r="BF114" s="8">
        <v>57833.14</v>
      </c>
      <c r="BG114" s="7">
        <v>-0.0676</v>
      </c>
      <c r="BH114" s="7">
        <v>-0.0668</v>
      </c>
      <c r="BI114" s="7">
        <v>0.4694</v>
      </c>
      <c r="BJ114" s="4">
        <v>206</v>
      </c>
      <c r="BK114" s="8">
        <v>32605.87</v>
      </c>
      <c r="BL114" s="2" t="s">
        <v>580</v>
      </c>
      <c r="BM114" s="7">
        <v>0.2184</v>
      </c>
      <c r="BN114" s="7">
        <v>0.2571</v>
      </c>
      <c r="BO114" s="4">
        <v>45</v>
      </c>
      <c r="BP114" s="8">
        <v>8381.7</v>
      </c>
      <c r="BQ114" s="4">
        <v>83</v>
      </c>
      <c r="BR114" s="8">
        <v>15459.58</v>
      </c>
      <c r="BS114" s="7">
        <v>-0.4578</v>
      </c>
      <c r="BT114" s="7">
        <v>-0.4578</v>
      </c>
      <c r="BU114" s="2" t="s">
        <v>109</v>
      </c>
      <c r="BV114" s="2" t="s">
        <v>97</v>
      </c>
      <c r="BW114" s="2" t="s">
        <v>581</v>
      </c>
      <c r="BX114" s="2" t="s">
        <v>582</v>
      </c>
      <c r="BY114" s="2" t="s">
        <v>112</v>
      </c>
      <c r="BZ114" s="2" t="s">
        <v>100</v>
      </c>
    </row>
    <row r="115">
      <c r="A115" s="2" t="s">
        <v>583</v>
      </c>
      <c r="B115" s="2" t="s">
        <v>87</v>
      </c>
      <c r="C115" s="2" t="s">
        <v>572</v>
      </c>
      <c r="D115" s="2" t="s">
        <v>89</v>
      </c>
      <c r="E115" s="2" t="s">
        <v>90</v>
      </c>
      <c r="F115" s="2" t="s">
        <v>573</v>
      </c>
      <c r="G115" s="2" t="s">
        <v>573</v>
      </c>
      <c r="H115" s="2" t="s">
        <v>573</v>
      </c>
      <c r="I115" s="2" t="s">
        <v>574</v>
      </c>
      <c r="J115" s="2" t="s">
        <v>114</v>
      </c>
      <c r="K115" s="2" t="s">
        <v>575</v>
      </c>
      <c r="L115" s="3">
        <v>190</v>
      </c>
      <c r="M115" s="3">
        <v>199.49</v>
      </c>
      <c r="N115" s="3">
        <v>379.99</v>
      </c>
      <c r="O115" s="2" t="s">
        <v>97</v>
      </c>
      <c r="P115" s="2" t="s">
        <v>576</v>
      </c>
      <c r="Q115" s="2" t="s">
        <v>99</v>
      </c>
      <c r="R115" s="2" t="s">
        <v>100</v>
      </c>
      <c r="S115" s="2" t="s">
        <v>577</v>
      </c>
      <c r="T115" s="2" t="s">
        <v>263</v>
      </c>
      <c r="U115" s="2" t="s">
        <v>584</v>
      </c>
      <c r="V115" s="2" t="s">
        <v>103</v>
      </c>
      <c r="W115" s="2" t="s">
        <v>578</v>
      </c>
      <c r="X115" s="2" t="s">
        <v>428</v>
      </c>
      <c r="Y115" s="2" t="s">
        <v>579</v>
      </c>
      <c r="Z115" s="4">
        <v>1269</v>
      </c>
      <c r="AA115" s="4">
        <f>=ROUNDDOWN(23.0727272727273,0)</f>
      </c>
      <c r="AB115" s="5">
        <v>55</v>
      </c>
      <c r="AC115" s="2" t="s">
        <v>184</v>
      </c>
      <c r="AD115" s="4">
        <v>100</v>
      </c>
      <c r="AE115" s="4">
        <v>850</v>
      </c>
      <c r="AF115" s="6">
        <v>67</v>
      </c>
      <c r="AG115" s="6">
        <v>50</v>
      </c>
      <c r="AH115" s="7">
        <v>1</v>
      </c>
      <c r="AI115" s="4"/>
      <c r="AJ115" s="4">
        <f>=ROUNDDOWN({0},0)</f>
      </c>
      <c r="AK115" s="5">
        <v>17.9</v>
      </c>
      <c r="AL115" s="2" t="s">
        <v>303</v>
      </c>
      <c r="AM115" s="4">
        <v>200</v>
      </c>
      <c r="AN115" s="4">
        <v>200</v>
      </c>
      <c r="AO115" s="7">
        <v>1</v>
      </c>
      <c r="AP115" s="4">
        <v>78</v>
      </c>
      <c r="AQ115" s="8">
        <v>16949.4</v>
      </c>
      <c r="AR115" s="4">
        <v>135</v>
      </c>
      <c r="AS115" s="8">
        <v>29335.5</v>
      </c>
      <c r="AT115" s="7">
        <v>-0.4222</v>
      </c>
      <c r="AU115" s="7">
        <v>-0.4222</v>
      </c>
      <c r="AV115" s="4" t="s">
        <v>100</v>
      </c>
      <c r="AW115" s="8" t="s">
        <v>100</v>
      </c>
      <c r="AX115" s="4" t="s">
        <v>100</v>
      </c>
      <c r="AY115" s="8" t="s">
        <v>100</v>
      </c>
      <c r="AZ115" s="7" t="s">
        <v>100</v>
      </c>
      <c r="BA115" s="7" t="s">
        <v>100</v>
      </c>
      <c r="BB115" s="7">
        <v>0.6691</v>
      </c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 t="s">
        <v>100</v>
      </c>
      <c r="BJ115" s="4">
        <v>269</v>
      </c>
      <c r="BK115" s="8">
        <v>54065.81</v>
      </c>
      <c r="BL115" s="2" t="s">
        <v>585</v>
      </c>
      <c r="BM115" s="7">
        <v>0.29</v>
      </c>
      <c r="BN115" s="7">
        <v>0.3135</v>
      </c>
      <c r="BO115" s="4">
        <v>78</v>
      </c>
      <c r="BP115" s="8">
        <v>16949.4</v>
      </c>
      <c r="BQ115" s="4">
        <v>135</v>
      </c>
      <c r="BR115" s="8">
        <v>29335.5</v>
      </c>
      <c r="BS115" s="7">
        <v>-0.4222</v>
      </c>
      <c r="BT115" s="7">
        <v>-0.4222</v>
      </c>
      <c r="BU115" s="2" t="s">
        <v>109</v>
      </c>
      <c r="BV115" s="2" t="s">
        <v>97</v>
      </c>
      <c r="BW115" s="2" t="s">
        <v>581</v>
      </c>
      <c r="BX115" s="2" t="s">
        <v>586</v>
      </c>
      <c r="BY115" s="2" t="s">
        <v>112</v>
      </c>
      <c r="BZ115" s="2" t="s">
        <v>100</v>
      </c>
    </row>
    <row r="116">
      <c r="A116" s="2" t="s">
        <v>587</v>
      </c>
      <c r="B116" s="2" t="s">
        <v>87</v>
      </c>
      <c r="C116" s="2" t="s">
        <v>572</v>
      </c>
      <c r="D116" s="2" t="s">
        <v>89</v>
      </c>
      <c r="E116" s="2" t="s">
        <v>90</v>
      </c>
      <c r="F116" s="2" t="s">
        <v>573</v>
      </c>
      <c r="G116" s="2" t="s">
        <v>573</v>
      </c>
      <c r="H116" s="2" t="s">
        <v>573</v>
      </c>
      <c r="I116" s="2" t="s">
        <v>574</v>
      </c>
      <c r="J116" s="2" t="s">
        <v>95</v>
      </c>
      <c r="K116" s="2" t="s">
        <v>588</v>
      </c>
      <c r="L116" s="3">
        <v>165</v>
      </c>
      <c r="M116" s="3">
        <v>173.24</v>
      </c>
      <c r="N116" s="3">
        <v>329.99</v>
      </c>
      <c r="O116" s="2" t="s">
        <v>97</v>
      </c>
      <c r="P116" s="2" t="s">
        <v>576</v>
      </c>
      <c r="Q116" s="2" t="s">
        <v>99</v>
      </c>
      <c r="R116" s="2" t="s">
        <v>100</v>
      </c>
      <c r="S116" s="2" t="s">
        <v>589</v>
      </c>
      <c r="T116" s="2" t="s">
        <v>263</v>
      </c>
      <c r="U116" s="2" t="s">
        <v>290</v>
      </c>
      <c r="V116" s="2" t="s">
        <v>103</v>
      </c>
      <c r="W116" s="2" t="s">
        <v>590</v>
      </c>
      <c r="X116" s="2" t="s">
        <v>428</v>
      </c>
      <c r="Y116" s="2" t="s">
        <v>591</v>
      </c>
      <c r="Z116" s="4">
        <v>1015</v>
      </c>
      <c r="AA116" s="4">
        <f>=ROUNDDOWN(21.1458333333333,0)</f>
      </c>
      <c r="AB116" s="5">
        <v>48</v>
      </c>
      <c r="AC116" s="2" t="s">
        <v>592</v>
      </c>
      <c r="AD116" s="4">
        <v>55</v>
      </c>
      <c r="AE116" s="4">
        <v>905</v>
      </c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37</v>
      </c>
      <c r="AQ116" s="8">
        <v>6891.62</v>
      </c>
      <c r="AR116" s="4">
        <v>21</v>
      </c>
      <c r="AS116" s="8">
        <v>3911.46</v>
      </c>
      <c r="AT116" s="7">
        <v>0.7619</v>
      </c>
      <c r="AU116" s="7">
        <v>0.7619</v>
      </c>
      <c r="AV116" s="4">
        <v>111</v>
      </c>
      <c r="AW116" s="8">
        <v>22971.82</v>
      </c>
      <c r="AX116" s="4">
        <v>63</v>
      </c>
      <c r="AY116" s="8">
        <v>13038.06</v>
      </c>
      <c r="AZ116" s="7">
        <v>0.7619</v>
      </c>
      <c r="BA116" s="7">
        <v>0.7619</v>
      </c>
      <c r="BB116" s="7">
        <v>0.3</v>
      </c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>
        <v>0.4256</v>
      </c>
      <c r="BJ116" s="4">
        <v>152</v>
      </c>
      <c r="BK116" s="8">
        <v>26781.32</v>
      </c>
      <c r="BL116" s="2" t="s">
        <v>593</v>
      </c>
      <c r="BM116" s="7">
        <v>0.2434</v>
      </c>
      <c r="BN116" s="7">
        <v>0.2573</v>
      </c>
      <c r="BO116" s="4">
        <v>37</v>
      </c>
      <c r="BP116" s="8">
        <v>6891.62</v>
      </c>
      <c r="BQ116" s="4">
        <v>21</v>
      </c>
      <c r="BR116" s="8">
        <v>3911.46</v>
      </c>
      <c r="BS116" s="7">
        <v>0.7619</v>
      </c>
      <c r="BT116" s="7">
        <v>0.7619</v>
      </c>
      <c r="BU116" s="2" t="s">
        <v>109</v>
      </c>
      <c r="BV116" s="2" t="s">
        <v>97</v>
      </c>
      <c r="BW116" s="2" t="s">
        <v>594</v>
      </c>
      <c r="BX116" s="2" t="s">
        <v>595</v>
      </c>
      <c r="BY116" s="2" t="s">
        <v>112</v>
      </c>
      <c r="BZ116" s="2" t="s">
        <v>100</v>
      </c>
    </row>
    <row r="117">
      <c r="A117" s="2" t="s">
        <v>596</v>
      </c>
      <c r="B117" s="2" t="s">
        <v>87</v>
      </c>
      <c r="C117" s="2" t="s">
        <v>572</v>
      </c>
      <c r="D117" s="2" t="s">
        <v>89</v>
      </c>
      <c r="E117" s="2" t="s">
        <v>90</v>
      </c>
      <c r="F117" s="2" t="s">
        <v>573</v>
      </c>
      <c r="G117" s="2" t="s">
        <v>573</v>
      </c>
      <c r="H117" s="2" t="s">
        <v>573</v>
      </c>
      <c r="I117" s="2" t="s">
        <v>574</v>
      </c>
      <c r="J117" s="2" t="s">
        <v>114</v>
      </c>
      <c r="K117" s="2" t="s">
        <v>588</v>
      </c>
      <c r="L117" s="3">
        <v>190</v>
      </c>
      <c r="M117" s="3">
        <v>199.49</v>
      </c>
      <c r="N117" s="3">
        <v>379.99</v>
      </c>
      <c r="O117" s="2" t="s">
        <v>97</v>
      </c>
      <c r="P117" s="2" t="s">
        <v>576</v>
      </c>
      <c r="Q117" s="2" t="s">
        <v>99</v>
      </c>
      <c r="R117" s="2" t="s">
        <v>100</v>
      </c>
      <c r="S117" s="2" t="s">
        <v>589</v>
      </c>
      <c r="T117" s="2" t="s">
        <v>263</v>
      </c>
      <c r="U117" s="2" t="s">
        <v>584</v>
      </c>
      <c r="V117" s="2" t="s">
        <v>103</v>
      </c>
      <c r="W117" s="2" t="s">
        <v>590</v>
      </c>
      <c r="X117" s="2" t="s">
        <v>428</v>
      </c>
      <c r="Y117" s="2" t="s">
        <v>591</v>
      </c>
      <c r="Z117" s="4">
        <v>1046</v>
      </c>
      <c r="AA117" s="4">
        <f>=ROUNDDOWN(13.075,0)</f>
      </c>
      <c r="AB117" s="5">
        <v>80</v>
      </c>
      <c r="AC117" s="2" t="s">
        <v>597</v>
      </c>
      <c r="AD117" s="4">
        <v>350</v>
      </c>
      <c r="AE117" s="4">
        <v>2170</v>
      </c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74</v>
      </c>
      <c r="AQ117" s="8">
        <v>16080.2</v>
      </c>
      <c r="AR117" s="4">
        <v>42</v>
      </c>
      <c r="AS117" s="8">
        <v>9126.6</v>
      </c>
      <c r="AT117" s="7">
        <v>0.7619</v>
      </c>
      <c r="AU117" s="7">
        <v>0.7619</v>
      </c>
      <c r="AV117" s="4" t="s">
        <v>100</v>
      </c>
      <c r="AW117" s="8" t="s">
        <v>100</v>
      </c>
      <c r="AX117" s="4" t="s">
        <v>100</v>
      </c>
      <c r="AY117" s="8" t="s">
        <v>100</v>
      </c>
      <c r="AZ117" s="7" t="s">
        <v>100</v>
      </c>
      <c r="BA117" s="7" t="s">
        <v>100</v>
      </c>
      <c r="BB117" s="7">
        <v>0.7</v>
      </c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 t="s">
        <v>100</v>
      </c>
      <c r="BJ117" s="4">
        <v>419</v>
      </c>
      <c r="BK117" s="8">
        <v>86978.2</v>
      </c>
      <c r="BL117" s="2" t="s">
        <v>598</v>
      </c>
      <c r="BM117" s="7">
        <v>0.1766</v>
      </c>
      <c r="BN117" s="7">
        <v>0.1849</v>
      </c>
      <c r="BO117" s="4">
        <v>74</v>
      </c>
      <c r="BP117" s="8">
        <v>16080.2</v>
      </c>
      <c r="BQ117" s="4">
        <v>42</v>
      </c>
      <c r="BR117" s="8">
        <v>9126.6</v>
      </c>
      <c r="BS117" s="7">
        <v>0.7619</v>
      </c>
      <c r="BT117" s="7">
        <v>0.7619</v>
      </c>
      <c r="BU117" s="2" t="s">
        <v>109</v>
      </c>
      <c r="BV117" s="2" t="s">
        <v>97</v>
      </c>
      <c r="BW117" s="2" t="s">
        <v>594</v>
      </c>
      <c r="BX117" s="2" t="s">
        <v>599</v>
      </c>
      <c r="BY117" s="2" t="s">
        <v>112</v>
      </c>
      <c r="BZ117" s="2" t="s">
        <v>100</v>
      </c>
    </row>
    <row r="118">
      <c r="A118" s="2" t="s">
        <v>600</v>
      </c>
      <c r="B118" s="2" t="s">
        <v>87</v>
      </c>
      <c r="C118" s="2" t="s">
        <v>572</v>
      </c>
      <c r="D118" s="2" t="s">
        <v>89</v>
      </c>
      <c r="E118" s="2" t="s">
        <v>90</v>
      </c>
      <c r="F118" s="2" t="s">
        <v>573</v>
      </c>
      <c r="G118" s="2" t="s">
        <v>573</v>
      </c>
      <c r="H118" s="2" t="s">
        <v>573</v>
      </c>
      <c r="I118" s="2" t="s">
        <v>574</v>
      </c>
      <c r="J118" s="2" t="s">
        <v>95</v>
      </c>
      <c r="K118" s="2" t="s">
        <v>216</v>
      </c>
      <c r="L118" s="3">
        <v>165</v>
      </c>
      <c r="M118" s="3">
        <v>173.24</v>
      </c>
      <c r="N118" s="3">
        <v>329.99</v>
      </c>
      <c r="O118" s="2" t="s">
        <v>97</v>
      </c>
      <c r="P118" s="2" t="s">
        <v>126</v>
      </c>
      <c r="Q118" s="2" t="s">
        <v>99</v>
      </c>
      <c r="R118" s="2" t="s">
        <v>100</v>
      </c>
      <c r="S118" s="2" t="s">
        <v>601</v>
      </c>
      <c r="T118" s="2" t="s">
        <v>263</v>
      </c>
      <c r="U118" s="2" t="s">
        <v>290</v>
      </c>
      <c r="V118" s="2" t="s">
        <v>103</v>
      </c>
      <c r="W118" s="2" t="s">
        <v>590</v>
      </c>
      <c r="X118" s="2" t="s">
        <v>428</v>
      </c>
      <c r="Y118" s="2" t="s">
        <v>602</v>
      </c>
      <c r="Z118" s="4">
        <v>134</v>
      </c>
      <c r="AA118" s="4">
        <f>=ROUNDDOWN(4.32258064516129,0)</f>
      </c>
      <c r="AB118" s="5">
        <v>31</v>
      </c>
      <c r="AC118" s="2" t="s">
        <v>603</v>
      </c>
      <c r="AD118" s="4">
        <v>330</v>
      </c>
      <c r="AE118" s="4">
        <v>780</v>
      </c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/>
      <c r="AP118" s="4">
        <v>13</v>
      </c>
      <c r="AQ118" s="8">
        <v>2432.43</v>
      </c>
      <c r="AR118" s="4"/>
      <c r="AS118" s="8"/>
      <c r="AT118" s="7"/>
      <c r="AU118" s="7"/>
      <c r="AV118" s="4">
        <v>28</v>
      </c>
      <c r="AW118" s="8">
        <v>5666.17</v>
      </c>
      <c r="AX118" s="4" t="s">
        <v>100</v>
      </c>
      <c r="AY118" s="8" t="s">
        <v>100</v>
      </c>
      <c r="AZ118" s="7" t="s">
        <v>100</v>
      </c>
      <c r="BA118" s="7" t="s">
        <v>100</v>
      </c>
      <c r="BB118" s="7">
        <v>0.4293</v>
      </c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>
        <v>0.105</v>
      </c>
      <c r="BJ118" s="4">
        <v>102</v>
      </c>
      <c r="BK118" s="8">
        <v>17823.81</v>
      </c>
      <c r="BL118" s="2" t="s">
        <v>604</v>
      </c>
      <c r="BM118" s="7">
        <v>0.1275</v>
      </c>
      <c r="BN118" s="7">
        <v>0.1365</v>
      </c>
      <c r="BO118" s="4">
        <v>13</v>
      </c>
      <c r="BP118" s="8">
        <v>2432.43</v>
      </c>
      <c r="BQ118" s="4"/>
      <c r="BR118" s="8"/>
      <c r="BS118" s="7"/>
      <c r="BT118" s="7"/>
      <c r="BU118" s="2" t="s">
        <v>109</v>
      </c>
      <c r="BV118" s="2" t="s">
        <v>97</v>
      </c>
      <c r="BW118" s="2" t="s">
        <v>605</v>
      </c>
      <c r="BX118" s="2" t="s">
        <v>606</v>
      </c>
      <c r="BY118" s="2" t="s">
        <v>112</v>
      </c>
      <c r="BZ118" s="2" t="s">
        <v>100</v>
      </c>
    </row>
    <row r="119">
      <c r="A119" s="2" t="s">
        <v>607</v>
      </c>
      <c r="B119" s="2" t="s">
        <v>87</v>
      </c>
      <c r="C119" s="2" t="s">
        <v>572</v>
      </c>
      <c r="D119" s="2" t="s">
        <v>89</v>
      </c>
      <c r="E119" s="2" t="s">
        <v>90</v>
      </c>
      <c r="F119" s="2" t="s">
        <v>573</v>
      </c>
      <c r="G119" s="2" t="s">
        <v>573</v>
      </c>
      <c r="H119" s="2" t="s">
        <v>573</v>
      </c>
      <c r="I119" s="2" t="s">
        <v>574</v>
      </c>
      <c r="J119" s="2" t="s">
        <v>114</v>
      </c>
      <c r="K119" s="2" t="s">
        <v>216</v>
      </c>
      <c r="L119" s="3">
        <v>190</v>
      </c>
      <c r="M119" s="3">
        <v>199.49</v>
      </c>
      <c r="N119" s="3">
        <v>379.99</v>
      </c>
      <c r="O119" s="2" t="s">
        <v>97</v>
      </c>
      <c r="P119" s="2" t="s">
        <v>126</v>
      </c>
      <c r="Q119" s="2" t="s">
        <v>99</v>
      </c>
      <c r="R119" s="2" t="s">
        <v>100</v>
      </c>
      <c r="S119" s="2" t="s">
        <v>601</v>
      </c>
      <c r="T119" s="2" t="s">
        <v>263</v>
      </c>
      <c r="U119" s="2" t="s">
        <v>584</v>
      </c>
      <c r="V119" s="2" t="s">
        <v>103</v>
      </c>
      <c r="W119" s="2" t="s">
        <v>590</v>
      </c>
      <c r="X119" s="2" t="s">
        <v>428</v>
      </c>
      <c r="Y119" s="2" t="s">
        <v>602</v>
      </c>
      <c r="Z119" s="4">
        <v>189</v>
      </c>
      <c r="AA119" s="4">
        <f>=ROUNDDOWN(4.725,0)</f>
      </c>
      <c r="AB119" s="5">
        <v>40</v>
      </c>
      <c r="AC119" s="2" t="s">
        <v>603</v>
      </c>
      <c r="AD119" s="4">
        <v>570</v>
      </c>
      <c r="AE119" s="4">
        <v>1060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/>
      <c r="AP119" s="4">
        <v>15</v>
      </c>
      <c r="AQ119" s="8">
        <v>3233.74</v>
      </c>
      <c r="AR119" s="4"/>
      <c r="AS119" s="8"/>
      <c r="AT119" s="7"/>
      <c r="AU119" s="7"/>
      <c r="AV119" s="4" t="s">
        <v>100</v>
      </c>
      <c r="AW119" s="8" t="s">
        <v>100</v>
      </c>
      <c r="AX119" s="4" t="s">
        <v>100</v>
      </c>
      <c r="AY119" s="8" t="s">
        <v>100</v>
      </c>
      <c r="AZ119" s="7" t="s">
        <v>100</v>
      </c>
      <c r="BA119" s="7" t="s">
        <v>100</v>
      </c>
      <c r="BB119" s="7">
        <v>0.5707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 t="s">
        <v>100</v>
      </c>
      <c r="BJ119" s="4">
        <v>146</v>
      </c>
      <c r="BK119" s="8">
        <v>30192.87</v>
      </c>
      <c r="BL119" s="2" t="s">
        <v>608</v>
      </c>
      <c r="BM119" s="7">
        <v>0.1027</v>
      </c>
      <c r="BN119" s="7">
        <v>0.1071</v>
      </c>
      <c r="BO119" s="4">
        <v>15</v>
      </c>
      <c r="BP119" s="8">
        <v>3233.74</v>
      </c>
      <c r="BQ119" s="4"/>
      <c r="BR119" s="8"/>
      <c r="BS119" s="7"/>
      <c r="BT119" s="7"/>
      <c r="BU119" s="2" t="s">
        <v>109</v>
      </c>
      <c r="BV119" s="2" t="s">
        <v>97</v>
      </c>
      <c r="BW119" s="2" t="s">
        <v>605</v>
      </c>
      <c r="BX119" s="2" t="s">
        <v>609</v>
      </c>
      <c r="BY119" s="2" t="s">
        <v>112</v>
      </c>
      <c r="BZ119" s="2" t="s">
        <v>100</v>
      </c>
    </row>
    <row r="120">
      <c r="A120" s="2" t="s">
        <v>610</v>
      </c>
      <c r="B120" s="2" t="s">
        <v>87</v>
      </c>
      <c r="C120" s="2" t="s">
        <v>572</v>
      </c>
      <c r="D120" s="2" t="s">
        <v>89</v>
      </c>
      <c r="E120" s="2" t="s">
        <v>90</v>
      </c>
      <c r="F120" s="2" t="s">
        <v>611</v>
      </c>
      <c r="G120" s="2" t="s">
        <v>611</v>
      </c>
      <c r="H120" s="2" t="s">
        <v>611</v>
      </c>
      <c r="I120" s="2" t="s">
        <v>612</v>
      </c>
      <c r="J120" s="2" t="s">
        <v>95</v>
      </c>
      <c r="K120" s="2" t="s">
        <v>349</v>
      </c>
      <c r="L120" s="3">
        <v>172.2</v>
      </c>
      <c r="M120" s="3">
        <v>180.81</v>
      </c>
      <c r="N120" s="3">
        <v>409.99</v>
      </c>
      <c r="O120" s="2" t="s">
        <v>97</v>
      </c>
      <c r="P120" s="2" t="s">
        <v>576</v>
      </c>
      <c r="Q120" s="2" t="s">
        <v>99</v>
      </c>
      <c r="R120" s="2" t="s">
        <v>100</v>
      </c>
      <c r="S120" s="2" t="s">
        <v>613</v>
      </c>
      <c r="T120" s="2" t="s">
        <v>263</v>
      </c>
      <c r="U120" s="2" t="s">
        <v>290</v>
      </c>
      <c r="V120" s="2" t="s">
        <v>614</v>
      </c>
      <c r="W120" s="2" t="s">
        <v>590</v>
      </c>
      <c r="X120" s="2" t="s">
        <v>615</v>
      </c>
      <c r="Y120" s="2" t="s">
        <v>616</v>
      </c>
      <c r="Z120" s="4">
        <v>483</v>
      </c>
      <c r="AA120" s="4">
        <f>=ROUNDDOWN(30.1875,0)</f>
      </c>
      <c r="AB120" s="5">
        <v>16</v>
      </c>
      <c r="AC120" s="2" t="s">
        <v>617</v>
      </c>
      <c r="AD120" s="4">
        <v>90</v>
      </c>
      <c r="AE120" s="4">
        <v>160</v>
      </c>
      <c r="AF120" s="6">
        <v>67</v>
      </c>
      <c r="AG120" s="6">
        <v>50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/>
      <c r="AP120" s="4">
        <v>8</v>
      </c>
      <c r="AQ120" s="8">
        <v>1448.72</v>
      </c>
      <c r="AR120" s="4">
        <v>47</v>
      </c>
      <c r="AS120" s="8">
        <v>8511.23</v>
      </c>
      <c r="AT120" s="7">
        <v>-0.8298</v>
      </c>
      <c r="AU120" s="7">
        <v>-0.8298</v>
      </c>
      <c r="AV120" s="4">
        <v>18</v>
      </c>
      <c r="AW120" s="8">
        <v>3561.42</v>
      </c>
      <c r="AX120" s="4">
        <v>89</v>
      </c>
      <c r="AY120" s="8">
        <v>17384.57</v>
      </c>
      <c r="AZ120" s="7">
        <v>-0.7978</v>
      </c>
      <c r="BA120" s="7">
        <v>-0.7951</v>
      </c>
      <c r="BB120" s="7">
        <v>0.4068</v>
      </c>
      <c r="BC120" s="4">
        <v>21</v>
      </c>
      <c r="BD120" s="8">
        <v>4147.23</v>
      </c>
      <c r="BE120" s="4">
        <v>89</v>
      </c>
      <c r="BF120" s="8">
        <v>17384.57</v>
      </c>
      <c r="BG120" s="7">
        <v>-0.764</v>
      </c>
      <c r="BH120" s="7">
        <v>-0.7614</v>
      </c>
      <c r="BI120" s="7">
        <v>0.8587</v>
      </c>
      <c r="BJ120" s="4">
        <v>76</v>
      </c>
      <c r="BK120" s="8">
        <v>13164.21</v>
      </c>
      <c r="BL120" s="2" t="s">
        <v>618</v>
      </c>
      <c r="BM120" s="7">
        <v>0.1053</v>
      </c>
      <c r="BN120" s="7">
        <v>0.11</v>
      </c>
      <c r="BO120" s="4">
        <v>8</v>
      </c>
      <c r="BP120" s="8">
        <v>1448.72</v>
      </c>
      <c r="BQ120" s="4">
        <v>47</v>
      </c>
      <c r="BR120" s="8">
        <v>8511.23</v>
      </c>
      <c r="BS120" s="7">
        <v>-0.8298</v>
      </c>
      <c r="BT120" s="7">
        <v>-0.8298</v>
      </c>
      <c r="BU120" s="2" t="s">
        <v>109</v>
      </c>
      <c r="BV120" s="2" t="s">
        <v>97</v>
      </c>
      <c r="BW120" s="2" t="s">
        <v>619</v>
      </c>
      <c r="BX120" s="2" t="s">
        <v>620</v>
      </c>
      <c r="BY120" s="2" t="s">
        <v>112</v>
      </c>
      <c r="BZ120" s="2" t="s">
        <v>100</v>
      </c>
    </row>
    <row r="121">
      <c r="A121" s="2" t="s">
        <v>621</v>
      </c>
      <c r="B121" s="2" t="s">
        <v>87</v>
      </c>
      <c r="C121" s="2" t="s">
        <v>572</v>
      </c>
      <c r="D121" s="2" t="s">
        <v>89</v>
      </c>
      <c r="E121" s="2" t="s">
        <v>90</v>
      </c>
      <c r="F121" s="2" t="s">
        <v>611</v>
      </c>
      <c r="G121" s="2" t="s">
        <v>611</v>
      </c>
      <c r="H121" s="2" t="s">
        <v>611</v>
      </c>
      <c r="I121" s="2" t="s">
        <v>612</v>
      </c>
      <c r="J121" s="2" t="s">
        <v>114</v>
      </c>
      <c r="K121" s="2" t="s">
        <v>349</v>
      </c>
      <c r="L121" s="3">
        <v>202.4</v>
      </c>
      <c r="M121" s="3">
        <v>212.52</v>
      </c>
      <c r="N121" s="3">
        <v>459.99</v>
      </c>
      <c r="O121" s="2" t="s">
        <v>97</v>
      </c>
      <c r="P121" s="2" t="s">
        <v>576</v>
      </c>
      <c r="Q121" s="2" t="s">
        <v>99</v>
      </c>
      <c r="R121" s="2" t="s">
        <v>100</v>
      </c>
      <c r="S121" s="2" t="s">
        <v>613</v>
      </c>
      <c r="T121" s="2" t="s">
        <v>263</v>
      </c>
      <c r="U121" s="2" t="s">
        <v>584</v>
      </c>
      <c r="V121" s="2" t="s">
        <v>614</v>
      </c>
      <c r="W121" s="2" t="s">
        <v>590</v>
      </c>
      <c r="X121" s="2" t="s">
        <v>615</v>
      </c>
      <c r="Y121" s="2" t="s">
        <v>616</v>
      </c>
      <c r="Z121" s="4">
        <v>636</v>
      </c>
      <c r="AA121" s="4">
        <f>=ROUNDDOWN(30.2857142857143,0)</f>
      </c>
      <c r="AB121" s="5">
        <v>21</v>
      </c>
      <c r="AC121" s="2" t="s">
        <v>617</v>
      </c>
      <c r="AD121" s="4">
        <v>80</v>
      </c>
      <c r="AE121" s="4">
        <v>240</v>
      </c>
      <c r="AF121" s="6">
        <v>67</v>
      </c>
      <c r="AG121" s="6">
        <v>50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/>
      <c r="AP121" s="4">
        <v>10</v>
      </c>
      <c r="AQ121" s="8">
        <v>2112.7</v>
      </c>
      <c r="AR121" s="4">
        <v>42</v>
      </c>
      <c r="AS121" s="8">
        <v>8873.34</v>
      </c>
      <c r="AT121" s="7">
        <v>-0.7619</v>
      </c>
      <c r="AU121" s="7">
        <v>-0.7619</v>
      </c>
      <c r="AV121" s="4" t="s">
        <v>100</v>
      </c>
      <c r="AW121" s="8" t="s">
        <v>100</v>
      </c>
      <c r="AX121" s="4" t="s">
        <v>100</v>
      </c>
      <c r="AY121" s="8" t="s">
        <v>100</v>
      </c>
      <c r="AZ121" s="7" t="s">
        <v>100</v>
      </c>
      <c r="BA121" s="7" t="s">
        <v>100</v>
      </c>
      <c r="BB121" s="7">
        <v>0.5932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 t="s">
        <v>100</v>
      </c>
      <c r="BJ121" s="4">
        <v>76</v>
      </c>
      <c r="BK121" s="8">
        <v>15290.05</v>
      </c>
      <c r="BL121" s="2" t="s">
        <v>525</v>
      </c>
      <c r="BM121" s="7">
        <v>0.1316</v>
      </c>
      <c r="BN121" s="7">
        <v>0.1382</v>
      </c>
      <c r="BO121" s="4">
        <v>10</v>
      </c>
      <c r="BP121" s="8">
        <v>2112.7</v>
      </c>
      <c r="BQ121" s="4">
        <v>42</v>
      </c>
      <c r="BR121" s="8">
        <v>8873.34</v>
      </c>
      <c r="BS121" s="7">
        <v>-0.7619</v>
      </c>
      <c r="BT121" s="7">
        <v>-0.7619</v>
      </c>
      <c r="BU121" s="2" t="s">
        <v>109</v>
      </c>
      <c r="BV121" s="2" t="s">
        <v>97</v>
      </c>
      <c r="BW121" s="2" t="s">
        <v>619</v>
      </c>
      <c r="BX121" s="2" t="s">
        <v>620</v>
      </c>
      <c r="BY121" s="2" t="s">
        <v>112</v>
      </c>
      <c r="BZ121" s="2" t="s">
        <v>100</v>
      </c>
    </row>
    <row r="122">
      <c r="A122" s="2" t="s">
        <v>622</v>
      </c>
      <c r="B122" s="2" t="s">
        <v>87</v>
      </c>
      <c r="C122" s="2" t="s">
        <v>572</v>
      </c>
      <c r="D122" s="2" t="s">
        <v>89</v>
      </c>
      <c r="E122" s="2" t="s">
        <v>90</v>
      </c>
      <c r="F122" s="2" t="s">
        <v>611</v>
      </c>
      <c r="G122" s="2" t="s">
        <v>611</v>
      </c>
      <c r="H122" s="2" t="s">
        <v>611</v>
      </c>
      <c r="I122" s="2" t="s">
        <v>612</v>
      </c>
      <c r="J122" s="2" t="s">
        <v>95</v>
      </c>
      <c r="K122" s="2" t="s">
        <v>623</v>
      </c>
      <c r="L122" s="3">
        <v>172.2</v>
      </c>
      <c r="M122" s="3">
        <v>180.81</v>
      </c>
      <c r="N122" s="3">
        <v>409.99</v>
      </c>
      <c r="O122" s="2" t="s">
        <v>97</v>
      </c>
      <c r="P122" s="2" t="s">
        <v>483</v>
      </c>
      <c r="Q122" s="2" t="s">
        <v>99</v>
      </c>
      <c r="R122" s="2" t="s">
        <v>100</v>
      </c>
      <c r="S122" s="2" t="s">
        <v>624</v>
      </c>
      <c r="T122" s="2" t="s">
        <v>263</v>
      </c>
      <c r="U122" s="2" t="s">
        <v>290</v>
      </c>
      <c r="V122" s="2" t="s">
        <v>614</v>
      </c>
      <c r="W122" s="2" t="s">
        <v>590</v>
      </c>
      <c r="X122" s="2" t="s">
        <v>615</v>
      </c>
      <c r="Y122" s="2" t="s">
        <v>625</v>
      </c>
      <c r="Z122" s="4">
        <v>268</v>
      </c>
      <c r="AA122" s="4">
        <f>=ROUNDDOWN(24.3636363636364,0)</f>
      </c>
      <c r="AB122" s="5">
        <v>11</v>
      </c>
      <c r="AC122" s="2" t="s">
        <v>100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/>
      <c r="AP122" s="4">
        <v>3</v>
      </c>
      <c r="AQ122" s="8">
        <v>585.81</v>
      </c>
      <c r="AR122" s="4"/>
      <c r="AS122" s="8"/>
      <c r="AT122" s="7"/>
      <c r="AU122" s="7"/>
      <c r="AV122" s="4">
        <v>3</v>
      </c>
      <c r="AW122" s="8">
        <v>585.81</v>
      </c>
      <c r="AX122" s="4" t="s">
        <v>100</v>
      </c>
      <c r="AY122" s="8" t="s">
        <v>100</v>
      </c>
      <c r="AZ122" s="7" t="s">
        <v>100</v>
      </c>
      <c r="BA122" s="7" t="s">
        <v>100</v>
      </c>
      <c r="BB122" s="7">
        <v>1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0.1413</v>
      </c>
      <c r="BJ122" s="4">
        <v>21</v>
      </c>
      <c r="BK122" s="8">
        <v>3703.27</v>
      </c>
      <c r="BL122" s="2" t="s">
        <v>626</v>
      </c>
      <c r="BM122" s="7">
        <v>0.1429</v>
      </c>
      <c r="BN122" s="7">
        <v>0.1582</v>
      </c>
      <c r="BO122" s="4">
        <v>3</v>
      </c>
      <c r="BP122" s="8">
        <v>585.81</v>
      </c>
      <c r="BQ122" s="4"/>
      <c r="BR122" s="8"/>
      <c r="BS122" s="7"/>
      <c r="BT122" s="7"/>
      <c r="BU122" s="2" t="s">
        <v>109</v>
      </c>
      <c r="BV122" s="2" t="s">
        <v>97</v>
      </c>
      <c r="BW122" s="2" t="s">
        <v>627</v>
      </c>
      <c r="BX122" s="2" t="s">
        <v>628</v>
      </c>
      <c r="BY122" s="2" t="s">
        <v>112</v>
      </c>
      <c r="BZ122" s="2" t="s">
        <v>100</v>
      </c>
    </row>
    <row r="123">
      <c r="A123" s="2" t="s">
        <v>629</v>
      </c>
      <c r="B123" s="2" t="s">
        <v>87</v>
      </c>
      <c r="C123" s="2" t="s">
        <v>572</v>
      </c>
      <c r="D123" s="2" t="s">
        <v>89</v>
      </c>
      <c r="E123" s="2" t="s">
        <v>90</v>
      </c>
      <c r="F123" s="2" t="s">
        <v>611</v>
      </c>
      <c r="G123" s="2" t="s">
        <v>611</v>
      </c>
      <c r="H123" s="2" t="s">
        <v>611</v>
      </c>
      <c r="I123" s="2" t="s">
        <v>612</v>
      </c>
      <c r="J123" s="2" t="s">
        <v>114</v>
      </c>
      <c r="K123" s="2" t="s">
        <v>623</v>
      </c>
      <c r="L123" s="3">
        <v>202.4</v>
      </c>
      <c r="M123" s="3">
        <v>212.52</v>
      </c>
      <c r="N123" s="3">
        <v>459.99</v>
      </c>
      <c r="O123" s="2" t="s">
        <v>97</v>
      </c>
      <c r="P123" s="2" t="s">
        <v>483</v>
      </c>
      <c r="Q123" s="2" t="s">
        <v>99</v>
      </c>
      <c r="R123" s="2" t="s">
        <v>100</v>
      </c>
      <c r="S123" s="2" t="s">
        <v>624</v>
      </c>
      <c r="T123" s="2" t="s">
        <v>263</v>
      </c>
      <c r="U123" s="2" t="s">
        <v>584</v>
      </c>
      <c r="V123" s="2" t="s">
        <v>614</v>
      </c>
      <c r="W123" s="2" t="s">
        <v>590</v>
      </c>
      <c r="X123" s="2" t="s">
        <v>615</v>
      </c>
      <c r="Y123" s="2" t="s">
        <v>625</v>
      </c>
      <c r="Z123" s="4">
        <v>342</v>
      </c>
      <c r="AA123" s="4">
        <f>=ROUNDDOWN(26.3076923076923,0)</f>
      </c>
      <c r="AB123" s="5">
        <v>13</v>
      </c>
      <c r="AC123" s="2" t="s">
        <v>100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100</v>
      </c>
      <c r="AW123" s="8" t="s">
        <v>100</v>
      </c>
      <c r="AX123" s="4" t="s">
        <v>100</v>
      </c>
      <c r="AY123" s="8" t="s">
        <v>100</v>
      </c>
      <c r="AZ123" s="7" t="s">
        <v>100</v>
      </c>
      <c r="BA123" s="7" t="s">
        <v>100</v>
      </c>
      <c r="BB123" s="7"/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 t="s">
        <v>100</v>
      </c>
      <c r="BJ123" s="4">
        <v>15</v>
      </c>
      <c r="BK123" s="8">
        <v>3069.4</v>
      </c>
      <c r="BL123" s="2" t="s">
        <v>630</v>
      </c>
      <c r="BM123" s="7"/>
      <c r="BN123" s="7"/>
      <c r="BO123" s="4"/>
      <c r="BP123" s="8"/>
      <c r="BQ123" s="4"/>
      <c r="BR123" s="8"/>
      <c r="BS123" s="7"/>
      <c r="BT123" s="7"/>
      <c r="BU123" s="2" t="s">
        <v>109</v>
      </c>
      <c r="BV123" s="2" t="s">
        <v>97</v>
      </c>
      <c r="BW123" s="2" t="s">
        <v>627</v>
      </c>
      <c r="BX123" s="2" t="s">
        <v>631</v>
      </c>
      <c r="BY123" s="2" t="s">
        <v>112</v>
      </c>
      <c r="BZ123" s="2" t="s">
        <v>100</v>
      </c>
    </row>
    <row r="124">
      <c r="A124" s="2" t="s">
        <v>632</v>
      </c>
      <c r="B124" s="2" t="s">
        <v>87</v>
      </c>
      <c r="C124" s="2" t="s">
        <v>572</v>
      </c>
      <c r="D124" s="2" t="s">
        <v>89</v>
      </c>
      <c r="E124" s="2" t="s">
        <v>90</v>
      </c>
      <c r="F124" s="2" t="s">
        <v>633</v>
      </c>
      <c r="G124" s="2" t="s">
        <v>100</v>
      </c>
      <c r="H124" s="2" t="s">
        <v>100</v>
      </c>
      <c r="I124" s="2" t="s">
        <v>634</v>
      </c>
      <c r="J124" s="2" t="s">
        <v>95</v>
      </c>
      <c r="K124" s="2" t="s">
        <v>276</v>
      </c>
      <c r="L124" s="3">
        <v>139.5</v>
      </c>
      <c r="M124" s="3">
        <v>146.47</v>
      </c>
      <c r="N124" s="3">
        <v>309.99</v>
      </c>
      <c r="O124" s="2" t="s">
        <v>97</v>
      </c>
      <c r="P124" s="2" t="s">
        <v>576</v>
      </c>
      <c r="Q124" s="2" t="s">
        <v>99</v>
      </c>
      <c r="R124" s="2" t="s">
        <v>100</v>
      </c>
      <c r="S124" s="2" t="s">
        <v>635</v>
      </c>
      <c r="T124" s="2" t="s">
        <v>100</v>
      </c>
      <c r="U124" s="2" t="s">
        <v>290</v>
      </c>
      <c r="V124" s="2" t="s">
        <v>385</v>
      </c>
      <c r="W124" s="2" t="s">
        <v>636</v>
      </c>
      <c r="X124" s="2" t="s">
        <v>615</v>
      </c>
      <c r="Y124" s="2" t="s">
        <v>129</v>
      </c>
      <c r="Z124" s="4">
        <v>522</v>
      </c>
      <c r="AA124" s="4">
        <f>=ROUNDDOWN(29,0)</f>
      </c>
      <c r="AB124" s="5">
        <v>18</v>
      </c>
      <c r="AC124" s="2" t="s">
        <v>637</v>
      </c>
      <c r="AD124" s="4">
        <v>100</v>
      </c>
      <c r="AE124" s="4">
        <v>170</v>
      </c>
      <c r="AF124" s="6">
        <v>67</v>
      </c>
      <c r="AG124" s="6">
        <v>50</v>
      </c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/>
      <c r="AP124" s="4">
        <v>3</v>
      </c>
      <c r="AQ124" s="8">
        <v>452.7</v>
      </c>
      <c r="AR124" s="4">
        <v>31</v>
      </c>
      <c r="AS124" s="8">
        <v>4677.9</v>
      </c>
      <c r="AT124" s="7">
        <v>-0.9032</v>
      </c>
      <c r="AU124" s="7">
        <v>-0.9032</v>
      </c>
      <c r="AV124" s="4">
        <v>14</v>
      </c>
      <c r="AW124" s="8">
        <v>2444.69</v>
      </c>
      <c r="AX124" s="4">
        <v>106</v>
      </c>
      <c r="AY124" s="8">
        <v>18259.65</v>
      </c>
      <c r="AZ124" s="7">
        <v>-0.8679</v>
      </c>
      <c r="BA124" s="7">
        <v>-0.8661</v>
      </c>
      <c r="BB124" s="7">
        <v>0.1852</v>
      </c>
      <c r="BC124" s="4">
        <v>14</v>
      </c>
      <c r="BD124" s="8">
        <v>2444.69</v>
      </c>
      <c r="BE124" s="4">
        <v>106</v>
      </c>
      <c r="BF124" s="8">
        <v>18259.65</v>
      </c>
      <c r="BG124" s="7">
        <v>-0.8679</v>
      </c>
      <c r="BH124" s="7">
        <v>-0.8661</v>
      </c>
      <c r="BI124" s="7">
        <v>1</v>
      </c>
      <c r="BJ124" s="4">
        <v>80</v>
      </c>
      <c r="BK124" s="8">
        <v>10846.58</v>
      </c>
      <c r="BL124" s="2" t="s">
        <v>638</v>
      </c>
      <c r="BM124" s="7">
        <v>0.0375</v>
      </c>
      <c r="BN124" s="7">
        <v>0.0417</v>
      </c>
      <c r="BO124" s="4">
        <v>3</v>
      </c>
      <c r="BP124" s="8">
        <v>452.7</v>
      </c>
      <c r="BQ124" s="4">
        <v>31</v>
      </c>
      <c r="BR124" s="8">
        <v>4677.9</v>
      </c>
      <c r="BS124" s="7">
        <v>-0.9032</v>
      </c>
      <c r="BT124" s="7">
        <v>-0.9032</v>
      </c>
      <c r="BU124" s="2" t="s">
        <v>109</v>
      </c>
      <c r="BV124" s="2" t="s">
        <v>97</v>
      </c>
      <c r="BW124" s="2" t="s">
        <v>639</v>
      </c>
      <c r="BX124" s="2" t="s">
        <v>640</v>
      </c>
      <c r="BY124" s="2" t="s">
        <v>112</v>
      </c>
      <c r="BZ124" s="2" t="s">
        <v>100</v>
      </c>
    </row>
    <row r="125">
      <c r="A125" s="2" t="s">
        <v>641</v>
      </c>
      <c r="B125" s="2" t="s">
        <v>87</v>
      </c>
      <c r="C125" s="2" t="s">
        <v>572</v>
      </c>
      <c r="D125" s="2" t="s">
        <v>89</v>
      </c>
      <c r="E125" s="2" t="s">
        <v>90</v>
      </c>
      <c r="F125" s="2" t="s">
        <v>633</v>
      </c>
      <c r="G125" s="2" t="s">
        <v>100</v>
      </c>
      <c r="H125" s="2" t="s">
        <v>100</v>
      </c>
      <c r="I125" s="2" t="s">
        <v>634</v>
      </c>
      <c r="J125" s="2" t="s">
        <v>114</v>
      </c>
      <c r="K125" s="2" t="s">
        <v>276</v>
      </c>
      <c r="L125" s="3">
        <v>165.6</v>
      </c>
      <c r="M125" s="3">
        <v>173.88</v>
      </c>
      <c r="N125" s="3">
        <v>359.99</v>
      </c>
      <c r="O125" s="2" t="s">
        <v>97</v>
      </c>
      <c r="P125" s="2" t="s">
        <v>576</v>
      </c>
      <c r="Q125" s="2" t="s">
        <v>99</v>
      </c>
      <c r="R125" s="2" t="s">
        <v>100</v>
      </c>
      <c r="S125" s="2" t="s">
        <v>635</v>
      </c>
      <c r="T125" s="2" t="s">
        <v>100</v>
      </c>
      <c r="U125" s="2" t="s">
        <v>584</v>
      </c>
      <c r="V125" s="2" t="s">
        <v>385</v>
      </c>
      <c r="W125" s="2" t="s">
        <v>636</v>
      </c>
      <c r="X125" s="2" t="s">
        <v>615</v>
      </c>
      <c r="Y125" s="2" t="s">
        <v>129</v>
      </c>
      <c r="Z125" s="4">
        <v>679</v>
      </c>
      <c r="AA125" s="4">
        <f>=ROUNDDOWN(19.9705882352941,0)</f>
      </c>
      <c r="AB125" s="5">
        <v>34</v>
      </c>
      <c r="AC125" s="2" t="s">
        <v>642</v>
      </c>
      <c r="AD125" s="4">
        <v>150</v>
      </c>
      <c r="AE125" s="4">
        <v>680</v>
      </c>
      <c r="AF125" s="6">
        <v>67</v>
      </c>
      <c r="AG125" s="6">
        <v>50</v>
      </c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/>
      <c r="AP125" s="4">
        <v>11</v>
      </c>
      <c r="AQ125" s="8">
        <v>1991.99</v>
      </c>
      <c r="AR125" s="4">
        <v>75</v>
      </c>
      <c r="AS125" s="8">
        <v>13581.75</v>
      </c>
      <c r="AT125" s="7">
        <v>-0.8533</v>
      </c>
      <c r="AU125" s="7">
        <v>-0.8533</v>
      </c>
      <c r="AV125" s="4" t="s">
        <v>100</v>
      </c>
      <c r="AW125" s="8" t="s">
        <v>100</v>
      </c>
      <c r="AX125" s="4" t="s">
        <v>100</v>
      </c>
      <c r="AY125" s="8" t="s">
        <v>100</v>
      </c>
      <c r="AZ125" s="7" t="s">
        <v>100</v>
      </c>
      <c r="BA125" s="7" t="s">
        <v>100</v>
      </c>
      <c r="BB125" s="7">
        <v>0.8148</v>
      </c>
      <c r="BC125" s="4" t="s">
        <v>100</v>
      </c>
      <c r="BD125" s="8" t="s">
        <v>100</v>
      </c>
      <c r="BE125" s="4" t="s">
        <v>100</v>
      </c>
      <c r="BF125" s="8" t="s">
        <v>100</v>
      </c>
      <c r="BG125" s="7" t="s">
        <v>100</v>
      </c>
      <c r="BH125" s="7" t="s">
        <v>100</v>
      </c>
      <c r="BI125" s="7" t="s">
        <v>100</v>
      </c>
      <c r="BJ125" s="4">
        <v>155</v>
      </c>
      <c r="BK125" s="8">
        <v>25503.68</v>
      </c>
      <c r="BL125" s="2" t="s">
        <v>318</v>
      </c>
      <c r="BM125" s="7">
        <v>0.071</v>
      </c>
      <c r="BN125" s="7">
        <v>0.0781</v>
      </c>
      <c r="BO125" s="4">
        <v>11</v>
      </c>
      <c r="BP125" s="8">
        <v>1991.99</v>
      </c>
      <c r="BQ125" s="4">
        <v>75</v>
      </c>
      <c r="BR125" s="8">
        <v>13581.75</v>
      </c>
      <c r="BS125" s="7">
        <v>-0.8533</v>
      </c>
      <c r="BT125" s="7">
        <v>-0.8533</v>
      </c>
      <c r="BU125" s="2" t="s">
        <v>109</v>
      </c>
      <c r="BV125" s="2" t="s">
        <v>97</v>
      </c>
      <c r="BW125" s="2" t="s">
        <v>639</v>
      </c>
      <c r="BX125" s="2" t="s">
        <v>643</v>
      </c>
      <c r="BY125" s="2" t="s">
        <v>112</v>
      </c>
      <c r="BZ125" s="2" t="s">
        <v>100</v>
      </c>
    </row>
    <row r="126">
      <c r="A126" s="2" t="s">
        <v>644</v>
      </c>
      <c r="B126" s="2" t="s">
        <v>87</v>
      </c>
      <c r="C126" s="2" t="s">
        <v>645</v>
      </c>
      <c r="D126" s="2" t="s">
        <v>89</v>
      </c>
      <c r="E126" s="2" t="s">
        <v>646</v>
      </c>
      <c r="F126" s="2" t="s">
        <v>647</v>
      </c>
      <c r="G126" s="2" t="s">
        <v>648</v>
      </c>
      <c r="H126" s="2" t="s">
        <v>649</v>
      </c>
      <c r="I126" s="2" t="s">
        <v>650</v>
      </c>
      <c r="J126" s="2" t="s">
        <v>95</v>
      </c>
      <c r="K126" s="2" t="s">
        <v>96</v>
      </c>
      <c r="L126" s="3">
        <v>89.99</v>
      </c>
      <c r="M126" s="3">
        <v>94.49</v>
      </c>
      <c r="N126" s="3">
        <v>179.99</v>
      </c>
      <c r="O126" s="2" t="s">
        <v>97</v>
      </c>
      <c r="P126" s="2" t="s">
        <v>126</v>
      </c>
      <c r="Q126" s="2" t="s">
        <v>99</v>
      </c>
      <c r="R126" s="2" t="s">
        <v>100</v>
      </c>
      <c r="S126" s="2" t="s">
        <v>651</v>
      </c>
      <c r="T126" s="2" t="s">
        <v>100</v>
      </c>
      <c r="U126" s="2" t="s">
        <v>652</v>
      </c>
      <c r="V126" s="2" t="s">
        <v>653</v>
      </c>
      <c r="W126" s="2" t="s">
        <v>291</v>
      </c>
      <c r="X126" s="2" t="s">
        <v>292</v>
      </c>
      <c r="Y126" s="2" t="s">
        <v>654</v>
      </c>
      <c r="Z126" s="4">
        <v>850</v>
      </c>
      <c r="AA126" s="4">
        <f>=ROUNDDOWN(20.7317073170732,0)</f>
      </c>
      <c r="AB126" s="5">
        <v>41</v>
      </c>
      <c r="AC126" s="2" t="s">
        <v>303</v>
      </c>
      <c r="AD126" s="4">
        <v>450</v>
      </c>
      <c r="AE126" s="4">
        <v>1000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/>
      <c r="AP126" s="4">
        <v>15</v>
      </c>
      <c r="AQ126" s="8">
        <v>1592.55</v>
      </c>
      <c r="AR126" s="4">
        <v>12</v>
      </c>
      <c r="AS126" s="8">
        <v>1274.04</v>
      </c>
      <c r="AT126" s="7">
        <v>0.25</v>
      </c>
      <c r="AU126" s="7">
        <v>0.25</v>
      </c>
      <c r="AV126" s="4">
        <v>38</v>
      </c>
      <c r="AW126" s="8">
        <v>4318.97</v>
      </c>
      <c r="AX126" s="4">
        <v>37</v>
      </c>
      <c r="AY126" s="8">
        <v>4237.54</v>
      </c>
      <c r="AZ126" s="7">
        <v>0.027</v>
      </c>
      <c r="BA126" s="7">
        <v>0.0192</v>
      </c>
      <c r="BB126" s="7">
        <v>0.3687</v>
      </c>
      <c r="BC126" s="4">
        <v>146</v>
      </c>
      <c r="BD126" s="8">
        <v>16502.79</v>
      </c>
      <c r="BE126" s="4">
        <v>180</v>
      </c>
      <c r="BF126" s="8">
        <v>20347.6</v>
      </c>
      <c r="BG126" s="7">
        <v>-0.1889</v>
      </c>
      <c r="BH126" s="7">
        <v>-0.189</v>
      </c>
      <c r="BI126" s="7">
        <v>0.2617</v>
      </c>
      <c r="BJ126" s="4">
        <v>202</v>
      </c>
      <c r="BK126" s="8">
        <v>19026.7</v>
      </c>
      <c r="BL126" s="2" t="s">
        <v>655</v>
      </c>
      <c r="BM126" s="7">
        <v>0.0743</v>
      </c>
      <c r="BN126" s="7">
        <v>0.0837</v>
      </c>
      <c r="BO126" s="4">
        <v>15</v>
      </c>
      <c r="BP126" s="8">
        <v>1592.55</v>
      </c>
      <c r="BQ126" s="4">
        <v>12</v>
      </c>
      <c r="BR126" s="8">
        <v>1274.04</v>
      </c>
      <c r="BS126" s="7">
        <v>0.25</v>
      </c>
      <c r="BT126" s="7">
        <v>0.25</v>
      </c>
      <c r="BU126" s="2" t="s">
        <v>109</v>
      </c>
      <c r="BV126" s="2" t="s">
        <v>97</v>
      </c>
      <c r="BW126" s="2" t="s">
        <v>656</v>
      </c>
      <c r="BX126" s="2" t="s">
        <v>297</v>
      </c>
      <c r="BY126" s="2" t="s">
        <v>112</v>
      </c>
      <c r="BZ126" s="2" t="s">
        <v>100</v>
      </c>
    </row>
    <row r="127">
      <c r="A127" s="2" t="s">
        <v>657</v>
      </c>
      <c r="B127" s="2" t="s">
        <v>87</v>
      </c>
      <c r="C127" s="2" t="s">
        <v>645</v>
      </c>
      <c r="D127" s="2" t="s">
        <v>89</v>
      </c>
      <c r="E127" s="2" t="s">
        <v>646</v>
      </c>
      <c r="F127" s="2" t="s">
        <v>647</v>
      </c>
      <c r="G127" s="2" t="s">
        <v>648</v>
      </c>
      <c r="H127" s="2" t="s">
        <v>649</v>
      </c>
      <c r="I127" s="2" t="s">
        <v>650</v>
      </c>
      <c r="J127" s="2" t="s">
        <v>114</v>
      </c>
      <c r="K127" s="2" t="s">
        <v>96</v>
      </c>
      <c r="L127" s="3">
        <v>98.99</v>
      </c>
      <c r="M127" s="3">
        <v>103.94</v>
      </c>
      <c r="N127" s="3">
        <v>199.99</v>
      </c>
      <c r="O127" s="2" t="s">
        <v>97</v>
      </c>
      <c r="P127" s="2" t="s">
        <v>126</v>
      </c>
      <c r="Q127" s="2" t="s">
        <v>99</v>
      </c>
      <c r="R127" s="2" t="s">
        <v>100</v>
      </c>
      <c r="S127" s="2" t="s">
        <v>651</v>
      </c>
      <c r="T127" s="2" t="s">
        <v>100</v>
      </c>
      <c r="U127" s="2" t="s">
        <v>652</v>
      </c>
      <c r="V127" s="2" t="s">
        <v>653</v>
      </c>
      <c r="W127" s="2" t="s">
        <v>291</v>
      </c>
      <c r="X127" s="2" t="s">
        <v>292</v>
      </c>
      <c r="Y127" s="2" t="s">
        <v>654</v>
      </c>
      <c r="Z127" s="4">
        <v>595</v>
      </c>
      <c r="AA127" s="4">
        <f>=ROUNDDOWN(19.8333333333333,0)</f>
      </c>
      <c r="AB127" s="5">
        <v>30</v>
      </c>
      <c r="AC127" s="2" t="s">
        <v>303</v>
      </c>
      <c r="AD127" s="4">
        <v>150</v>
      </c>
      <c r="AE127" s="4">
        <v>750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/>
      <c r="AP127" s="4">
        <v>15</v>
      </c>
      <c r="AQ127" s="8">
        <v>1778.1</v>
      </c>
      <c r="AR127" s="4">
        <v>11</v>
      </c>
      <c r="AS127" s="8">
        <v>1303.94</v>
      </c>
      <c r="AT127" s="7">
        <v>0.3636</v>
      </c>
      <c r="AU127" s="7">
        <v>0.3636</v>
      </c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>
        <v>0.4117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 t="s">
        <v>100</v>
      </c>
      <c r="BJ127" s="4">
        <v>132</v>
      </c>
      <c r="BK127" s="8">
        <v>13895.23</v>
      </c>
      <c r="BL127" s="2" t="s">
        <v>658</v>
      </c>
      <c r="BM127" s="7">
        <v>0.1136</v>
      </c>
      <c r="BN127" s="7">
        <v>0.128</v>
      </c>
      <c r="BO127" s="4">
        <v>15</v>
      </c>
      <c r="BP127" s="8">
        <v>1778.1</v>
      </c>
      <c r="BQ127" s="4">
        <v>11</v>
      </c>
      <c r="BR127" s="8">
        <v>1303.94</v>
      </c>
      <c r="BS127" s="7">
        <v>0.3636</v>
      </c>
      <c r="BT127" s="7">
        <v>0.3636</v>
      </c>
      <c r="BU127" s="2" t="s">
        <v>109</v>
      </c>
      <c r="BV127" s="2" t="s">
        <v>97</v>
      </c>
      <c r="BW127" s="2" t="s">
        <v>656</v>
      </c>
      <c r="BX127" s="2" t="s">
        <v>297</v>
      </c>
      <c r="BY127" s="2" t="s">
        <v>112</v>
      </c>
      <c r="BZ127" s="2" t="s">
        <v>100</v>
      </c>
    </row>
    <row r="128">
      <c r="A128" s="2" t="s">
        <v>659</v>
      </c>
      <c r="B128" s="2" t="s">
        <v>87</v>
      </c>
      <c r="C128" s="2" t="s">
        <v>645</v>
      </c>
      <c r="D128" s="2" t="s">
        <v>89</v>
      </c>
      <c r="E128" s="2" t="s">
        <v>646</v>
      </c>
      <c r="F128" s="2" t="s">
        <v>647</v>
      </c>
      <c r="G128" s="2" t="s">
        <v>648</v>
      </c>
      <c r="H128" s="2" t="s">
        <v>649</v>
      </c>
      <c r="I128" s="2" t="s">
        <v>650</v>
      </c>
      <c r="J128" s="2" t="s">
        <v>120</v>
      </c>
      <c r="K128" s="2" t="s">
        <v>96</v>
      </c>
      <c r="L128" s="3">
        <v>98.99</v>
      </c>
      <c r="M128" s="3">
        <v>103.94</v>
      </c>
      <c r="N128" s="3">
        <v>199.99</v>
      </c>
      <c r="O128" s="2" t="s">
        <v>97</v>
      </c>
      <c r="P128" s="2" t="s">
        <v>126</v>
      </c>
      <c r="Q128" s="2" t="s">
        <v>99</v>
      </c>
      <c r="R128" s="2" t="s">
        <v>100</v>
      </c>
      <c r="S128" s="2" t="s">
        <v>651</v>
      </c>
      <c r="T128" s="2" t="s">
        <v>100</v>
      </c>
      <c r="U128" s="2" t="s">
        <v>652</v>
      </c>
      <c r="V128" s="2" t="s">
        <v>653</v>
      </c>
      <c r="W128" s="2" t="s">
        <v>291</v>
      </c>
      <c r="X128" s="2" t="s">
        <v>292</v>
      </c>
      <c r="Y128" s="2" t="s">
        <v>654</v>
      </c>
      <c r="Z128" s="4">
        <v>605</v>
      </c>
      <c r="AA128" s="4">
        <f>=ROUNDDOWN(40.3333333333333,0)</f>
      </c>
      <c r="AB128" s="5">
        <v>15</v>
      </c>
      <c r="AC128" s="2" t="s">
        <v>637</v>
      </c>
      <c r="AD128" s="4">
        <v>50</v>
      </c>
      <c r="AE128" s="4">
        <v>50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/>
      <c r="AP128" s="4">
        <v>8</v>
      </c>
      <c r="AQ128" s="8">
        <v>948.32</v>
      </c>
      <c r="AR128" s="4">
        <v>14</v>
      </c>
      <c r="AS128" s="8">
        <v>1659.56</v>
      </c>
      <c r="AT128" s="7">
        <v>-0.4286</v>
      </c>
      <c r="AU128" s="7">
        <v>-0.4286</v>
      </c>
      <c r="AV128" s="4" t="s">
        <v>100</v>
      </c>
      <c r="AW128" s="8" t="s">
        <v>100</v>
      </c>
      <c r="AX128" s="4" t="s">
        <v>100</v>
      </c>
      <c r="AY128" s="8" t="s">
        <v>100</v>
      </c>
      <c r="AZ128" s="7" t="s">
        <v>100</v>
      </c>
      <c r="BA128" s="7" t="s">
        <v>100</v>
      </c>
      <c r="BB128" s="7">
        <v>0.2196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 t="s">
        <v>100</v>
      </c>
      <c r="BJ128" s="4">
        <v>66</v>
      </c>
      <c r="BK128" s="8">
        <v>7073.91</v>
      </c>
      <c r="BL128" s="2" t="s">
        <v>660</v>
      </c>
      <c r="BM128" s="7">
        <v>0.1212</v>
      </c>
      <c r="BN128" s="7">
        <v>0.1341</v>
      </c>
      <c r="BO128" s="4">
        <v>8</v>
      </c>
      <c r="BP128" s="8">
        <v>948.32</v>
      </c>
      <c r="BQ128" s="4">
        <v>14</v>
      </c>
      <c r="BR128" s="8">
        <v>1659.56</v>
      </c>
      <c r="BS128" s="7">
        <v>-0.4286</v>
      </c>
      <c r="BT128" s="7">
        <v>-0.4286</v>
      </c>
      <c r="BU128" s="2" t="s">
        <v>109</v>
      </c>
      <c r="BV128" s="2" t="s">
        <v>97</v>
      </c>
      <c r="BW128" s="2" t="s">
        <v>656</v>
      </c>
      <c r="BX128" s="2" t="s">
        <v>661</v>
      </c>
      <c r="BY128" s="2" t="s">
        <v>112</v>
      </c>
      <c r="BZ128" s="2" t="s">
        <v>100</v>
      </c>
    </row>
    <row r="129">
      <c r="A129" s="2" t="s">
        <v>662</v>
      </c>
      <c r="B129" s="2" t="s">
        <v>87</v>
      </c>
      <c r="C129" s="2" t="s">
        <v>645</v>
      </c>
      <c r="D129" s="2" t="s">
        <v>89</v>
      </c>
      <c r="E129" s="2" t="s">
        <v>646</v>
      </c>
      <c r="F129" s="2" t="s">
        <v>647</v>
      </c>
      <c r="G129" s="2" t="s">
        <v>648</v>
      </c>
      <c r="H129" s="2" t="s">
        <v>649</v>
      </c>
      <c r="I129" s="2" t="s">
        <v>650</v>
      </c>
      <c r="J129" s="2" t="s">
        <v>95</v>
      </c>
      <c r="K129" s="2" t="s">
        <v>663</v>
      </c>
      <c r="L129" s="3">
        <v>89.99</v>
      </c>
      <c r="M129" s="3">
        <v>94.49</v>
      </c>
      <c r="N129" s="3">
        <v>179.99</v>
      </c>
      <c r="O129" s="2" t="s">
        <v>97</v>
      </c>
      <c r="P129" s="2" t="s">
        <v>576</v>
      </c>
      <c r="Q129" s="2" t="s">
        <v>99</v>
      </c>
      <c r="R129" s="2" t="s">
        <v>100</v>
      </c>
      <c r="S129" s="2" t="s">
        <v>664</v>
      </c>
      <c r="T129" s="2" t="s">
        <v>100</v>
      </c>
      <c r="U129" s="2" t="s">
        <v>652</v>
      </c>
      <c r="V129" s="2" t="s">
        <v>653</v>
      </c>
      <c r="W129" s="2" t="s">
        <v>291</v>
      </c>
      <c r="X129" s="2" t="s">
        <v>292</v>
      </c>
      <c r="Y129" s="2" t="s">
        <v>665</v>
      </c>
      <c r="Z129" s="4">
        <v>2681</v>
      </c>
      <c r="AA129" s="4">
        <f>=ROUNDDOWN(36.2297297297297,0)</f>
      </c>
      <c r="AB129" s="5">
        <v>74</v>
      </c>
      <c r="AC129" s="2" t="s">
        <v>666</v>
      </c>
      <c r="AD129" s="4">
        <v>150</v>
      </c>
      <c r="AE129" s="4">
        <v>450</v>
      </c>
      <c r="AF129" s="6">
        <v>65</v>
      </c>
      <c r="AG129" s="6">
        <v>48</v>
      </c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/>
      <c r="AP129" s="4">
        <v>14</v>
      </c>
      <c r="AQ129" s="8">
        <v>1486.38</v>
      </c>
      <c r="AR129" s="4">
        <v>19</v>
      </c>
      <c r="AS129" s="8">
        <v>2017.23</v>
      </c>
      <c r="AT129" s="7">
        <v>-0.2632</v>
      </c>
      <c r="AU129" s="7">
        <v>-0.2632</v>
      </c>
      <c r="AV129" s="4">
        <v>34</v>
      </c>
      <c r="AW129" s="8">
        <v>3857.18</v>
      </c>
      <c r="AX129" s="4">
        <v>35</v>
      </c>
      <c r="AY129" s="8">
        <v>3913.87</v>
      </c>
      <c r="AZ129" s="7">
        <v>-0.0286</v>
      </c>
      <c r="BA129" s="7">
        <v>-0.0145</v>
      </c>
      <c r="BB129" s="7">
        <v>0.3854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0.2337</v>
      </c>
      <c r="BJ129" s="4">
        <v>442</v>
      </c>
      <c r="BK129" s="8">
        <v>42862.3</v>
      </c>
      <c r="BL129" s="2" t="s">
        <v>667</v>
      </c>
      <c r="BM129" s="7">
        <v>0.0317</v>
      </c>
      <c r="BN129" s="7">
        <v>0.0347</v>
      </c>
      <c r="BO129" s="4">
        <v>14</v>
      </c>
      <c r="BP129" s="8">
        <v>1486.38</v>
      </c>
      <c r="BQ129" s="4">
        <v>19</v>
      </c>
      <c r="BR129" s="8">
        <v>2017.23</v>
      </c>
      <c r="BS129" s="7">
        <v>-0.2632</v>
      </c>
      <c r="BT129" s="7">
        <v>-0.2632</v>
      </c>
      <c r="BU129" s="2" t="s">
        <v>109</v>
      </c>
      <c r="BV129" s="2" t="s">
        <v>97</v>
      </c>
      <c r="BW129" s="2" t="s">
        <v>668</v>
      </c>
      <c r="BX129" s="2" t="s">
        <v>669</v>
      </c>
      <c r="BY129" s="2" t="s">
        <v>112</v>
      </c>
      <c r="BZ129" s="2" t="s">
        <v>100</v>
      </c>
    </row>
    <row r="130">
      <c r="A130" s="2" t="s">
        <v>670</v>
      </c>
      <c r="B130" s="2" t="s">
        <v>87</v>
      </c>
      <c r="C130" s="2" t="s">
        <v>645</v>
      </c>
      <c r="D130" s="2" t="s">
        <v>89</v>
      </c>
      <c r="E130" s="2" t="s">
        <v>646</v>
      </c>
      <c r="F130" s="2" t="s">
        <v>647</v>
      </c>
      <c r="G130" s="2" t="s">
        <v>648</v>
      </c>
      <c r="H130" s="2" t="s">
        <v>649</v>
      </c>
      <c r="I130" s="2" t="s">
        <v>650</v>
      </c>
      <c r="J130" s="2" t="s">
        <v>114</v>
      </c>
      <c r="K130" s="2" t="s">
        <v>663</v>
      </c>
      <c r="L130" s="3">
        <v>98.99</v>
      </c>
      <c r="M130" s="3">
        <v>103.94</v>
      </c>
      <c r="N130" s="3">
        <v>199.99</v>
      </c>
      <c r="O130" s="2" t="s">
        <v>97</v>
      </c>
      <c r="P130" s="2" t="s">
        <v>576</v>
      </c>
      <c r="Q130" s="2" t="s">
        <v>99</v>
      </c>
      <c r="R130" s="2" t="s">
        <v>100</v>
      </c>
      <c r="S130" s="2" t="s">
        <v>664</v>
      </c>
      <c r="T130" s="2" t="s">
        <v>100</v>
      </c>
      <c r="U130" s="2" t="s">
        <v>652</v>
      </c>
      <c r="V130" s="2" t="s">
        <v>653</v>
      </c>
      <c r="W130" s="2" t="s">
        <v>291</v>
      </c>
      <c r="X130" s="2" t="s">
        <v>292</v>
      </c>
      <c r="Y130" s="2" t="s">
        <v>665</v>
      </c>
      <c r="Z130" s="4">
        <v>2005</v>
      </c>
      <c r="AA130" s="4">
        <f>=ROUNDDOWN(29.4852941176471,0)</f>
      </c>
      <c r="AB130" s="5">
        <v>68</v>
      </c>
      <c r="AC130" s="2" t="s">
        <v>671</v>
      </c>
      <c r="AD130" s="4">
        <v>100</v>
      </c>
      <c r="AE130" s="4">
        <v>400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17</v>
      </c>
      <c r="AQ130" s="8">
        <v>2015.18</v>
      </c>
      <c r="AR130" s="4">
        <v>11</v>
      </c>
      <c r="AS130" s="8">
        <v>1303.94</v>
      </c>
      <c r="AT130" s="7">
        <v>0.5455</v>
      </c>
      <c r="AU130" s="7">
        <v>0.5455</v>
      </c>
      <c r="AV130" s="4" t="s">
        <v>100</v>
      </c>
      <c r="AW130" s="8" t="s">
        <v>100</v>
      </c>
      <c r="AX130" s="4" t="s">
        <v>100</v>
      </c>
      <c r="AY130" s="8" t="s">
        <v>100</v>
      </c>
      <c r="AZ130" s="7" t="s">
        <v>100</v>
      </c>
      <c r="BA130" s="7" t="s">
        <v>100</v>
      </c>
      <c r="BB130" s="7">
        <v>0.5224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 t="s">
        <v>100</v>
      </c>
      <c r="BJ130" s="4">
        <v>230</v>
      </c>
      <c r="BK130" s="8">
        <v>24480.23</v>
      </c>
      <c r="BL130" s="2" t="s">
        <v>672</v>
      </c>
      <c r="BM130" s="7">
        <v>0.0739</v>
      </c>
      <c r="BN130" s="7">
        <v>0.0823</v>
      </c>
      <c r="BO130" s="4">
        <v>17</v>
      </c>
      <c r="BP130" s="8">
        <v>2015.18</v>
      </c>
      <c r="BQ130" s="4">
        <v>11</v>
      </c>
      <c r="BR130" s="8">
        <v>1303.94</v>
      </c>
      <c r="BS130" s="7">
        <v>0.5455</v>
      </c>
      <c r="BT130" s="7">
        <v>0.5455</v>
      </c>
      <c r="BU130" s="2" t="s">
        <v>109</v>
      </c>
      <c r="BV130" s="2" t="s">
        <v>97</v>
      </c>
      <c r="BW130" s="2" t="s">
        <v>668</v>
      </c>
      <c r="BX130" s="2" t="s">
        <v>673</v>
      </c>
      <c r="BY130" s="2" t="s">
        <v>112</v>
      </c>
      <c r="BZ130" s="2" t="s">
        <v>100</v>
      </c>
    </row>
    <row r="131">
      <c r="A131" s="2" t="s">
        <v>674</v>
      </c>
      <c r="B131" s="2" t="s">
        <v>87</v>
      </c>
      <c r="C131" s="2" t="s">
        <v>645</v>
      </c>
      <c r="D131" s="2" t="s">
        <v>89</v>
      </c>
      <c r="E131" s="2" t="s">
        <v>646</v>
      </c>
      <c r="F131" s="2" t="s">
        <v>647</v>
      </c>
      <c r="G131" s="2" t="s">
        <v>648</v>
      </c>
      <c r="H131" s="2" t="s">
        <v>649</v>
      </c>
      <c r="I131" s="2" t="s">
        <v>650</v>
      </c>
      <c r="J131" s="2" t="s">
        <v>120</v>
      </c>
      <c r="K131" s="2" t="s">
        <v>663</v>
      </c>
      <c r="L131" s="3">
        <v>98.99</v>
      </c>
      <c r="M131" s="3">
        <v>103.94</v>
      </c>
      <c r="N131" s="3">
        <v>199.99</v>
      </c>
      <c r="O131" s="2" t="s">
        <v>97</v>
      </c>
      <c r="P131" s="2" t="s">
        <v>576</v>
      </c>
      <c r="Q131" s="2" t="s">
        <v>99</v>
      </c>
      <c r="R131" s="2" t="s">
        <v>100</v>
      </c>
      <c r="S131" s="2" t="s">
        <v>664</v>
      </c>
      <c r="T131" s="2" t="s">
        <v>100</v>
      </c>
      <c r="U131" s="2" t="s">
        <v>652</v>
      </c>
      <c r="V131" s="2" t="s">
        <v>653</v>
      </c>
      <c r="W131" s="2" t="s">
        <v>291</v>
      </c>
      <c r="X131" s="2" t="s">
        <v>292</v>
      </c>
      <c r="Y131" s="2" t="s">
        <v>665</v>
      </c>
      <c r="Z131" s="4">
        <v>1176</v>
      </c>
      <c r="AA131" s="4">
        <f>=ROUNDDOWN(31.7837837837838,0)</f>
      </c>
      <c r="AB131" s="5">
        <v>37</v>
      </c>
      <c r="AC131" s="2" t="s">
        <v>671</v>
      </c>
      <c r="AD131" s="4">
        <v>100</v>
      </c>
      <c r="AE131" s="4">
        <v>350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/>
      <c r="AP131" s="4">
        <v>3</v>
      </c>
      <c r="AQ131" s="8">
        <v>355.62</v>
      </c>
      <c r="AR131" s="4">
        <v>5</v>
      </c>
      <c r="AS131" s="8">
        <v>592.7</v>
      </c>
      <c r="AT131" s="7">
        <v>-0.4</v>
      </c>
      <c r="AU131" s="7">
        <v>-0.4</v>
      </c>
      <c r="AV131" s="4" t="s">
        <v>100</v>
      </c>
      <c r="AW131" s="8" t="s">
        <v>100</v>
      </c>
      <c r="AX131" s="4" t="s">
        <v>100</v>
      </c>
      <c r="AY131" s="8" t="s">
        <v>100</v>
      </c>
      <c r="AZ131" s="7" t="s">
        <v>100</v>
      </c>
      <c r="BA131" s="7" t="s">
        <v>100</v>
      </c>
      <c r="BB131" s="7">
        <v>0.0922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 t="s">
        <v>100</v>
      </c>
      <c r="BJ131" s="4">
        <v>141</v>
      </c>
      <c r="BK131" s="8">
        <v>15904.14</v>
      </c>
      <c r="BL131" s="2" t="s">
        <v>675</v>
      </c>
      <c r="BM131" s="7">
        <v>0.0213</v>
      </c>
      <c r="BN131" s="7">
        <v>0.0224</v>
      </c>
      <c r="BO131" s="4">
        <v>3</v>
      </c>
      <c r="BP131" s="8">
        <v>355.62</v>
      </c>
      <c r="BQ131" s="4">
        <v>5</v>
      </c>
      <c r="BR131" s="8">
        <v>592.7</v>
      </c>
      <c r="BS131" s="7">
        <v>-0.4</v>
      </c>
      <c r="BT131" s="7">
        <v>-0.4</v>
      </c>
      <c r="BU131" s="2" t="s">
        <v>109</v>
      </c>
      <c r="BV131" s="2" t="s">
        <v>97</v>
      </c>
      <c r="BW131" s="2" t="s">
        <v>668</v>
      </c>
      <c r="BX131" s="2" t="s">
        <v>676</v>
      </c>
      <c r="BY131" s="2" t="s">
        <v>112</v>
      </c>
      <c r="BZ131" s="2" t="s">
        <v>100</v>
      </c>
    </row>
    <row r="132">
      <c r="A132" s="2" t="s">
        <v>677</v>
      </c>
      <c r="B132" s="2" t="s">
        <v>87</v>
      </c>
      <c r="C132" s="2" t="s">
        <v>645</v>
      </c>
      <c r="D132" s="2" t="s">
        <v>89</v>
      </c>
      <c r="E132" s="2" t="s">
        <v>646</v>
      </c>
      <c r="F132" s="2" t="s">
        <v>647</v>
      </c>
      <c r="G132" s="2" t="s">
        <v>648</v>
      </c>
      <c r="H132" s="2" t="s">
        <v>649</v>
      </c>
      <c r="I132" s="2" t="s">
        <v>650</v>
      </c>
      <c r="J132" s="2" t="s">
        <v>95</v>
      </c>
      <c r="K132" s="2" t="s">
        <v>349</v>
      </c>
      <c r="L132" s="3">
        <v>89.99</v>
      </c>
      <c r="M132" s="3">
        <v>94.49</v>
      </c>
      <c r="N132" s="3">
        <v>179.99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678</v>
      </c>
      <c r="T132" s="2" t="s">
        <v>100</v>
      </c>
      <c r="U132" s="2" t="s">
        <v>652</v>
      </c>
      <c r="V132" s="2" t="s">
        <v>653</v>
      </c>
      <c r="W132" s="2" t="s">
        <v>291</v>
      </c>
      <c r="X132" s="2" t="s">
        <v>292</v>
      </c>
      <c r="Y132" s="2" t="s">
        <v>679</v>
      </c>
      <c r="Z132" s="4">
        <v>1291</v>
      </c>
      <c r="AA132" s="4">
        <f>=ROUNDDOWN(30.0232558139535,0)</f>
      </c>
      <c r="AB132" s="5">
        <v>43</v>
      </c>
      <c r="AC132" s="2" t="s">
        <v>184</v>
      </c>
      <c r="AD132" s="4">
        <v>100</v>
      </c>
      <c r="AE132" s="4">
        <v>500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11</v>
      </c>
      <c r="AQ132" s="8">
        <v>1167.87</v>
      </c>
      <c r="AR132" s="4">
        <v>22</v>
      </c>
      <c r="AS132" s="8">
        <v>2335.74</v>
      </c>
      <c r="AT132" s="7">
        <v>-0.5</v>
      </c>
      <c r="AU132" s="7">
        <v>-0.5</v>
      </c>
      <c r="AV132" s="4">
        <v>22</v>
      </c>
      <c r="AW132" s="8">
        <v>2471.81</v>
      </c>
      <c r="AX132" s="4">
        <v>52</v>
      </c>
      <c r="AY132" s="8">
        <v>5891.94</v>
      </c>
      <c r="AZ132" s="7">
        <v>-0.5769</v>
      </c>
      <c r="BA132" s="7">
        <v>-0.5805</v>
      </c>
      <c r="BB132" s="7">
        <v>0.4725</v>
      </c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>
        <v>0.1498</v>
      </c>
      <c r="BJ132" s="4">
        <v>173</v>
      </c>
      <c r="BK132" s="8">
        <v>17533.24</v>
      </c>
      <c r="BL132" s="2" t="s">
        <v>680</v>
      </c>
      <c r="BM132" s="7">
        <v>0.0636</v>
      </c>
      <c r="BN132" s="7">
        <v>0.0666</v>
      </c>
      <c r="BO132" s="4">
        <v>11</v>
      </c>
      <c r="BP132" s="8">
        <v>1167.87</v>
      </c>
      <c r="BQ132" s="4">
        <v>22</v>
      </c>
      <c r="BR132" s="8">
        <v>2335.74</v>
      </c>
      <c r="BS132" s="7">
        <v>-0.5</v>
      </c>
      <c r="BT132" s="7">
        <v>-0.5</v>
      </c>
      <c r="BU132" s="2" t="s">
        <v>109</v>
      </c>
      <c r="BV132" s="2" t="s">
        <v>97</v>
      </c>
      <c r="BW132" s="2" t="s">
        <v>681</v>
      </c>
      <c r="BX132" s="2" t="s">
        <v>682</v>
      </c>
      <c r="BY132" s="2" t="s">
        <v>112</v>
      </c>
      <c r="BZ132" s="2" t="s">
        <v>100</v>
      </c>
    </row>
    <row r="133">
      <c r="A133" s="2" t="s">
        <v>683</v>
      </c>
      <c r="B133" s="2" t="s">
        <v>87</v>
      </c>
      <c r="C133" s="2" t="s">
        <v>645</v>
      </c>
      <c r="D133" s="2" t="s">
        <v>89</v>
      </c>
      <c r="E133" s="2" t="s">
        <v>646</v>
      </c>
      <c r="F133" s="2" t="s">
        <v>647</v>
      </c>
      <c r="G133" s="2" t="s">
        <v>648</v>
      </c>
      <c r="H133" s="2" t="s">
        <v>649</v>
      </c>
      <c r="I133" s="2" t="s">
        <v>650</v>
      </c>
      <c r="J133" s="2" t="s">
        <v>114</v>
      </c>
      <c r="K133" s="2" t="s">
        <v>349</v>
      </c>
      <c r="L133" s="3">
        <v>98.99</v>
      </c>
      <c r="M133" s="3">
        <v>103.94</v>
      </c>
      <c r="N133" s="3">
        <v>199.99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678</v>
      </c>
      <c r="T133" s="2" t="s">
        <v>100</v>
      </c>
      <c r="U133" s="2" t="s">
        <v>652</v>
      </c>
      <c r="V133" s="2" t="s">
        <v>653</v>
      </c>
      <c r="W133" s="2" t="s">
        <v>291</v>
      </c>
      <c r="X133" s="2" t="s">
        <v>292</v>
      </c>
      <c r="Y133" s="2" t="s">
        <v>679</v>
      </c>
      <c r="Z133" s="4">
        <v>1032</v>
      </c>
      <c r="AA133" s="4">
        <f>=ROUNDDOWN(26.4615384615385,0)</f>
      </c>
      <c r="AB133" s="5">
        <v>39</v>
      </c>
      <c r="AC133" s="2" t="s">
        <v>184</v>
      </c>
      <c r="AD133" s="4">
        <v>100</v>
      </c>
      <c r="AE133" s="4">
        <v>500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/>
      <c r="AP133" s="4">
        <v>10</v>
      </c>
      <c r="AQ133" s="8">
        <v>1185.4</v>
      </c>
      <c r="AR133" s="4">
        <v>19</v>
      </c>
      <c r="AS133" s="8">
        <v>2252.26</v>
      </c>
      <c r="AT133" s="7">
        <v>-0.4737</v>
      </c>
      <c r="AU133" s="7">
        <v>-0.4737</v>
      </c>
      <c r="AV133" s="4" t="s">
        <v>100</v>
      </c>
      <c r="AW133" s="8" t="s">
        <v>100</v>
      </c>
      <c r="AX133" s="4" t="s">
        <v>100</v>
      </c>
      <c r="AY133" s="8" t="s">
        <v>100</v>
      </c>
      <c r="AZ133" s="7" t="s">
        <v>100</v>
      </c>
      <c r="BA133" s="7" t="s">
        <v>100</v>
      </c>
      <c r="BB133" s="7">
        <v>0.4796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 t="s">
        <v>100</v>
      </c>
      <c r="BJ133" s="4">
        <v>208</v>
      </c>
      <c r="BK133" s="8">
        <v>23788.93</v>
      </c>
      <c r="BL133" s="2" t="s">
        <v>684</v>
      </c>
      <c r="BM133" s="7">
        <v>0.0481</v>
      </c>
      <c r="BN133" s="7">
        <v>0.0498</v>
      </c>
      <c r="BO133" s="4">
        <v>10</v>
      </c>
      <c r="BP133" s="8">
        <v>1185.4</v>
      </c>
      <c r="BQ133" s="4">
        <v>19</v>
      </c>
      <c r="BR133" s="8">
        <v>2252.26</v>
      </c>
      <c r="BS133" s="7">
        <v>-0.4737</v>
      </c>
      <c r="BT133" s="7">
        <v>-0.4737</v>
      </c>
      <c r="BU133" s="2" t="s">
        <v>109</v>
      </c>
      <c r="BV133" s="2" t="s">
        <v>97</v>
      </c>
      <c r="BW133" s="2" t="s">
        <v>681</v>
      </c>
      <c r="BX133" s="2" t="s">
        <v>685</v>
      </c>
      <c r="BY133" s="2" t="s">
        <v>112</v>
      </c>
      <c r="BZ133" s="2" t="s">
        <v>100</v>
      </c>
    </row>
    <row r="134">
      <c r="A134" s="2" t="s">
        <v>686</v>
      </c>
      <c r="B134" s="2" t="s">
        <v>87</v>
      </c>
      <c r="C134" s="2" t="s">
        <v>645</v>
      </c>
      <c r="D134" s="2" t="s">
        <v>89</v>
      </c>
      <c r="E134" s="2" t="s">
        <v>646</v>
      </c>
      <c r="F134" s="2" t="s">
        <v>647</v>
      </c>
      <c r="G134" s="2" t="s">
        <v>648</v>
      </c>
      <c r="H134" s="2" t="s">
        <v>649</v>
      </c>
      <c r="I134" s="2" t="s">
        <v>650</v>
      </c>
      <c r="J134" s="2" t="s">
        <v>120</v>
      </c>
      <c r="K134" s="2" t="s">
        <v>349</v>
      </c>
      <c r="L134" s="3">
        <v>98.99</v>
      </c>
      <c r="M134" s="3">
        <v>103.94</v>
      </c>
      <c r="N134" s="3">
        <v>199.99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678</v>
      </c>
      <c r="T134" s="2" t="s">
        <v>100</v>
      </c>
      <c r="U134" s="2" t="s">
        <v>652</v>
      </c>
      <c r="V134" s="2" t="s">
        <v>653</v>
      </c>
      <c r="W134" s="2" t="s">
        <v>291</v>
      </c>
      <c r="X134" s="2" t="s">
        <v>292</v>
      </c>
      <c r="Y134" s="2" t="s">
        <v>679</v>
      </c>
      <c r="Z134" s="4">
        <v>805</v>
      </c>
      <c r="AA134" s="4">
        <f>=ROUNDDOWN(35,0)</f>
      </c>
      <c r="AB134" s="5">
        <v>23</v>
      </c>
      <c r="AC134" s="2" t="s">
        <v>184</v>
      </c>
      <c r="AD134" s="4">
        <v>150</v>
      </c>
      <c r="AE134" s="4">
        <v>200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/>
      <c r="AP134" s="4">
        <v>1</v>
      </c>
      <c r="AQ134" s="8">
        <v>118.54</v>
      </c>
      <c r="AR134" s="4">
        <v>11</v>
      </c>
      <c r="AS134" s="8">
        <v>1303.94</v>
      </c>
      <c r="AT134" s="7">
        <v>-0.9091</v>
      </c>
      <c r="AU134" s="7">
        <v>-0.9091</v>
      </c>
      <c r="AV134" s="4" t="s">
        <v>100</v>
      </c>
      <c r="AW134" s="8" t="s">
        <v>100</v>
      </c>
      <c r="AX134" s="4" t="s">
        <v>100</v>
      </c>
      <c r="AY134" s="8" t="s">
        <v>100</v>
      </c>
      <c r="AZ134" s="7" t="s">
        <v>100</v>
      </c>
      <c r="BA134" s="7" t="s">
        <v>100</v>
      </c>
      <c r="BB134" s="7">
        <v>0.048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 t="s">
        <v>100</v>
      </c>
      <c r="BJ134" s="4">
        <v>81</v>
      </c>
      <c r="BK134" s="8">
        <v>9140.61</v>
      </c>
      <c r="BL134" s="2" t="s">
        <v>687</v>
      </c>
      <c r="BM134" s="7">
        <v>0.0123</v>
      </c>
      <c r="BN134" s="7">
        <v>0.013</v>
      </c>
      <c r="BO134" s="4">
        <v>1</v>
      </c>
      <c r="BP134" s="8">
        <v>118.54</v>
      </c>
      <c r="BQ134" s="4">
        <v>11</v>
      </c>
      <c r="BR134" s="8">
        <v>1303.94</v>
      </c>
      <c r="BS134" s="7">
        <v>-0.9091</v>
      </c>
      <c r="BT134" s="7">
        <v>-0.9091</v>
      </c>
      <c r="BU134" s="2" t="s">
        <v>109</v>
      </c>
      <c r="BV134" s="2" t="s">
        <v>97</v>
      </c>
      <c r="BW134" s="2" t="s">
        <v>681</v>
      </c>
      <c r="BX134" s="2" t="s">
        <v>688</v>
      </c>
      <c r="BY134" s="2" t="s">
        <v>112</v>
      </c>
      <c r="BZ134" s="2" t="s">
        <v>100</v>
      </c>
    </row>
    <row r="135">
      <c r="A135" s="2" t="s">
        <v>689</v>
      </c>
      <c r="B135" s="2" t="s">
        <v>87</v>
      </c>
      <c r="C135" s="2" t="s">
        <v>645</v>
      </c>
      <c r="D135" s="2" t="s">
        <v>89</v>
      </c>
      <c r="E135" s="2" t="s">
        <v>646</v>
      </c>
      <c r="F135" s="2" t="s">
        <v>647</v>
      </c>
      <c r="G135" s="2" t="s">
        <v>648</v>
      </c>
      <c r="H135" s="2" t="s">
        <v>649</v>
      </c>
      <c r="I135" s="2" t="s">
        <v>650</v>
      </c>
      <c r="J135" s="2" t="s">
        <v>95</v>
      </c>
      <c r="K135" s="2" t="s">
        <v>177</v>
      </c>
      <c r="L135" s="3">
        <v>89.99</v>
      </c>
      <c r="M135" s="3">
        <v>94.49</v>
      </c>
      <c r="N135" s="3">
        <v>179.99</v>
      </c>
      <c r="O135" s="2" t="s">
        <v>97</v>
      </c>
      <c r="P135" s="2" t="s">
        <v>126</v>
      </c>
      <c r="Q135" s="2" t="s">
        <v>99</v>
      </c>
      <c r="R135" s="2" t="s">
        <v>100</v>
      </c>
      <c r="S135" s="2" t="s">
        <v>690</v>
      </c>
      <c r="T135" s="2" t="s">
        <v>100</v>
      </c>
      <c r="U135" s="2" t="s">
        <v>652</v>
      </c>
      <c r="V135" s="2" t="s">
        <v>653</v>
      </c>
      <c r="W135" s="2" t="s">
        <v>291</v>
      </c>
      <c r="X135" s="2" t="s">
        <v>292</v>
      </c>
      <c r="Y135" s="2" t="s">
        <v>665</v>
      </c>
      <c r="Z135" s="4">
        <v>677</v>
      </c>
      <c r="AA135" s="4">
        <f>=ROUNDDOWN(23.3448275862069,0)</f>
      </c>
      <c r="AB135" s="5">
        <v>29</v>
      </c>
      <c r="AC135" s="2" t="s">
        <v>184</v>
      </c>
      <c r="AD135" s="4">
        <v>150</v>
      </c>
      <c r="AE135" s="4">
        <v>450</v>
      </c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/>
      <c r="AP135" s="4">
        <v>11</v>
      </c>
      <c r="AQ135" s="8">
        <v>1167.87</v>
      </c>
      <c r="AR135" s="4">
        <v>6</v>
      </c>
      <c r="AS135" s="8">
        <v>637.02</v>
      </c>
      <c r="AT135" s="7">
        <v>0.8333</v>
      </c>
      <c r="AU135" s="7">
        <v>0.8333</v>
      </c>
      <c r="AV135" s="4">
        <v>20</v>
      </c>
      <c r="AW135" s="8">
        <v>2234.73</v>
      </c>
      <c r="AX135" s="4">
        <v>14</v>
      </c>
      <c r="AY135" s="8">
        <v>1585.34</v>
      </c>
      <c r="AZ135" s="7">
        <v>0.4286</v>
      </c>
      <c r="BA135" s="7">
        <v>0.4096</v>
      </c>
      <c r="BB135" s="7">
        <v>0.5226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0.1354</v>
      </c>
      <c r="BJ135" s="4">
        <v>185</v>
      </c>
      <c r="BK135" s="8">
        <v>18764.71</v>
      </c>
      <c r="BL135" s="2" t="s">
        <v>691</v>
      </c>
      <c r="BM135" s="7">
        <v>0.0595</v>
      </c>
      <c r="BN135" s="7">
        <v>0.0622</v>
      </c>
      <c r="BO135" s="4">
        <v>11</v>
      </c>
      <c r="BP135" s="8">
        <v>1167.87</v>
      </c>
      <c r="BQ135" s="4">
        <v>6</v>
      </c>
      <c r="BR135" s="8">
        <v>637.02</v>
      </c>
      <c r="BS135" s="7">
        <v>0.8333</v>
      </c>
      <c r="BT135" s="7">
        <v>0.8333</v>
      </c>
      <c r="BU135" s="2" t="s">
        <v>109</v>
      </c>
      <c r="BV135" s="2" t="s">
        <v>97</v>
      </c>
      <c r="BW135" s="2" t="s">
        <v>668</v>
      </c>
      <c r="BX135" s="2" t="s">
        <v>692</v>
      </c>
      <c r="BY135" s="2" t="s">
        <v>112</v>
      </c>
      <c r="BZ135" s="2" t="s">
        <v>100</v>
      </c>
    </row>
    <row r="136">
      <c r="A136" s="2" t="s">
        <v>693</v>
      </c>
      <c r="B136" s="2" t="s">
        <v>87</v>
      </c>
      <c r="C136" s="2" t="s">
        <v>645</v>
      </c>
      <c r="D136" s="2" t="s">
        <v>89</v>
      </c>
      <c r="E136" s="2" t="s">
        <v>646</v>
      </c>
      <c r="F136" s="2" t="s">
        <v>647</v>
      </c>
      <c r="G136" s="2" t="s">
        <v>648</v>
      </c>
      <c r="H136" s="2" t="s">
        <v>649</v>
      </c>
      <c r="I136" s="2" t="s">
        <v>650</v>
      </c>
      <c r="J136" s="2" t="s">
        <v>114</v>
      </c>
      <c r="K136" s="2" t="s">
        <v>177</v>
      </c>
      <c r="L136" s="3">
        <v>98.99</v>
      </c>
      <c r="M136" s="3">
        <v>103.94</v>
      </c>
      <c r="N136" s="3">
        <v>199.99</v>
      </c>
      <c r="O136" s="2" t="s">
        <v>97</v>
      </c>
      <c r="P136" s="2" t="s">
        <v>126</v>
      </c>
      <c r="Q136" s="2" t="s">
        <v>99</v>
      </c>
      <c r="R136" s="2" t="s">
        <v>100</v>
      </c>
      <c r="S136" s="2" t="s">
        <v>690</v>
      </c>
      <c r="T136" s="2" t="s">
        <v>100</v>
      </c>
      <c r="U136" s="2" t="s">
        <v>652</v>
      </c>
      <c r="V136" s="2" t="s">
        <v>653</v>
      </c>
      <c r="W136" s="2" t="s">
        <v>291</v>
      </c>
      <c r="X136" s="2" t="s">
        <v>292</v>
      </c>
      <c r="Y136" s="2" t="s">
        <v>665</v>
      </c>
      <c r="Z136" s="4">
        <v>512</v>
      </c>
      <c r="AA136" s="4">
        <f>=ROUNDDOWN(19.6923076923077,0)</f>
      </c>
      <c r="AB136" s="5">
        <v>26</v>
      </c>
      <c r="AC136" s="2" t="s">
        <v>184</v>
      </c>
      <c r="AD136" s="4">
        <v>100</v>
      </c>
      <c r="AE136" s="4">
        <v>570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/>
      <c r="AP136" s="4">
        <v>6</v>
      </c>
      <c r="AQ136" s="8">
        <v>711.24</v>
      </c>
      <c r="AR136" s="4">
        <v>8</v>
      </c>
      <c r="AS136" s="8">
        <v>948.32</v>
      </c>
      <c r="AT136" s="7">
        <v>-0.25</v>
      </c>
      <c r="AU136" s="7">
        <v>-0.25</v>
      </c>
      <c r="AV136" s="4" t="s">
        <v>100</v>
      </c>
      <c r="AW136" s="8" t="s">
        <v>100</v>
      </c>
      <c r="AX136" s="4" t="s">
        <v>100</v>
      </c>
      <c r="AY136" s="8" t="s">
        <v>100</v>
      </c>
      <c r="AZ136" s="7" t="s">
        <v>100</v>
      </c>
      <c r="BA136" s="7" t="s">
        <v>100</v>
      </c>
      <c r="BB136" s="7">
        <v>0.3183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 t="s">
        <v>100</v>
      </c>
      <c r="BJ136" s="4">
        <v>108</v>
      </c>
      <c r="BK136" s="8">
        <v>12181.75</v>
      </c>
      <c r="BL136" s="2" t="s">
        <v>694</v>
      </c>
      <c r="BM136" s="7">
        <v>0.0556</v>
      </c>
      <c r="BN136" s="7">
        <v>0.0584</v>
      </c>
      <c r="BO136" s="4">
        <v>6</v>
      </c>
      <c r="BP136" s="8">
        <v>711.24</v>
      </c>
      <c r="BQ136" s="4">
        <v>8</v>
      </c>
      <c r="BR136" s="8">
        <v>948.32</v>
      </c>
      <c r="BS136" s="7">
        <v>-0.25</v>
      </c>
      <c r="BT136" s="7">
        <v>-0.25</v>
      </c>
      <c r="BU136" s="2" t="s">
        <v>109</v>
      </c>
      <c r="BV136" s="2" t="s">
        <v>97</v>
      </c>
      <c r="BW136" s="2" t="s">
        <v>668</v>
      </c>
      <c r="BX136" s="2" t="s">
        <v>669</v>
      </c>
      <c r="BY136" s="2" t="s">
        <v>112</v>
      </c>
      <c r="BZ136" s="2" t="s">
        <v>100</v>
      </c>
    </row>
    <row r="137">
      <c r="A137" s="2" t="s">
        <v>695</v>
      </c>
      <c r="B137" s="2" t="s">
        <v>87</v>
      </c>
      <c r="C137" s="2" t="s">
        <v>645</v>
      </c>
      <c r="D137" s="2" t="s">
        <v>89</v>
      </c>
      <c r="E137" s="2" t="s">
        <v>646</v>
      </c>
      <c r="F137" s="2" t="s">
        <v>647</v>
      </c>
      <c r="G137" s="2" t="s">
        <v>648</v>
      </c>
      <c r="H137" s="2" t="s">
        <v>649</v>
      </c>
      <c r="I137" s="2" t="s">
        <v>650</v>
      </c>
      <c r="J137" s="2" t="s">
        <v>120</v>
      </c>
      <c r="K137" s="2" t="s">
        <v>177</v>
      </c>
      <c r="L137" s="3">
        <v>98.99</v>
      </c>
      <c r="M137" s="3">
        <v>103.94</v>
      </c>
      <c r="N137" s="3">
        <v>199.99</v>
      </c>
      <c r="O137" s="2" t="s">
        <v>97</v>
      </c>
      <c r="P137" s="2" t="s">
        <v>126</v>
      </c>
      <c r="Q137" s="2" t="s">
        <v>99</v>
      </c>
      <c r="R137" s="2" t="s">
        <v>100</v>
      </c>
      <c r="S137" s="2" t="s">
        <v>690</v>
      </c>
      <c r="T137" s="2" t="s">
        <v>100</v>
      </c>
      <c r="U137" s="2" t="s">
        <v>652</v>
      </c>
      <c r="V137" s="2" t="s">
        <v>653</v>
      </c>
      <c r="W137" s="2" t="s">
        <v>291</v>
      </c>
      <c r="X137" s="2" t="s">
        <v>292</v>
      </c>
      <c r="Y137" s="2" t="s">
        <v>665</v>
      </c>
      <c r="Z137" s="4">
        <v>414</v>
      </c>
      <c r="AA137" s="4">
        <f>=ROUNDDOWN(25.875,0)</f>
      </c>
      <c r="AB137" s="5">
        <v>16</v>
      </c>
      <c r="AC137" s="2" t="s">
        <v>696</v>
      </c>
      <c r="AD137" s="4">
        <v>80</v>
      </c>
      <c r="AE137" s="4">
        <v>180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/>
      <c r="AP137" s="4">
        <v>3</v>
      </c>
      <c r="AQ137" s="8">
        <v>355.62</v>
      </c>
      <c r="AR137" s="4"/>
      <c r="AS137" s="8"/>
      <c r="AT137" s="7"/>
      <c r="AU137" s="7"/>
      <c r="AV137" s="4" t="s">
        <v>100</v>
      </c>
      <c r="AW137" s="8" t="s">
        <v>100</v>
      </c>
      <c r="AX137" s="4" t="s">
        <v>100</v>
      </c>
      <c r="AY137" s="8" t="s">
        <v>100</v>
      </c>
      <c r="AZ137" s="7" t="s">
        <v>100</v>
      </c>
      <c r="BA137" s="7" t="s">
        <v>100</v>
      </c>
      <c r="BB137" s="7">
        <v>0.1591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 t="s">
        <v>100</v>
      </c>
      <c r="BJ137" s="4">
        <v>52</v>
      </c>
      <c r="BK137" s="8">
        <v>5716.12</v>
      </c>
      <c r="BL137" s="2" t="s">
        <v>697</v>
      </c>
      <c r="BM137" s="7">
        <v>0.0577</v>
      </c>
      <c r="BN137" s="7">
        <v>0.0622</v>
      </c>
      <c r="BO137" s="4">
        <v>3</v>
      </c>
      <c r="BP137" s="8">
        <v>355.62</v>
      </c>
      <c r="BQ137" s="4"/>
      <c r="BR137" s="8"/>
      <c r="BS137" s="7"/>
      <c r="BT137" s="7"/>
      <c r="BU137" s="2" t="s">
        <v>109</v>
      </c>
      <c r="BV137" s="2" t="s">
        <v>97</v>
      </c>
      <c r="BW137" s="2" t="s">
        <v>668</v>
      </c>
      <c r="BX137" s="2" t="s">
        <v>669</v>
      </c>
      <c r="BY137" s="2" t="s">
        <v>112</v>
      </c>
      <c r="BZ137" s="2" t="s">
        <v>100</v>
      </c>
    </row>
    <row r="138">
      <c r="A138" s="2" t="s">
        <v>698</v>
      </c>
      <c r="B138" s="2" t="s">
        <v>87</v>
      </c>
      <c r="C138" s="2" t="s">
        <v>645</v>
      </c>
      <c r="D138" s="2" t="s">
        <v>89</v>
      </c>
      <c r="E138" s="2" t="s">
        <v>646</v>
      </c>
      <c r="F138" s="2" t="s">
        <v>647</v>
      </c>
      <c r="G138" s="2" t="s">
        <v>648</v>
      </c>
      <c r="H138" s="2" t="s">
        <v>649</v>
      </c>
      <c r="I138" s="2" t="s">
        <v>650</v>
      </c>
      <c r="J138" s="2" t="s">
        <v>95</v>
      </c>
      <c r="K138" s="2" t="s">
        <v>203</v>
      </c>
      <c r="L138" s="3">
        <v>89.99</v>
      </c>
      <c r="M138" s="3">
        <v>94.49</v>
      </c>
      <c r="N138" s="3">
        <v>179.99</v>
      </c>
      <c r="O138" s="2" t="s">
        <v>97</v>
      </c>
      <c r="P138" s="2" t="s">
        <v>141</v>
      </c>
      <c r="Q138" s="2" t="s">
        <v>99</v>
      </c>
      <c r="R138" s="2" t="s">
        <v>100</v>
      </c>
      <c r="S138" s="2" t="s">
        <v>699</v>
      </c>
      <c r="T138" s="2" t="s">
        <v>100</v>
      </c>
      <c r="U138" s="2" t="s">
        <v>652</v>
      </c>
      <c r="V138" s="2" t="s">
        <v>653</v>
      </c>
      <c r="W138" s="2" t="s">
        <v>291</v>
      </c>
      <c r="X138" s="2" t="s">
        <v>292</v>
      </c>
      <c r="Y138" s="2" t="s">
        <v>654</v>
      </c>
      <c r="Z138" s="4">
        <v>545</v>
      </c>
      <c r="AA138" s="4">
        <f>=ROUNDDOWN(60.5555555555556,0)</f>
      </c>
      <c r="AB138" s="5">
        <v>9</v>
      </c>
      <c r="AC138" s="2" t="s">
        <v>100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/>
      <c r="AP138" s="4">
        <v>7</v>
      </c>
      <c r="AQ138" s="8">
        <v>743.19</v>
      </c>
      <c r="AR138" s="4">
        <v>6</v>
      </c>
      <c r="AS138" s="8">
        <v>637.02</v>
      </c>
      <c r="AT138" s="7">
        <v>0.1667</v>
      </c>
      <c r="AU138" s="7">
        <v>0.1667</v>
      </c>
      <c r="AV138" s="4">
        <v>18</v>
      </c>
      <c r="AW138" s="8">
        <v>2047.13</v>
      </c>
      <c r="AX138" s="4">
        <v>16</v>
      </c>
      <c r="AY138" s="8">
        <v>1822.42</v>
      </c>
      <c r="AZ138" s="7">
        <v>0.125</v>
      </c>
      <c r="BA138" s="7">
        <v>0.1233</v>
      </c>
      <c r="BB138" s="7">
        <v>0.363</v>
      </c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>
        <v>0.124</v>
      </c>
      <c r="BJ138" s="4">
        <v>56</v>
      </c>
      <c r="BK138" s="8">
        <v>5572.06</v>
      </c>
      <c r="BL138" s="2" t="s">
        <v>700</v>
      </c>
      <c r="BM138" s="7">
        <v>0.125</v>
      </c>
      <c r="BN138" s="7">
        <v>0.1334</v>
      </c>
      <c r="BO138" s="4">
        <v>7</v>
      </c>
      <c r="BP138" s="8">
        <v>743.19</v>
      </c>
      <c r="BQ138" s="4">
        <v>6</v>
      </c>
      <c r="BR138" s="8">
        <v>637.02</v>
      </c>
      <c r="BS138" s="7">
        <v>0.1667</v>
      </c>
      <c r="BT138" s="7">
        <v>0.1667</v>
      </c>
      <c r="BU138" s="2" t="s">
        <v>109</v>
      </c>
      <c r="BV138" s="2" t="s">
        <v>97</v>
      </c>
      <c r="BW138" s="2" t="s">
        <v>656</v>
      </c>
      <c r="BX138" s="2" t="s">
        <v>297</v>
      </c>
      <c r="BY138" s="2" t="s">
        <v>112</v>
      </c>
      <c r="BZ138" s="2" t="s">
        <v>100</v>
      </c>
    </row>
    <row r="139">
      <c r="A139" s="2" t="s">
        <v>701</v>
      </c>
      <c r="B139" s="2" t="s">
        <v>87</v>
      </c>
      <c r="C139" s="2" t="s">
        <v>645</v>
      </c>
      <c r="D139" s="2" t="s">
        <v>89</v>
      </c>
      <c r="E139" s="2" t="s">
        <v>646</v>
      </c>
      <c r="F139" s="2" t="s">
        <v>647</v>
      </c>
      <c r="G139" s="2" t="s">
        <v>648</v>
      </c>
      <c r="H139" s="2" t="s">
        <v>649</v>
      </c>
      <c r="I139" s="2" t="s">
        <v>650</v>
      </c>
      <c r="J139" s="2" t="s">
        <v>114</v>
      </c>
      <c r="K139" s="2" t="s">
        <v>203</v>
      </c>
      <c r="L139" s="3">
        <v>98.99</v>
      </c>
      <c r="M139" s="3">
        <v>103.94</v>
      </c>
      <c r="N139" s="3">
        <v>199.99</v>
      </c>
      <c r="O139" s="2" t="s">
        <v>97</v>
      </c>
      <c r="P139" s="2" t="s">
        <v>141</v>
      </c>
      <c r="Q139" s="2" t="s">
        <v>99</v>
      </c>
      <c r="R139" s="2" t="s">
        <v>100</v>
      </c>
      <c r="S139" s="2" t="s">
        <v>699</v>
      </c>
      <c r="T139" s="2" t="s">
        <v>100</v>
      </c>
      <c r="U139" s="2" t="s">
        <v>652</v>
      </c>
      <c r="V139" s="2" t="s">
        <v>653</v>
      </c>
      <c r="W139" s="2" t="s">
        <v>291</v>
      </c>
      <c r="X139" s="2" t="s">
        <v>292</v>
      </c>
      <c r="Y139" s="2" t="s">
        <v>654</v>
      </c>
      <c r="Z139" s="4">
        <v>398</v>
      </c>
      <c r="AA139" s="4">
        <f>=ROUNDDOWN(36.1818181818182,0)</f>
      </c>
      <c r="AB139" s="5">
        <v>11</v>
      </c>
      <c r="AC139" s="2" t="s">
        <v>100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/>
      <c r="AP139" s="4">
        <v>9</v>
      </c>
      <c r="AQ139" s="8">
        <v>1066.86</v>
      </c>
      <c r="AR139" s="4">
        <v>4</v>
      </c>
      <c r="AS139" s="8">
        <v>474.16</v>
      </c>
      <c r="AT139" s="7">
        <v>1.25</v>
      </c>
      <c r="AU139" s="7">
        <v>1.25</v>
      </c>
      <c r="AV139" s="4" t="s">
        <v>100</v>
      </c>
      <c r="AW139" s="8" t="s">
        <v>100</v>
      </c>
      <c r="AX139" s="4" t="s">
        <v>100</v>
      </c>
      <c r="AY139" s="8" t="s">
        <v>100</v>
      </c>
      <c r="AZ139" s="7" t="s">
        <v>100</v>
      </c>
      <c r="BA139" s="7" t="s">
        <v>100</v>
      </c>
      <c r="BB139" s="7">
        <v>0.5211</v>
      </c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 t="s">
        <v>100</v>
      </c>
      <c r="BJ139" s="4">
        <v>47</v>
      </c>
      <c r="BK139" s="8">
        <v>5231.99</v>
      </c>
      <c r="BL139" s="2" t="s">
        <v>702</v>
      </c>
      <c r="BM139" s="7">
        <v>0.1915</v>
      </c>
      <c r="BN139" s="7">
        <v>0.2039</v>
      </c>
      <c r="BO139" s="4">
        <v>9</v>
      </c>
      <c r="BP139" s="8">
        <v>1066.86</v>
      </c>
      <c r="BQ139" s="4">
        <v>4</v>
      </c>
      <c r="BR139" s="8">
        <v>474.16</v>
      </c>
      <c r="BS139" s="7">
        <v>1.25</v>
      </c>
      <c r="BT139" s="7">
        <v>1.25</v>
      </c>
      <c r="BU139" s="2" t="s">
        <v>109</v>
      </c>
      <c r="BV139" s="2" t="s">
        <v>97</v>
      </c>
      <c r="BW139" s="2" t="s">
        <v>656</v>
      </c>
      <c r="BX139" s="2" t="s">
        <v>703</v>
      </c>
      <c r="BY139" s="2" t="s">
        <v>112</v>
      </c>
      <c r="BZ139" s="2" t="s">
        <v>100</v>
      </c>
    </row>
    <row r="140">
      <c r="A140" s="2" t="s">
        <v>704</v>
      </c>
      <c r="B140" s="2" t="s">
        <v>87</v>
      </c>
      <c r="C140" s="2" t="s">
        <v>645</v>
      </c>
      <c r="D140" s="2" t="s">
        <v>89</v>
      </c>
      <c r="E140" s="2" t="s">
        <v>646</v>
      </c>
      <c r="F140" s="2" t="s">
        <v>647</v>
      </c>
      <c r="G140" s="2" t="s">
        <v>648</v>
      </c>
      <c r="H140" s="2" t="s">
        <v>649</v>
      </c>
      <c r="I140" s="2" t="s">
        <v>650</v>
      </c>
      <c r="J140" s="2" t="s">
        <v>120</v>
      </c>
      <c r="K140" s="2" t="s">
        <v>203</v>
      </c>
      <c r="L140" s="3">
        <v>98.99</v>
      </c>
      <c r="M140" s="3">
        <v>103.94</v>
      </c>
      <c r="N140" s="3">
        <v>199.99</v>
      </c>
      <c r="O140" s="2" t="s">
        <v>97</v>
      </c>
      <c r="P140" s="2" t="s">
        <v>141</v>
      </c>
      <c r="Q140" s="2" t="s">
        <v>99</v>
      </c>
      <c r="R140" s="2" t="s">
        <v>100</v>
      </c>
      <c r="S140" s="2" t="s">
        <v>699</v>
      </c>
      <c r="T140" s="2" t="s">
        <v>100</v>
      </c>
      <c r="U140" s="2" t="s">
        <v>652</v>
      </c>
      <c r="V140" s="2" t="s">
        <v>653</v>
      </c>
      <c r="W140" s="2" t="s">
        <v>291</v>
      </c>
      <c r="X140" s="2" t="s">
        <v>292</v>
      </c>
      <c r="Y140" s="2" t="s">
        <v>654</v>
      </c>
      <c r="Z140" s="4">
        <v>298</v>
      </c>
      <c r="AA140" s="4">
        <f>=ROUNDDOWN(49.6666666666667,0)</f>
      </c>
      <c r="AB140" s="5">
        <v>6</v>
      </c>
      <c r="AC140" s="2" t="s">
        <v>100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/>
      <c r="AP140" s="4">
        <v>2</v>
      </c>
      <c r="AQ140" s="8">
        <v>237.08</v>
      </c>
      <c r="AR140" s="4">
        <v>6</v>
      </c>
      <c r="AS140" s="8">
        <v>711.24</v>
      </c>
      <c r="AT140" s="7">
        <v>-0.6667</v>
      </c>
      <c r="AU140" s="7">
        <v>-0.6667</v>
      </c>
      <c r="AV140" s="4" t="s">
        <v>100</v>
      </c>
      <c r="AW140" s="8" t="s">
        <v>100</v>
      </c>
      <c r="AX140" s="4" t="s">
        <v>100</v>
      </c>
      <c r="AY140" s="8" t="s">
        <v>100</v>
      </c>
      <c r="AZ140" s="7" t="s">
        <v>100</v>
      </c>
      <c r="BA140" s="7" t="s">
        <v>100</v>
      </c>
      <c r="BB140" s="7">
        <v>0.1158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 t="s">
        <v>100</v>
      </c>
      <c r="BJ140" s="4">
        <v>19</v>
      </c>
      <c r="BK140" s="8">
        <v>2049.86</v>
      </c>
      <c r="BL140" s="2" t="s">
        <v>304</v>
      </c>
      <c r="BM140" s="7">
        <v>0.1053</v>
      </c>
      <c r="BN140" s="7">
        <v>0.1157</v>
      </c>
      <c r="BO140" s="4">
        <v>2</v>
      </c>
      <c r="BP140" s="8">
        <v>237.08</v>
      </c>
      <c r="BQ140" s="4">
        <v>6</v>
      </c>
      <c r="BR140" s="8">
        <v>711.24</v>
      </c>
      <c r="BS140" s="7">
        <v>-0.6667</v>
      </c>
      <c r="BT140" s="7">
        <v>-0.6667</v>
      </c>
      <c r="BU140" s="2" t="s">
        <v>109</v>
      </c>
      <c r="BV140" s="2" t="s">
        <v>97</v>
      </c>
      <c r="BW140" s="2" t="s">
        <v>656</v>
      </c>
      <c r="BX140" s="2" t="s">
        <v>274</v>
      </c>
      <c r="BY140" s="2" t="s">
        <v>112</v>
      </c>
      <c r="BZ140" s="2" t="s">
        <v>100</v>
      </c>
    </row>
    <row r="141">
      <c r="A141" s="2" t="s">
        <v>705</v>
      </c>
      <c r="B141" s="2" t="s">
        <v>87</v>
      </c>
      <c r="C141" s="2" t="s">
        <v>645</v>
      </c>
      <c r="D141" s="2" t="s">
        <v>89</v>
      </c>
      <c r="E141" s="2" t="s">
        <v>646</v>
      </c>
      <c r="F141" s="2" t="s">
        <v>647</v>
      </c>
      <c r="G141" s="2" t="s">
        <v>648</v>
      </c>
      <c r="H141" s="2" t="s">
        <v>649</v>
      </c>
      <c r="I141" s="2" t="s">
        <v>650</v>
      </c>
      <c r="J141" s="2" t="s">
        <v>95</v>
      </c>
      <c r="K141" s="2" t="s">
        <v>216</v>
      </c>
      <c r="L141" s="3">
        <v>89.99</v>
      </c>
      <c r="M141" s="3">
        <v>94.49</v>
      </c>
      <c r="N141" s="3">
        <v>179.99</v>
      </c>
      <c r="O141" s="2" t="s">
        <v>97</v>
      </c>
      <c r="P141" s="2" t="s">
        <v>126</v>
      </c>
      <c r="Q141" s="2" t="s">
        <v>99</v>
      </c>
      <c r="R141" s="2" t="s">
        <v>100</v>
      </c>
      <c r="S141" s="2" t="s">
        <v>706</v>
      </c>
      <c r="T141" s="2" t="s">
        <v>100</v>
      </c>
      <c r="U141" s="2" t="s">
        <v>652</v>
      </c>
      <c r="V141" s="2" t="s">
        <v>653</v>
      </c>
      <c r="W141" s="2" t="s">
        <v>291</v>
      </c>
      <c r="X141" s="2" t="s">
        <v>292</v>
      </c>
      <c r="Y141" s="2" t="s">
        <v>129</v>
      </c>
      <c r="Z141" s="4">
        <v>1058</v>
      </c>
      <c r="AA141" s="4">
        <f>=ROUNDDOWN(27.8421052631579,0)</f>
      </c>
      <c r="AB141" s="5">
        <v>38</v>
      </c>
      <c r="AC141" s="2" t="s">
        <v>184</v>
      </c>
      <c r="AD141" s="4">
        <v>50</v>
      </c>
      <c r="AE141" s="4">
        <v>500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7</v>
      </c>
      <c r="AQ141" s="8">
        <v>743.19</v>
      </c>
      <c r="AR141" s="4">
        <v>15</v>
      </c>
      <c r="AS141" s="8">
        <v>1592.55</v>
      </c>
      <c r="AT141" s="7">
        <v>-0.5333</v>
      </c>
      <c r="AU141" s="7">
        <v>-0.5333</v>
      </c>
      <c r="AV141" s="4">
        <v>14</v>
      </c>
      <c r="AW141" s="8">
        <v>1572.97</v>
      </c>
      <c r="AX141" s="4">
        <v>26</v>
      </c>
      <c r="AY141" s="8">
        <v>2896.49</v>
      </c>
      <c r="AZ141" s="7">
        <v>-0.4615</v>
      </c>
      <c r="BA141" s="7">
        <v>-0.4569</v>
      </c>
      <c r="BB141" s="7">
        <v>0.4725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>
        <v>0.0953</v>
      </c>
      <c r="BJ141" s="4">
        <v>91</v>
      </c>
      <c r="BK141" s="8">
        <v>8888.74</v>
      </c>
      <c r="BL141" s="2" t="s">
        <v>707</v>
      </c>
      <c r="BM141" s="7">
        <v>0.0769</v>
      </c>
      <c r="BN141" s="7">
        <v>0.0836</v>
      </c>
      <c r="BO141" s="4">
        <v>7</v>
      </c>
      <c r="BP141" s="8">
        <v>743.19</v>
      </c>
      <c r="BQ141" s="4">
        <v>15</v>
      </c>
      <c r="BR141" s="8">
        <v>1592.55</v>
      </c>
      <c r="BS141" s="7">
        <v>-0.5333</v>
      </c>
      <c r="BT141" s="7">
        <v>-0.5333</v>
      </c>
      <c r="BU141" s="2" t="s">
        <v>109</v>
      </c>
      <c r="BV141" s="2" t="s">
        <v>97</v>
      </c>
      <c r="BW141" s="2" t="s">
        <v>164</v>
      </c>
      <c r="BX141" s="2" t="s">
        <v>708</v>
      </c>
      <c r="BY141" s="2" t="s">
        <v>112</v>
      </c>
      <c r="BZ141" s="2" t="s">
        <v>100</v>
      </c>
    </row>
    <row r="142">
      <c r="A142" s="2" t="s">
        <v>709</v>
      </c>
      <c r="B142" s="2" t="s">
        <v>87</v>
      </c>
      <c r="C142" s="2" t="s">
        <v>645</v>
      </c>
      <c r="D142" s="2" t="s">
        <v>89</v>
      </c>
      <c r="E142" s="2" t="s">
        <v>646</v>
      </c>
      <c r="F142" s="2" t="s">
        <v>647</v>
      </c>
      <c r="G142" s="2" t="s">
        <v>648</v>
      </c>
      <c r="H142" s="2" t="s">
        <v>649</v>
      </c>
      <c r="I142" s="2" t="s">
        <v>650</v>
      </c>
      <c r="J142" s="2" t="s">
        <v>114</v>
      </c>
      <c r="K142" s="2" t="s">
        <v>216</v>
      </c>
      <c r="L142" s="3">
        <v>98.99</v>
      </c>
      <c r="M142" s="3">
        <v>103.94</v>
      </c>
      <c r="N142" s="3">
        <v>199.99</v>
      </c>
      <c r="O142" s="2" t="s">
        <v>97</v>
      </c>
      <c r="P142" s="2" t="s">
        <v>126</v>
      </c>
      <c r="Q142" s="2" t="s">
        <v>99</v>
      </c>
      <c r="R142" s="2" t="s">
        <v>100</v>
      </c>
      <c r="S142" s="2" t="s">
        <v>706</v>
      </c>
      <c r="T142" s="2" t="s">
        <v>100</v>
      </c>
      <c r="U142" s="2" t="s">
        <v>652</v>
      </c>
      <c r="V142" s="2" t="s">
        <v>653</v>
      </c>
      <c r="W142" s="2" t="s">
        <v>291</v>
      </c>
      <c r="X142" s="2" t="s">
        <v>292</v>
      </c>
      <c r="Y142" s="2" t="s">
        <v>129</v>
      </c>
      <c r="Z142" s="4">
        <v>753</v>
      </c>
      <c r="AA142" s="4">
        <f>=ROUNDDOWN(24.2903225806452,0)</f>
      </c>
      <c r="AB142" s="5">
        <v>31</v>
      </c>
      <c r="AC142" s="2" t="s">
        <v>184</v>
      </c>
      <c r="AD142" s="4">
        <v>100</v>
      </c>
      <c r="AE142" s="4">
        <v>500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/>
      <c r="AP142" s="4">
        <v>5</v>
      </c>
      <c r="AQ142" s="8">
        <v>592.7</v>
      </c>
      <c r="AR142" s="4">
        <v>6</v>
      </c>
      <c r="AS142" s="8">
        <v>711.24</v>
      </c>
      <c r="AT142" s="7">
        <v>-0.1667</v>
      </c>
      <c r="AU142" s="7">
        <v>-0.1667</v>
      </c>
      <c r="AV142" s="4" t="s">
        <v>100</v>
      </c>
      <c r="AW142" s="8" t="s">
        <v>100</v>
      </c>
      <c r="AX142" s="4" t="s">
        <v>100</v>
      </c>
      <c r="AY142" s="8" t="s">
        <v>100</v>
      </c>
      <c r="AZ142" s="7" t="s">
        <v>100</v>
      </c>
      <c r="BA142" s="7" t="s">
        <v>100</v>
      </c>
      <c r="BB142" s="7">
        <v>0.3768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 t="s">
        <v>100</v>
      </c>
      <c r="BJ142" s="4">
        <v>68</v>
      </c>
      <c r="BK142" s="8">
        <v>7323.94</v>
      </c>
      <c r="BL142" s="2" t="s">
        <v>710</v>
      </c>
      <c r="BM142" s="7">
        <v>0.0735</v>
      </c>
      <c r="BN142" s="7">
        <v>0.0809</v>
      </c>
      <c r="BO142" s="4">
        <v>5</v>
      </c>
      <c r="BP142" s="8">
        <v>592.7</v>
      </c>
      <c r="BQ142" s="4">
        <v>6</v>
      </c>
      <c r="BR142" s="8">
        <v>711.24</v>
      </c>
      <c r="BS142" s="7">
        <v>-0.1667</v>
      </c>
      <c r="BT142" s="7">
        <v>-0.1667</v>
      </c>
      <c r="BU142" s="2" t="s">
        <v>109</v>
      </c>
      <c r="BV142" s="2" t="s">
        <v>97</v>
      </c>
      <c r="BW142" s="2" t="s">
        <v>164</v>
      </c>
      <c r="BX142" s="2" t="s">
        <v>711</v>
      </c>
      <c r="BY142" s="2" t="s">
        <v>112</v>
      </c>
      <c r="BZ142" s="2" t="s">
        <v>100</v>
      </c>
    </row>
    <row r="143">
      <c r="A143" s="2" t="s">
        <v>712</v>
      </c>
      <c r="B143" s="2" t="s">
        <v>87</v>
      </c>
      <c r="C143" s="2" t="s">
        <v>645</v>
      </c>
      <c r="D143" s="2" t="s">
        <v>89</v>
      </c>
      <c r="E143" s="2" t="s">
        <v>646</v>
      </c>
      <c r="F143" s="2" t="s">
        <v>647</v>
      </c>
      <c r="G143" s="2" t="s">
        <v>648</v>
      </c>
      <c r="H143" s="2" t="s">
        <v>649</v>
      </c>
      <c r="I143" s="2" t="s">
        <v>650</v>
      </c>
      <c r="J143" s="2" t="s">
        <v>120</v>
      </c>
      <c r="K143" s="2" t="s">
        <v>216</v>
      </c>
      <c r="L143" s="3">
        <v>98.99</v>
      </c>
      <c r="M143" s="3">
        <v>103.94</v>
      </c>
      <c r="N143" s="3">
        <v>199.99</v>
      </c>
      <c r="O143" s="2" t="s">
        <v>97</v>
      </c>
      <c r="P143" s="2" t="s">
        <v>126</v>
      </c>
      <c r="Q143" s="2" t="s">
        <v>99</v>
      </c>
      <c r="R143" s="2" t="s">
        <v>100</v>
      </c>
      <c r="S143" s="2" t="s">
        <v>706</v>
      </c>
      <c r="T143" s="2" t="s">
        <v>100</v>
      </c>
      <c r="U143" s="2" t="s">
        <v>652</v>
      </c>
      <c r="V143" s="2" t="s">
        <v>653</v>
      </c>
      <c r="W143" s="2" t="s">
        <v>291</v>
      </c>
      <c r="X143" s="2" t="s">
        <v>292</v>
      </c>
      <c r="Y143" s="2" t="s">
        <v>129</v>
      </c>
      <c r="Z143" s="4">
        <v>443</v>
      </c>
      <c r="AA143" s="4">
        <f>=ROUNDDOWN(27.6875,0)</f>
      </c>
      <c r="AB143" s="5">
        <v>16</v>
      </c>
      <c r="AC143" s="2" t="s">
        <v>184</v>
      </c>
      <c r="AD143" s="4">
        <v>50</v>
      </c>
      <c r="AE143" s="4">
        <v>200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/>
      <c r="AP143" s="4">
        <v>2</v>
      </c>
      <c r="AQ143" s="8">
        <v>237.08</v>
      </c>
      <c r="AR143" s="4">
        <v>5</v>
      </c>
      <c r="AS143" s="8">
        <v>592.7</v>
      </c>
      <c r="AT143" s="7">
        <v>-0.6</v>
      </c>
      <c r="AU143" s="7">
        <v>-0.6</v>
      </c>
      <c r="AV143" s="4" t="s">
        <v>100</v>
      </c>
      <c r="AW143" s="8" t="s">
        <v>100</v>
      </c>
      <c r="AX143" s="4" t="s">
        <v>100</v>
      </c>
      <c r="AY143" s="8" t="s">
        <v>100</v>
      </c>
      <c r="AZ143" s="7" t="s">
        <v>100</v>
      </c>
      <c r="BA143" s="7" t="s">
        <v>100</v>
      </c>
      <c r="BB143" s="7">
        <v>0.1507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 t="s">
        <v>100</v>
      </c>
      <c r="BJ143" s="4">
        <v>34</v>
      </c>
      <c r="BK143" s="8">
        <v>3689.85</v>
      </c>
      <c r="BL143" s="2" t="s">
        <v>713</v>
      </c>
      <c r="BM143" s="7">
        <v>0.0588</v>
      </c>
      <c r="BN143" s="7">
        <v>0.0643</v>
      </c>
      <c r="BO143" s="4">
        <v>2</v>
      </c>
      <c r="BP143" s="8">
        <v>237.08</v>
      </c>
      <c r="BQ143" s="4">
        <v>5</v>
      </c>
      <c r="BR143" s="8">
        <v>592.7</v>
      </c>
      <c r="BS143" s="7">
        <v>-0.6</v>
      </c>
      <c r="BT143" s="7">
        <v>-0.6</v>
      </c>
      <c r="BU143" s="2" t="s">
        <v>109</v>
      </c>
      <c r="BV143" s="2" t="s">
        <v>97</v>
      </c>
      <c r="BW143" s="2" t="s">
        <v>164</v>
      </c>
      <c r="BX143" s="2" t="s">
        <v>714</v>
      </c>
      <c r="BY143" s="2" t="s">
        <v>112</v>
      </c>
      <c r="BZ143" s="2" t="s">
        <v>100</v>
      </c>
    </row>
    <row r="144">
      <c r="A144" s="2" t="s">
        <v>715</v>
      </c>
      <c r="B144" s="2" t="s">
        <v>87</v>
      </c>
      <c r="C144" s="2" t="s">
        <v>645</v>
      </c>
      <c r="D144" s="2" t="s">
        <v>89</v>
      </c>
      <c r="E144" s="2" t="s">
        <v>646</v>
      </c>
      <c r="F144" s="2" t="s">
        <v>716</v>
      </c>
      <c r="G144" s="2" t="s">
        <v>717</v>
      </c>
      <c r="H144" s="2" t="s">
        <v>718</v>
      </c>
      <c r="I144" s="2" t="s">
        <v>650</v>
      </c>
      <c r="J144" s="2" t="s">
        <v>95</v>
      </c>
      <c r="K144" s="2" t="s">
        <v>719</v>
      </c>
      <c r="L144" s="3">
        <v>88.19</v>
      </c>
      <c r="M144" s="3">
        <v>92.6</v>
      </c>
      <c r="N144" s="3">
        <v>179.99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720</v>
      </c>
      <c r="T144" s="2" t="s">
        <v>100</v>
      </c>
      <c r="U144" s="2" t="s">
        <v>652</v>
      </c>
      <c r="V144" s="2" t="s">
        <v>427</v>
      </c>
      <c r="W144" s="2" t="s">
        <v>104</v>
      </c>
      <c r="X144" s="2" t="s">
        <v>721</v>
      </c>
      <c r="Y144" s="2" t="s">
        <v>722</v>
      </c>
      <c r="Z144" s="4">
        <v>613</v>
      </c>
      <c r="AA144" s="4">
        <f>=ROUNDDOWN(18.0294117647059,0)</f>
      </c>
      <c r="AB144" s="5">
        <v>34</v>
      </c>
      <c r="AC144" s="2" t="s">
        <v>162</v>
      </c>
      <c r="AD144" s="4">
        <v>150</v>
      </c>
      <c r="AE144" s="4">
        <v>680</v>
      </c>
      <c r="AF144" s="6">
        <v>64</v>
      </c>
      <c r="AG144" s="6">
        <v>47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/>
      <c r="AP144" s="4">
        <v>22</v>
      </c>
      <c r="AQ144" s="8">
        <v>2323.42</v>
      </c>
      <c r="AR144" s="4">
        <v>25</v>
      </c>
      <c r="AS144" s="8">
        <v>2640.25</v>
      </c>
      <c r="AT144" s="7">
        <v>-0.12</v>
      </c>
      <c r="AU144" s="7">
        <v>-0.12</v>
      </c>
      <c r="AV144" s="4">
        <v>49</v>
      </c>
      <c r="AW144" s="8">
        <v>5523.73</v>
      </c>
      <c r="AX144" s="4">
        <v>55</v>
      </c>
      <c r="AY144" s="8">
        <v>6196.15</v>
      </c>
      <c r="AZ144" s="7">
        <v>-0.1091</v>
      </c>
      <c r="BA144" s="7">
        <v>-0.1085</v>
      </c>
      <c r="BB144" s="7">
        <v>0.4206</v>
      </c>
      <c r="BC144" s="4">
        <v>134</v>
      </c>
      <c r="BD144" s="8">
        <v>15133.66</v>
      </c>
      <c r="BE144" s="4">
        <v>129</v>
      </c>
      <c r="BF144" s="8">
        <v>14528.09</v>
      </c>
      <c r="BG144" s="7">
        <v>0.0388</v>
      </c>
      <c r="BH144" s="7">
        <v>0.0417</v>
      </c>
      <c r="BI144" s="7">
        <v>0.365</v>
      </c>
      <c r="BJ144" s="4">
        <v>143</v>
      </c>
      <c r="BK144" s="8">
        <v>13964.72</v>
      </c>
      <c r="BL144" s="2" t="s">
        <v>723</v>
      </c>
      <c r="BM144" s="7">
        <v>0.1538</v>
      </c>
      <c r="BN144" s="7">
        <v>0.1664</v>
      </c>
      <c r="BO144" s="4">
        <v>22</v>
      </c>
      <c r="BP144" s="8">
        <v>2323.42</v>
      </c>
      <c r="BQ144" s="4">
        <v>25</v>
      </c>
      <c r="BR144" s="8">
        <v>2640.25</v>
      </c>
      <c r="BS144" s="7">
        <v>-0.12</v>
      </c>
      <c r="BT144" s="7">
        <v>-0.12</v>
      </c>
      <c r="BU144" s="2" t="s">
        <v>109</v>
      </c>
      <c r="BV144" s="2" t="s">
        <v>97</v>
      </c>
      <c r="BW144" s="2" t="s">
        <v>724</v>
      </c>
      <c r="BX144" s="2" t="s">
        <v>725</v>
      </c>
      <c r="BY144" s="2" t="s">
        <v>112</v>
      </c>
      <c r="BZ144" s="2" t="s">
        <v>100</v>
      </c>
    </row>
    <row r="145">
      <c r="A145" s="2" t="s">
        <v>726</v>
      </c>
      <c r="B145" s="2" t="s">
        <v>87</v>
      </c>
      <c r="C145" s="2" t="s">
        <v>645</v>
      </c>
      <c r="D145" s="2" t="s">
        <v>89</v>
      </c>
      <c r="E145" s="2" t="s">
        <v>646</v>
      </c>
      <c r="F145" s="2" t="s">
        <v>716</v>
      </c>
      <c r="G145" s="2" t="s">
        <v>717</v>
      </c>
      <c r="H145" s="2" t="s">
        <v>718</v>
      </c>
      <c r="I145" s="2" t="s">
        <v>650</v>
      </c>
      <c r="J145" s="2" t="s">
        <v>114</v>
      </c>
      <c r="K145" s="2" t="s">
        <v>719</v>
      </c>
      <c r="L145" s="3">
        <v>98.99</v>
      </c>
      <c r="M145" s="3">
        <v>103.94</v>
      </c>
      <c r="N145" s="3">
        <v>199.99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720</v>
      </c>
      <c r="T145" s="2" t="s">
        <v>100</v>
      </c>
      <c r="U145" s="2" t="s">
        <v>652</v>
      </c>
      <c r="V145" s="2" t="s">
        <v>427</v>
      </c>
      <c r="W145" s="2" t="s">
        <v>104</v>
      </c>
      <c r="X145" s="2" t="s">
        <v>721</v>
      </c>
      <c r="Y145" s="2" t="s">
        <v>722</v>
      </c>
      <c r="Z145" s="4">
        <v>722</v>
      </c>
      <c r="AA145" s="4">
        <f>=ROUNDDOWN(21.8787878787879,0)</f>
      </c>
      <c r="AB145" s="5">
        <v>33</v>
      </c>
      <c r="AC145" s="2" t="s">
        <v>727</v>
      </c>
      <c r="AD145" s="4">
        <v>50</v>
      </c>
      <c r="AE145" s="4">
        <v>550</v>
      </c>
      <c r="AF145" s="6">
        <v>64</v>
      </c>
      <c r="AG145" s="6">
        <v>47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/>
      <c r="AP145" s="4">
        <v>19</v>
      </c>
      <c r="AQ145" s="8">
        <v>2252.07</v>
      </c>
      <c r="AR145" s="4">
        <v>21</v>
      </c>
      <c r="AS145" s="8">
        <v>2489.13</v>
      </c>
      <c r="AT145" s="7">
        <v>-0.0952</v>
      </c>
      <c r="AU145" s="7">
        <v>-0.0952</v>
      </c>
      <c r="AV145" s="4" t="s">
        <v>100</v>
      </c>
      <c r="AW145" s="8" t="s">
        <v>100</v>
      </c>
      <c r="AX145" s="4" t="s">
        <v>100</v>
      </c>
      <c r="AY145" s="8" t="s">
        <v>100</v>
      </c>
      <c r="AZ145" s="7" t="s">
        <v>100</v>
      </c>
      <c r="BA145" s="7" t="s">
        <v>100</v>
      </c>
      <c r="BB145" s="7">
        <v>0.4077</v>
      </c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 t="s">
        <v>100</v>
      </c>
      <c r="BJ145" s="4">
        <v>124</v>
      </c>
      <c r="BK145" s="8">
        <v>13624.06</v>
      </c>
      <c r="BL145" s="2" t="s">
        <v>728</v>
      </c>
      <c r="BM145" s="7">
        <v>0.1532</v>
      </c>
      <c r="BN145" s="7">
        <v>0.1653</v>
      </c>
      <c r="BO145" s="4">
        <v>19</v>
      </c>
      <c r="BP145" s="8">
        <v>2252.07</v>
      </c>
      <c r="BQ145" s="4">
        <v>21</v>
      </c>
      <c r="BR145" s="8">
        <v>2489.13</v>
      </c>
      <c r="BS145" s="7">
        <v>-0.0952</v>
      </c>
      <c r="BT145" s="7">
        <v>-0.0952</v>
      </c>
      <c r="BU145" s="2" t="s">
        <v>109</v>
      </c>
      <c r="BV145" s="2" t="s">
        <v>97</v>
      </c>
      <c r="BW145" s="2" t="s">
        <v>724</v>
      </c>
      <c r="BX145" s="2" t="s">
        <v>729</v>
      </c>
      <c r="BY145" s="2" t="s">
        <v>112</v>
      </c>
      <c r="BZ145" s="2" t="s">
        <v>100</v>
      </c>
    </row>
    <row r="146">
      <c r="A146" s="2" t="s">
        <v>730</v>
      </c>
      <c r="B146" s="2" t="s">
        <v>87</v>
      </c>
      <c r="C146" s="2" t="s">
        <v>645</v>
      </c>
      <c r="D146" s="2" t="s">
        <v>89</v>
      </c>
      <c r="E146" s="2" t="s">
        <v>646</v>
      </c>
      <c r="F146" s="2" t="s">
        <v>716</v>
      </c>
      <c r="G146" s="2" t="s">
        <v>717</v>
      </c>
      <c r="H146" s="2" t="s">
        <v>718</v>
      </c>
      <c r="I146" s="2" t="s">
        <v>650</v>
      </c>
      <c r="J146" s="2" t="s">
        <v>120</v>
      </c>
      <c r="K146" s="2" t="s">
        <v>719</v>
      </c>
      <c r="L146" s="3">
        <v>98.99</v>
      </c>
      <c r="M146" s="3">
        <v>103.94</v>
      </c>
      <c r="N146" s="3">
        <v>199.99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720</v>
      </c>
      <c r="T146" s="2" t="s">
        <v>100</v>
      </c>
      <c r="U146" s="2" t="s">
        <v>652</v>
      </c>
      <c r="V146" s="2" t="s">
        <v>427</v>
      </c>
      <c r="W146" s="2" t="s">
        <v>104</v>
      </c>
      <c r="X146" s="2" t="s">
        <v>721</v>
      </c>
      <c r="Y146" s="2" t="s">
        <v>722</v>
      </c>
      <c r="Z146" s="4">
        <v>593</v>
      </c>
      <c r="AA146" s="4">
        <f>=ROUNDDOWN(29.65,0)</f>
      </c>
      <c r="AB146" s="5">
        <v>20</v>
      </c>
      <c r="AC146" s="2" t="s">
        <v>162</v>
      </c>
      <c r="AD146" s="4">
        <v>65</v>
      </c>
      <c r="AE146" s="4">
        <v>215</v>
      </c>
      <c r="AF146" s="6">
        <v>64</v>
      </c>
      <c r="AG146" s="6">
        <v>47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/>
      <c r="AP146" s="4">
        <v>8</v>
      </c>
      <c r="AQ146" s="8">
        <v>948.24</v>
      </c>
      <c r="AR146" s="4">
        <v>9</v>
      </c>
      <c r="AS146" s="8">
        <v>1066.77</v>
      </c>
      <c r="AT146" s="7">
        <v>-0.1111</v>
      </c>
      <c r="AU146" s="7">
        <v>-0.1111</v>
      </c>
      <c r="AV146" s="4" t="s">
        <v>100</v>
      </c>
      <c r="AW146" s="8" t="s">
        <v>100</v>
      </c>
      <c r="AX146" s="4" t="s">
        <v>100</v>
      </c>
      <c r="AY146" s="8" t="s">
        <v>100</v>
      </c>
      <c r="AZ146" s="7" t="s">
        <v>100</v>
      </c>
      <c r="BA146" s="7" t="s">
        <v>100</v>
      </c>
      <c r="BB146" s="7">
        <v>0.1717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 t="s">
        <v>100</v>
      </c>
      <c r="BJ146" s="4">
        <v>62</v>
      </c>
      <c r="BK146" s="8">
        <v>6969.19</v>
      </c>
      <c r="BL146" s="2" t="s">
        <v>731</v>
      </c>
      <c r="BM146" s="7">
        <v>0.129</v>
      </c>
      <c r="BN146" s="7">
        <v>0.1361</v>
      </c>
      <c r="BO146" s="4">
        <v>8</v>
      </c>
      <c r="BP146" s="8">
        <v>948.24</v>
      </c>
      <c r="BQ146" s="4">
        <v>9</v>
      </c>
      <c r="BR146" s="8">
        <v>1066.77</v>
      </c>
      <c r="BS146" s="7">
        <v>-0.1111</v>
      </c>
      <c r="BT146" s="7">
        <v>-0.1111</v>
      </c>
      <c r="BU146" s="2" t="s">
        <v>109</v>
      </c>
      <c r="BV146" s="2" t="s">
        <v>97</v>
      </c>
      <c r="BW146" s="2" t="s">
        <v>724</v>
      </c>
      <c r="BX146" s="2" t="s">
        <v>732</v>
      </c>
      <c r="BY146" s="2" t="s">
        <v>112</v>
      </c>
      <c r="BZ146" s="2" t="s">
        <v>100</v>
      </c>
    </row>
    <row r="147">
      <c r="A147" s="2" t="s">
        <v>733</v>
      </c>
      <c r="B147" s="2" t="s">
        <v>87</v>
      </c>
      <c r="C147" s="2" t="s">
        <v>645</v>
      </c>
      <c r="D147" s="2" t="s">
        <v>89</v>
      </c>
      <c r="E147" s="2" t="s">
        <v>646</v>
      </c>
      <c r="F147" s="2" t="s">
        <v>716</v>
      </c>
      <c r="G147" s="2" t="s">
        <v>717</v>
      </c>
      <c r="H147" s="2" t="s">
        <v>718</v>
      </c>
      <c r="I147" s="2" t="s">
        <v>734</v>
      </c>
      <c r="J147" s="2" t="s">
        <v>95</v>
      </c>
      <c r="K147" s="2" t="s">
        <v>735</v>
      </c>
      <c r="L147" s="3">
        <v>88.19</v>
      </c>
      <c r="M147" s="3">
        <v>92.6</v>
      </c>
      <c r="N147" s="3">
        <v>179.99</v>
      </c>
      <c r="O147" s="2" t="s">
        <v>97</v>
      </c>
      <c r="P147" s="2" t="s">
        <v>126</v>
      </c>
      <c r="Q147" s="2" t="s">
        <v>99</v>
      </c>
      <c r="R147" s="2" t="s">
        <v>100</v>
      </c>
      <c r="S147" s="2" t="s">
        <v>736</v>
      </c>
      <c r="T147" s="2" t="s">
        <v>100</v>
      </c>
      <c r="U147" s="2" t="s">
        <v>652</v>
      </c>
      <c r="V147" s="2" t="s">
        <v>427</v>
      </c>
      <c r="W147" s="2" t="s">
        <v>104</v>
      </c>
      <c r="X147" s="2" t="s">
        <v>721</v>
      </c>
      <c r="Y147" s="2" t="s">
        <v>737</v>
      </c>
      <c r="Z147" s="4">
        <v>692</v>
      </c>
      <c r="AA147" s="4">
        <f>=ROUNDDOWN(16.8780487804878,0)</f>
      </c>
      <c r="AB147" s="5">
        <v>41</v>
      </c>
      <c r="AC147" s="2" t="s">
        <v>179</v>
      </c>
      <c r="AD147" s="4">
        <v>400</v>
      </c>
      <c r="AE147" s="4">
        <v>800</v>
      </c>
      <c r="AF147" s="6">
        <v>64</v>
      </c>
      <c r="AG147" s="6">
        <v>47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/>
      <c r="AP147" s="4">
        <v>15</v>
      </c>
      <c r="AQ147" s="8">
        <v>1584.15</v>
      </c>
      <c r="AR147" s="4">
        <v>22</v>
      </c>
      <c r="AS147" s="8">
        <v>2323.42</v>
      </c>
      <c r="AT147" s="7">
        <v>-0.3182</v>
      </c>
      <c r="AU147" s="7">
        <v>-0.3182</v>
      </c>
      <c r="AV147" s="4">
        <v>41</v>
      </c>
      <c r="AW147" s="8">
        <v>4665.93</v>
      </c>
      <c r="AX147" s="4">
        <v>45</v>
      </c>
      <c r="AY147" s="8">
        <v>5049.61</v>
      </c>
      <c r="AZ147" s="7">
        <v>-0.0889</v>
      </c>
      <c r="BA147" s="7">
        <v>-0.076</v>
      </c>
      <c r="BB147" s="7">
        <v>0.3395</v>
      </c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>
        <v>0.3083</v>
      </c>
      <c r="BJ147" s="4">
        <v>135</v>
      </c>
      <c r="BK147" s="8">
        <v>13042.2</v>
      </c>
      <c r="BL147" s="2" t="s">
        <v>738</v>
      </c>
      <c r="BM147" s="7">
        <v>0.1111</v>
      </c>
      <c r="BN147" s="7">
        <v>0.1215</v>
      </c>
      <c r="BO147" s="4">
        <v>15</v>
      </c>
      <c r="BP147" s="8">
        <v>1584.15</v>
      </c>
      <c r="BQ147" s="4">
        <v>22</v>
      </c>
      <c r="BR147" s="8">
        <v>2323.42</v>
      </c>
      <c r="BS147" s="7">
        <v>-0.3182</v>
      </c>
      <c r="BT147" s="7">
        <v>-0.3182</v>
      </c>
      <c r="BU147" s="2" t="s">
        <v>109</v>
      </c>
      <c r="BV147" s="2" t="s">
        <v>97</v>
      </c>
      <c r="BW147" s="2" t="s">
        <v>739</v>
      </c>
      <c r="BX147" s="2" t="s">
        <v>740</v>
      </c>
      <c r="BY147" s="2" t="s">
        <v>112</v>
      </c>
      <c r="BZ147" s="2" t="s">
        <v>100</v>
      </c>
    </row>
    <row r="148">
      <c r="A148" s="2" t="s">
        <v>741</v>
      </c>
      <c r="B148" s="2" t="s">
        <v>87</v>
      </c>
      <c r="C148" s="2" t="s">
        <v>645</v>
      </c>
      <c r="D148" s="2" t="s">
        <v>89</v>
      </c>
      <c r="E148" s="2" t="s">
        <v>646</v>
      </c>
      <c r="F148" s="2" t="s">
        <v>716</v>
      </c>
      <c r="G148" s="2" t="s">
        <v>717</v>
      </c>
      <c r="H148" s="2" t="s">
        <v>718</v>
      </c>
      <c r="I148" s="2" t="s">
        <v>650</v>
      </c>
      <c r="J148" s="2" t="s">
        <v>114</v>
      </c>
      <c r="K148" s="2" t="s">
        <v>735</v>
      </c>
      <c r="L148" s="3">
        <v>98.99</v>
      </c>
      <c r="M148" s="3">
        <v>103.94</v>
      </c>
      <c r="N148" s="3">
        <v>199.99</v>
      </c>
      <c r="O148" s="2" t="s">
        <v>97</v>
      </c>
      <c r="P148" s="2" t="s">
        <v>126</v>
      </c>
      <c r="Q148" s="2" t="s">
        <v>99</v>
      </c>
      <c r="R148" s="2" t="s">
        <v>100</v>
      </c>
      <c r="S148" s="2" t="s">
        <v>736</v>
      </c>
      <c r="T148" s="2" t="s">
        <v>100</v>
      </c>
      <c r="U148" s="2" t="s">
        <v>652</v>
      </c>
      <c r="V148" s="2" t="s">
        <v>427</v>
      </c>
      <c r="W148" s="2" t="s">
        <v>104</v>
      </c>
      <c r="X148" s="2" t="s">
        <v>721</v>
      </c>
      <c r="Y148" s="2" t="s">
        <v>737</v>
      </c>
      <c r="Z148" s="4">
        <v>707</v>
      </c>
      <c r="AA148" s="4">
        <f>=ROUNDDOWN(29.4583333333333,0)</f>
      </c>
      <c r="AB148" s="5">
        <v>24</v>
      </c>
      <c r="AC148" s="2" t="s">
        <v>742</v>
      </c>
      <c r="AD148" s="4">
        <v>150</v>
      </c>
      <c r="AE148" s="4">
        <v>150</v>
      </c>
      <c r="AF148" s="6">
        <v>64</v>
      </c>
      <c r="AG148" s="6">
        <v>47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/>
      <c r="AP148" s="4">
        <v>21</v>
      </c>
      <c r="AQ148" s="8">
        <v>2489.13</v>
      </c>
      <c r="AR148" s="4">
        <v>10</v>
      </c>
      <c r="AS148" s="8">
        <v>1185.3</v>
      </c>
      <c r="AT148" s="7">
        <v>1.1</v>
      </c>
      <c r="AU148" s="7">
        <v>1.1</v>
      </c>
      <c r="AV148" s="4" t="s">
        <v>100</v>
      </c>
      <c r="AW148" s="8" t="s">
        <v>100</v>
      </c>
      <c r="AX148" s="4" t="s">
        <v>100</v>
      </c>
      <c r="AY148" s="8" t="s">
        <v>100</v>
      </c>
      <c r="AZ148" s="7" t="s">
        <v>100</v>
      </c>
      <c r="BA148" s="7" t="s">
        <v>100</v>
      </c>
      <c r="BB148" s="7">
        <v>0.5335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 t="s">
        <v>100</v>
      </c>
      <c r="BJ148" s="4">
        <v>98</v>
      </c>
      <c r="BK148" s="8">
        <v>10723.19</v>
      </c>
      <c r="BL148" s="2" t="s">
        <v>743</v>
      </c>
      <c r="BM148" s="7">
        <v>0.2143</v>
      </c>
      <c r="BN148" s="7">
        <v>0.2321</v>
      </c>
      <c r="BO148" s="4">
        <v>21</v>
      </c>
      <c r="BP148" s="8">
        <v>2489.13</v>
      </c>
      <c r="BQ148" s="4">
        <v>10</v>
      </c>
      <c r="BR148" s="8">
        <v>1185.3</v>
      </c>
      <c r="BS148" s="7">
        <v>1.1</v>
      </c>
      <c r="BT148" s="7">
        <v>1.1</v>
      </c>
      <c r="BU148" s="2" t="s">
        <v>109</v>
      </c>
      <c r="BV148" s="2" t="s">
        <v>97</v>
      </c>
      <c r="BW148" s="2" t="s">
        <v>739</v>
      </c>
      <c r="BX148" s="2" t="s">
        <v>744</v>
      </c>
      <c r="BY148" s="2" t="s">
        <v>112</v>
      </c>
      <c r="BZ148" s="2" t="s">
        <v>100</v>
      </c>
    </row>
    <row r="149">
      <c r="A149" s="2" t="s">
        <v>745</v>
      </c>
      <c r="B149" s="2" t="s">
        <v>87</v>
      </c>
      <c r="C149" s="2" t="s">
        <v>645</v>
      </c>
      <c r="D149" s="2" t="s">
        <v>89</v>
      </c>
      <c r="E149" s="2" t="s">
        <v>646</v>
      </c>
      <c r="F149" s="2" t="s">
        <v>716</v>
      </c>
      <c r="G149" s="2" t="s">
        <v>717</v>
      </c>
      <c r="H149" s="2" t="s">
        <v>718</v>
      </c>
      <c r="I149" s="2" t="s">
        <v>650</v>
      </c>
      <c r="J149" s="2" t="s">
        <v>120</v>
      </c>
      <c r="K149" s="2" t="s">
        <v>735</v>
      </c>
      <c r="L149" s="3">
        <v>98.99</v>
      </c>
      <c r="M149" s="3">
        <v>103.94</v>
      </c>
      <c r="N149" s="3">
        <v>199.99</v>
      </c>
      <c r="O149" s="2" t="s">
        <v>97</v>
      </c>
      <c r="P149" s="2" t="s">
        <v>126</v>
      </c>
      <c r="Q149" s="2" t="s">
        <v>99</v>
      </c>
      <c r="R149" s="2" t="s">
        <v>100</v>
      </c>
      <c r="S149" s="2" t="s">
        <v>736</v>
      </c>
      <c r="T149" s="2" t="s">
        <v>100</v>
      </c>
      <c r="U149" s="2" t="s">
        <v>652</v>
      </c>
      <c r="V149" s="2" t="s">
        <v>427</v>
      </c>
      <c r="W149" s="2" t="s">
        <v>104</v>
      </c>
      <c r="X149" s="2" t="s">
        <v>721</v>
      </c>
      <c r="Y149" s="2" t="s">
        <v>737</v>
      </c>
      <c r="Z149" s="4">
        <v>448</v>
      </c>
      <c r="AA149" s="4">
        <f>=ROUNDDOWN(28,0)</f>
      </c>
      <c r="AB149" s="5">
        <v>16</v>
      </c>
      <c r="AC149" s="2" t="s">
        <v>179</v>
      </c>
      <c r="AD149" s="4">
        <v>200</v>
      </c>
      <c r="AE149" s="4">
        <v>250</v>
      </c>
      <c r="AF149" s="6">
        <v>64</v>
      </c>
      <c r="AG149" s="6">
        <v>47</v>
      </c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/>
      <c r="AP149" s="4">
        <v>5</v>
      </c>
      <c r="AQ149" s="8">
        <v>592.65</v>
      </c>
      <c r="AR149" s="4">
        <v>13</v>
      </c>
      <c r="AS149" s="8">
        <v>1540.89</v>
      </c>
      <c r="AT149" s="7">
        <v>-0.6154</v>
      </c>
      <c r="AU149" s="7">
        <v>-0.6154</v>
      </c>
      <c r="AV149" s="4" t="s">
        <v>100</v>
      </c>
      <c r="AW149" s="8" t="s">
        <v>100</v>
      </c>
      <c r="AX149" s="4" t="s">
        <v>100</v>
      </c>
      <c r="AY149" s="8" t="s">
        <v>100</v>
      </c>
      <c r="AZ149" s="7" t="s">
        <v>100</v>
      </c>
      <c r="BA149" s="7" t="s">
        <v>100</v>
      </c>
      <c r="BB149" s="7">
        <v>0.127</v>
      </c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 t="s">
        <v>100</v>
      </c>
      <c r="BJ149" s="4">
        <v>60</v>
      </c>
      <c r="BK149" s="8">
        <v>6678.15</v>
      </c>
      <c r="BL149" s="2" t="s">
        <v>746</v>
      </c>
      <c r="BM149" s="7">
        <v>0.0833</v>
      </c>
      <c r="BN149" s="7">
        <v>0.0887</v>
      </c>
      <c r="BO149" s="4">
        <v>5</v>
      </c>
      <c r="BP149" s="8">
        <v>592.65</v>
      </c>
      <c r="BQ149" s="4">
        <v>13</v>
      </c>
      <c r="BR149" s="8">
        <v>1540.89</v>
      </c>
      <c r="BS149" s="7">
        <v>-0.6154</v>
      </c>
      <c r="BT149" s="7">
        <v>-0.6154</v>
      </c>
      <c r="BU149" s="2" t="s">
        <v>109</v>
      </c>
      <c r="BV149" s="2" t="s">
        <v>97</v>
      </c>
      <c r="BW149" s="2" t="s">
        <v>739</v>
      </c>
      <c r="BX149" s="2" t="s">
        <v>747</v>
      </c>
      <c r="BY149" s="2" t="s">
        <v>112</v>
      </c>
      <c r="BZ149" s="2" t="s">
        <v>100</v>
      </c>
    </row>
    <row r="150">
      <c r="A150" s="2" t="s">
        <v>748</v>
      </c>
      <c r="B150" s="2" t="s">
        <v>87</v>
      </c>
      <c r="C150" s="2" t="s">
        <v>645</v>
      </c>
      <c r="D150" s="2" t="s">
        <v>89</v>
      </c>
      <c r="E150" s="2" t="s">
        <v>646</v>
      </c>
      <c r="F150" s="2" t="s">
        <v>716</v>
      </c>
      <c r="G150" s="2" t="s">
        <v>717</v>
      </c>
      <c r="H150" s="2" t="s">
        <v>718</v>
      </c>
      <c r="I150" s="2" t="s">
        <v>650</v>
      </c>
      <c r="J150" s="2" t="s">
        <v>95</v>
      </c>
      <c r="K150" s="2" t="s">
        <v>276</v>
      </c>
      <c r="L150" s="3">
        <v>88.19</v>
      </c>
      <c r="M150" s="3">
        <v>92.6</v>
      </c>
      <c r="N150" s="3">
        <v>179.99</v>
      </c>
      <c r="O150" s="2" t="s">
        <v>97</v>
      </c>
      <c r="P150" s="2" t="s">
        <v>141</v>
      </c>
      <c r="Q150" s="2" t="s">
        <v>99</v>
      </c>
      <c r="R150" s="2" t="s">
        <v>100</v>
      </c>
      <c r="S150" s="2" t="s">
        <v>749</v>
      </c>
      <c r="T150" s="2" t="s">
        <v>100</v>
      </c>
      <c r="U150" s="2" t="s">
        <v>652</v>
      </c>
      <c r="V150" s="2" t="s">
        <v>427</v>
      </c>
      <c r="W150" s="2" t="s">
        <v>104</v>
      </c>
      <c r="X150" s="2" t="s">
        <v>750</v>
      </c>
      <c r="Y150" s="2" t="s">
        <v>751</v>
      </c>
      <c r="Z150" s="4">
        <v>246</v>
      </c>
      <c r="AA150" s="4">
        <f>=ROUNDDOWN(12.9473684210526,0)</f>
      </c>
      <c r="AB150" s="5">
        <v>19</v>
      </c>
      <c r="AC150" s="2" t="s">
        <v>752</v>
      </c>
      <c r="AD150" s="4">
        <v>320</v>
      </c>
      <c r="AE150" s="4">
        <v>670</v>
      </c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/>
      <c r="AP150" s="4">
        <v>8</v>
      </c>
      <c r="AQ150" s="8">
        <v>844.88</v>
      </c>
      <c r="AR150" s="4">
        <v>4</v>
      </c>
      <c r="AS150" s="8">
        <v>422.44</v>
      </c>
      <c r="AT150" s="7">
        <v>1</v>
      </c>
      <c r="AU150" s="7">
        <v>1</v>
      </c>
      <c r="AV150" s="4">
        <v>22</v>
      </c>
      <c r="AW150" s="8">
        <v>2504.3</v>
      </c>
      <c r="AX150" s="4">
        <v>8</v>
      </c>
      <c r="AY150" s="8">
        <v>896.56</v>
      </c>
      <c r="AZ150" s="7">
        <v>1.75</v>
      </c>
      <c r="BA150" s="7">
        <v>1.7932</v>
      </c>
      <c r="BB150" s="7">
        <v>0.3374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>
        <v>0.1655</v>
      </c>
      <c r="BJ150" s="4">
        <v>86</v>
      </c>
      <c r="BK150" s="8">
        <v>8301.41</v>
      </c>
      <c r="BL150" s="2" t="s">
        <v>753</v>
      </c>
      <c r="BM150" s="7">
        <v>0.093</v>
      </c>
      <c r="BN150" s="7">
        <v>0.1018</v>
      </c>
      <c r="BO150" s="4">
        <v>8</v>
      </c>
      <c r="BP150" s="8">
        <v>844.88</v>
      </c>
      <c r="BQ150" s="4">
        <v>4</v>
      </c>
      <c r="BR150" s="8">
        <v>422.44</v>
      </c>
      <c r="BS150" s="7">
        <v>1</v>
      </c>
      <c r="BT150" s="7">
        <v>1</v>
      </c>
      <c r="BU150" s="2" t="s">
        <v>109</v>
      </c>
      <c r="BV150" s="2" t="s">
        <v>97</v>
      </c>
      <c r="BW150" s="2" t="s">
        <v>754</v>
      </c>
      <c r="BX150" s="2" t="s">
        <v>755</v>
      </c>
      <c r="BY150" s="2" t="s">
        <v>112</v>
      </c>
      <c r="BZ150" s="2" t="s">
        <v>100</v>
      </c>
    </row>
    <row r="151">
      <c r="A151" s="2" t="s">
        <v>756</v>
      </c>
      <c r="B151" s="2" t="s">
        <v>87</v>
      </c>
      <c r="C151" s="2" t="s">
        <v>645</v>
      </c>
      <c r="D151" s="2" t="s">
        <v>89</v>
      </c>
      <c r="E151" s="2" t="s">
        <v>646</v>
      </c>
      <c r="F151" s="2" t="s">
        <v>716</v>
      </c>
      <c r="G151" s="2" t="s">
        <v>717</v>
      </c>
      <c r="H151" s="2" t="s">
        <v>718</v>
      </c>
      <c r="I151" s="2" t="s">
        <v>650</v>
      </c>
      <c r="J151" s="2" t="s">
        <v>114</v>
      </c>
      <c r="K151" s="2" t="s">
        <v>276</v>
      </c>
      <c r="L151" s="3">
        <v>98.99</v>
      </c>
      <c r="M151" s="3">
        <v>103.94</v>
      </c>
      <c r="N151" s="3">
        <v>199.99</v>
      </c>
      <c r="O151" s="2" t="s">
        <v>97</v>
      </c>
      <c r="P151" s="2" t="s">
        <v>141</v>
      </c>
      <c r="Q151" s="2" t="s">
        <v>99</v>
      </c>
      <c r="R151" s="2" t="s">
        <v>100</v>
      </c>
      <c r="S151" s="2" t="s">
        <v>749</v>
      </c>
      <c r="T151" s="2" t="s">
        <v>100</v>
      </c>
      <c r="U151" s="2" t="s">
        <v>652</v>
      </c>
      <c r="V151" s="2" t="s">
        <v>427</v>
      </c>
      <c r="W151" s="2" t="s">
        <v>104</v>
      </c>
      <c r="X151" s="2" t="s">
        <v>750</v>
      </c>
      <c r="Y151" s="2" t="s">
        <v>751</v>
      </c>
      <c r="Z151" s="4">
        <v>254</v>
      </c>
      <c r="AA151" s="4">
        <f>=ROUNDDOWN(18.1428571428571,0)</f>
      </c>
      <c r="AB151" s="5">
        <v>14</v>
      </c>
      <c r="AC151" s="2" t="s">
        <v>752</v>
      </c>
      <c r="AD151" s="4">
        <v>250</v>
      </c>
      <c r="AE151" s="4">
        <v>380</v>
      </c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/>
      <c r="AP151" s="4">
        <v>12</v>
      </c>
      <c r="AQ151" s="8">
        <v>1422.36</v>
      </c>
      <c r="AR151" s="4">
        <v>2</v>
      </c>
      <c r="AS151" s="8">
        <v>237.06</v>
      </c>
      <c r="AT151" s="7">
        <v>5</v>
      </c>
      <c r="AU151" s="7">
        <v>5</v>
      </c>
      <c r="AV151" s="4" t="s">
        <v>100</v>
      </c>
      <c r="AW151" s="8" t="s">
        <v>100</v>
      </c>
      <c r="AX151" s="4" t="s">
        <v>100</v>
      </c>
      <c r="AY151" s="8" t="s">
        <v>100</v>
      </c>
      <c r="AZ151" s="7" t="s">
        <v>100</v>
      </c>
      <c r="BA151" s="7" t="s">
        <v>100</v>
      </c>
      <c r="BB151" s="7">
        <v>0.568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 t="s">
        <v>100</v>
      </c>
      <c r="BJ151" s="4">
        <v>65</v>
      </c>
      <c r="BK151" s="8">
        <v>7176.76</v>
      </c>
      <c r="BL151" s="2" t="s">
        <v>757</v>
      </c>
      <c r="BM151" s="7">
        <v>0.1846</v>
      </c>
      <c r="BN151" s="7">
        <v>0.1982</v>
      </c>
      <c r="BO151" s="4">
        <v>12</v>
      </c>
      <c r="BP151" s="8">
        <v>1422.36</v>
      </c>
      <c r="BQ151" s="4">
        <v>2</v>
      </c>
      <c r="BR151" s="8">
        <v>237.06</v>
      </c>
      <c r="BS151" s="7">
        <v>5</v>
      </c>
      <c r="BT151" s="7">
        <v>5</v>
      </c>
      <c r="BU151" s="2" t="s">
        <v>109</v>
      </c>
      <c r="BV151" s="2" t="s">
        <v>97</v>
      </c>
      <c r="BW151" s="2" t="s">
        <v>754</v>
      </c>
      <c r="BX151" s="2" t="s">
        <v>758</v>
      </c>
      <c r="BY151" s="2" t="s">
        <v>112</v>
      </c>
      <c r="BZ151" s="2" t="s">
        <v>100</v>
      </c>
    </row>
    <row r="152">
      <c r="A152" s="2" t="s">
        <v>759</v>
      </c>
      <c r="B152" s="2" t="s">
        <v>87</v>
      </c>
      <c r="C152" s="2" t="s">
        <v>645</v>
      </c>
      <c r="D152" s="2" t="s">
        <v>89</v>
      </c>
      <c r="E152" s="2" t="s">
        <v>646</v>
      </c>
      <c r="F152" s="2" t="s">
        <v>716</v>
      </c>
      <c r="G152" s="2" t="s">
        <v>717</v>
      </c>
      <c r="H152" s="2" t="s">
        <v>718</v>
      </c>
      <c r="I152" s="2" t="s">
        <v>650</v>
      </c>
      <c r="J152" s="2" t="s">
        <v>120</v>
      </c>
      <c r="K152" s="2" t="s">
        <v>276</v>
      </c>
      <c r="L152" s="3">
        <v>98.99</v>
      </c>
      <c r="M152" s="3">
        <v>103.94</v>
      </c>
      <c r="N152" s="3">
        <v>199.99</v>
      </c>
      <c r="O152" s="2" t="s">
        <v>97</v>
      </c>
      <c r="P152" s="2" t="s">
        <v>141</v>
      </c>
      <c r="Q152" s="2" t="s">
        <v>99</v>
      </c>
      <c r="R152" s="2" t="s">
        <v>100</v>
      </c>
      <c r="S152" s="2" t="s">
        <v>749</v>
      </c>
      <c r="T152" s="2" t="s">
        <v>100</v>
      </c>
      <c r="U152" s="2" t="s">
        <v>652</v>
      </c>
      <c r="V152" s="2" t="s">
        <v>427</v>
      </c>
      <c r="W152" s="2" t="s">
        <v>104</v>
      </c>
      <c r="X152" s="2" t="s">
        <v>750</v>
      </c>
      <c r="Y152" s="2" t="s">
        <v>751</v>
      </c>
      <c r="Z152" s="4">
        <v>228</v>
      </c>
      <c r="AA152" s="4">
        <f>=ROUNDDOWN(28.5,0)</f>
      </c>
      <c r="AB152" s="5">
        <v>8</v>
      </c>
      <c r="AC152" s="2" t="s">
        <v>752</v>
      </c>
      <c r="AD152" s="4">
        <v>30</v>
      </c>
      <c r="AE152" s="4">
        <v>150</v>
      </c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/>
      <c r="AP152" s="4">
        <v>2</v>
      </c>
      <c r="AQ152" s="8">
        <v>237.06</v>
      </c>
      <c r="AR152" s="4">
        <v>2</v>
      </c>
      <c r="AS152" s="8">
        <v>237.06</v>
      </c>
      <c r="AT152" s="7"/>
      <c r="AU152" s="7"/>
      <c r="AV152" s="4" t="s">
        <v>100</v>
      </c>
      <c r="AW152" s="8" t="s">
        <v>100</v>
      </c>
      <c r="AX152" s="4" t="s">
        <v>100</v>
      </c>
      <c r="AY152" s="8" t="s">
        <v>100</v>
      </c>
      <c r="AZ152" s="7" t="s">
        <v>100</v>
      </c>
      <c r="BA152" s="7" t="s">
        <v>100</v>
      </c>
      <c r="BB152" s="7">
        <v>0.0947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 t="s">
        <v>100</v>
      </c>
      <c r="BJ152" s="4">
        <v>33</v>
      </c>
      <c r="BK152" s="8">
        <v>3632.87</v>
      </c>
      <c r="BL152" s="2" t="s">
        <v>760</v>
      </c>
      <c r="BM152" s="7">
        <v>0.0606</v>
      </c>
      <c r="BN152" s="7">
        <v>0.0653</v>
      </c>
      <c r="BO152" s="4">
        <v>2</v>
      </c>
      <c r="BP152" s="8">
        <v>237.06</v>
      </c>
      <c r="BQ152" s="4">
        <v>2</v>
      </c>
      <c r="BR152" s="8">
        <v>237.06</v>
      </c>
      <c r="BS152" s="7"/>
      <c r="BT152" s="7"/>
      <c r="BU152" s="2" t="s">
        <v>109</v>
      </c>
      <c r="BV152" s="2" t="s">
        <v>97</v>
      </c>
      <c r="BW152" s="2" t="s">
        <v>761</v>
      </c>
      <c r="BX152" s="2" t="s">
        <v>762</v>
      </c>
      <c r="BY152" s="2" t="s">
        <v>112</v>
      </c>
      <c r="BZ152" s="2" t="s">
        <v>100</v>
      </c>
    </row>
    <row r="153">
      <c r="A153" s="2" t="s">
        <v>763</v>
      </c>
      <c r="B153" s="2" t="s">
        <v>87</v>
      </c>
      <c r="C153" s="2" t="s">
        <v>645</v>
      </c>
      <c r="D153" s="2" t="s">
        <v>89</v>
      </c>
      <c r="E153" s="2" t="s">
        <v>646</v>
      </c>
      <c r="F153" s="2" t="s">
        <v>716</v>
      </c>
      <c r="G153" s="2" t="s">
        <v>717</v>
      </c>
      <c r="H153" s="2" t="s">
        <v>718</v>
      </c>
      <c r="I153" s="2" t="s">
        <v>650</v>
      </c>
      <c r="J153" s="2" t="s">
        <v>95</v>
      </c>
      <c r="K153" s="2" t="s">
        <v>764</v>
      </c>
      <c r="L153" s="3">
        <v>88.19</v>
      </c>
      <c r="M153" s="3">
        <v>92.6</v>
      </c>
      <c r="N153" s="3">
        <v>179.99</v>
      </c>
      <c r="O153" s="2" t="s">
        <v>97</v>
      </c>
      <c r="P153" s="2" t="s">
        <v>141</v>
      </c>
      <c r="Q153" s="2" t="s">
        <v>99</v>
      </c>
      <c r="R153" s="2" t="s">
        <v>100</v>
      </c>
      <c r="S153" s="2" t="s">
        <v>765</v>
      </c>
      <c r="T153" s="2" t="s">
        <v>100</v>
      </c>
      <c r="U153" s="2" t="s">
        <v>652</v>
      </c>
      <c r="V153" s="2" t="s">
        <v>427</v>
      </c>
      <c r="W153" s="2" t="s">
        <v>104</v>
      </c>
      <c r="X153" s="2" t="s">
        <v>750</v>
      </c>
      <c r="Y153" s="2" t="s">
        <v>766</v>
      </c>
      <c r="Z153" s="4">
        <v>1</v>
      </c>
      <c r="AA153" s="4">
        <f>=ROUNDDOWN(0.0625,0)</f>
      </c>
      <c r="AB153" s="5">
        <v>16</v>
      </c>
      <c r="AC153" s="2" t="s">
        <v>303</v>
      </c>
      <c r="AD153" s="4">
        <v>400</v>
      </c>
      <c r="AE153" s="4">
        <v>400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/>
      <c r="AP153" s="4">
        <v>11</v>
      </c>
      <c r="AQ153" s="8">
        <v>1161.71</v>
      </c>
      <c r="AR153" s="4">
        <v>1</v>
      </c>
      <c r="AS153" s="8">
        <v>105.61</v>
      </c>
      <c r="AT153" s="7">
        <v>10</v>
      </c>
      <c r="AU153" s="7">
        <v>10</v>
      </c>
      <c r="AV153" s="4">
        <v>13</v>
      </c>
      <c r="AW153" s="8">
        <v>1398.77</v>
      </c>
      <c r="AX153" s="4">
        <v>6</v>
      </c>
      <c r="AY153" s="8">
        <v>698.26</v>
      </c>
      <c r="AZ153" s="7">
        <v>1.1667</v>
      </c>
      <c r="BA153" s="7">
        <v>1.0032</v>
      </c>
      <c r="BB153" s="7">
        <v>0.8305</v>
      </c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>
        <v>0.0924</v>
      </c>
      <c r="BJ153" s="4">
        <v>53</v>
      </c>
      <c r="BK153" s="8">
        <v>5197.71</v>
      </c>
      <c r="BL153" s="2" t="s">
        <v>767</v>
      </c>
      <c r="BM153" s="7">
        <v>0.2075</v>
      </c>
      <c r="BN153" s="7">
        <v>0.2235</v>
      </c>
      <c r="BO153" s="4">
        <v>11</v>
      </c>
      <c r="BP153" s="8">
        <v>1161.71</v>
      </c>
      <c r="BQ153" s="4">
        <v>1</v>
      </c>
      <c r="BR153" s="8">
        <v>105.61</v>
      </c>
      <c r="BS153" s="7">
        <v>10</v>
      </c>
      <c r="BT153" s="7">
        <v>10</v>
      </c>
      <c r="BU153" s="2" t="s">
        <v>109</v>
      </c>
      <c r="BV153" s="2" t="s">
        <v>97</v>
      </c>
      <c r="BW153" s="2" t="s">
        <v>766</v>
      </c>
      <c r="BX153" s="2" t="s">
        <v>768</v>
      </c>
      <c r="BY153" s="2" t="s">
        <v>112</v>
      </c>
      <c r="BZ153" s="2" t="s">
        <v>100</v>
      </c>
    </row>
    <row r="154">
      <c r="A154" s="2" t="s">
        <v>769</v>
      </c>
      <c r="B154" s="2" t="s">
        <v>87</v>
      </c>
      <c r="C154" s="2" t="s">
        <v>645</v>
      </c>
      <c r="D154" s="2" t="s">
        <v>89</v>
      </c>
      <c r="E154" s="2" t="s">
        <v>646</v>
      </c>
      <c r="F154" s="2" t="s">
        <v>716</v>
      </c>
      <c r="G154" s="2" t="s">
        <v>717</v>
      </c>
      <c r="H154" s="2" t="s">
        <v>718</v>
      </c>
      <c r="I154" s="2" t="s">
        <v>650</v>
      </c>
      <c r="J154" s="2" t="s">
        <v>114</v>
      </c>
      <c r="K154" s="2" t="s">
        <v>764</v>
      </c>
      <c r="L154" s="3">
        <v>98.99</v>
      </c>
      <c r="M154" s="3">
        <v>103.94</v>
      </c>
      <c r="N154" s="3">
        <v>199.99</v>
      </c>
      <c r="O154" s="2" t="s">
        <v>97</v>
      </c>
      <c r="P154" s="2" t="s">
        <v>141</v>
      </c>
      <c r="Q154" s="2" t="s">
        <v>99</v>
      </c>
      <c r="R154" s="2" t="s">
        <v>100</v>
      </c>
      <c r="S154" s="2" t="s">
        <v>765</v>
      </c>
      <c r="T154" s="2" t="s">
        <v>100</v>
      </c>
      <c r="U154" s="2" t="s">
        <v>652</v>
      </c>
      <c r="V154" s="2" t="s">
        <v>427</v>
      </c>
      <c r="W154" s="2" t="s">
        <v>104</v>
      </c>
      <c r="X154" s="2" t="s">
        <v>750</v>
      </c>
      <c r="Y154" s="2" t="s">
        <v>766</v>
      </c>
      <c r="Z154" s="4">
        <v>225</v>
      </c>
      <c r="AA154" s="4">
        <f>=ROUNDDOWN(37.5,0)</f>
      </c>
      <c r="AB154" s="5">
        <v>6</v>
      </c>
      <c r="AC154" s="2" t="s">
        <v>100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/>
      <c r="AP154" s="4">
        <v>1</v>
      </c>
      <c r="AQ154" s="8">
        <v>118.53</v>
      </c>
      <c r="AR154" s="4">
        <v>5</v>
      </c>
      <c r="AS154" s="8">
        <v>592.65</v>
      </c>
      <c r="AT154" s="7">
        <v>-0.8</v>
      </c>
      <c r="AU154" s="7">
        <v>-0.8</v>
      </c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>
        <v>0.0847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 t="s">
        <v>100</v>
      </c>
      <c r="BJ154" s="4">
        <v>27</v>
      </c>
      <c r="BK154" s="8">
        <v>2855</v>
      </c>
      <c r="BL154" s="2" t="s">
        <v>770</v>
      </c>
      <c r="BM154" s="7">
        <v>0.037</v>
      </c>
      <c r="BN154" s="7">
        <v>0.0415</v>
      </c>
      <c r="BO154" s="4">
        <v>1</v>
      </c>
      <c r="BP154" s="8">
        <v>118.53</v>
      </c>
      <c r="BQ154" s="4">
        <v>5</v>
      </c>
      <c r="BR154" s="8">
        <v>592.65</v>
      </c>
      <c r="BS154" s="7">
        <v>-0.8</v>
      </c>
      <c r="BT154" s="7">
        <v>-0.8</v>
      </c>
      <c r="BU154" s="2" t="s">
        <v>109</v>
      </c>
      <c r="BV154" s="2" t="s">
        <v>97</v>
      </c>
      <c r="BW154" s="2" t="s">
        <v>766</v>
      </c>
      <c r="BX154" s="2" t="s">
        <v>771</v>
      </c>
      <c r="BY154" s="2" t="s">
        <v>112</v>
      </c>
      <c r="BZ154" s="2" t="s">
        <v>100</v>
      </c>
    </row>
    <row r="155">
      <c r="A155" s="2" t="s">
        <v>772</v>
      </c>
      <c r="B155" s="2" t="s">
        <v>87</v>
      </c>
      <c r="C155" s="2" t="s">
        <v>645</v>
      </c>
      <c r="D155" s="2" t="s">
        <v>89</v>
      </c>
      <c r="E155" s="2" t="s">
        <v>646</v>
      </c>
      <c r="F155" s="2" t="s">
        <v>716</v>
      </c>
      <c r="G155" s="2" t="s">
        <v>717</v>
      </c>
      <c r="H155" s="2" t="s">
        <v>718</v>
      </c>
      <c r="I155" s="2" t="s">
        <v>650</v>
      </c>
      <c r="J155" s="2" t="s">
        <v>120</v>
      </c>
      <c r="K155" s="2" t="s">
        <v>764</v>
      </c>
      <c r="L155" s="3">
        <v>98.99</v>
      </c>
      <c r="M155" s="3">
        <v>103.94</v>
      </c>
      <c r="N155" s="3">
        <v>199.99</v>
      </c>
      <c r="O155" s="2" t="s">
        <v>97</v>
      </c>
      <c r="P155" s="2" t="s">
        <v>141</v>
      </c>
      <c r="Q155" s="2" t="s">
        <v>99</v>
      </c>
      <c r="R155" s="2" t="s">
        <v>100</v>
      </c>
      <c r="S155" s="2" t="s">
        <v>765</v>
      </c>
      <c r="T155" s="2" t="s">
        <v>100</v>
      </c>
      <c r="U155" s="2" t="s">
        <v>652</v>
      </c>
      <c r="V155" s="2" t="s">
        <v>427</v>
      </c>
      <c r="W155" s="2" t="s">
        <v>104</v>
      </c>
      <c r="X155" s="2" t="s">
        <v>750</v>
      </c>
      <c r="Y155" s="2" t="s">
        <v>766</v>
      </c>
      <c r="Z155" s="4">
        <v>83</v>
      </c>
      <c r="AA155" s="4">
        <f>=ROUNDDOWN(16.6,0)</f>
      </c>
      <c r="AB155" s="5">
        <v>5</v>
      </c>
      <c r="AC155" s="2" t="s">
        <v>303</v>
      </c>
      <c r="AD155" s="4">
        <v>200</v>
      </c>
      <c r="AE155" s="4">
        <v>200</v>
      </c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/>
      <c r="AP155" s="4">
        <v>1</v>
      </c>
      <c r="AQ155" s="8">
        <v>118.53</v>
      </c>
      <c r="AR155" s="4"/>
      <c r="AS155" s="8"/>
      <c r="AT155" s="7"/>
      <c r="AU155" s="7"/>
      <c r="AV155" s="4" t="s">
        <v>100</v>
      </c>
      <c r="AW155" s="8" t="s">
        <v>100</v>
      </c>
      <c r="AX155" s="4" t="s">
        <v>100</v>
      </c>
      <c r="AY155" s="8" t="s">
        <v>100</v>
      </c>
      <c r="AZ155" s="7" t="s">
        <v>100</v>
      </c>
      <c r="BA155" s="7" t="s">
        <v>100</v>
      </c>
      <c r="BB155" s="7">
        <v>0.0847</v>
      </c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 t="s">
        <v>100</v>
      </c>
      <c r="BJ155" s="4">
        <v>11</v>
      </c>
      <c r="BK155" s="8">
        <v>1160.27</v>
      </c>
      <c r="BL155" s="2" t="s">
        <v>773</v>
      </c>
      <c r="BM155" s="7">
        <v>0.0909</v>
      </c>
      <c r="BN155" s="7">
        <v>0.1022</v>
      </c>
      <c r="BO155" s="4">
        <v>1</v>
      </c>
      <c r="BP155" s="8">
        <v>118.53</v>
      </c>
      <c r="BQ155" s="4"/>
      <c r="BR155" s="8"/>
      <c r="BS155" s="7"/>
      <c r="BT155" s="7"/>
      <c r="BU155" s="2" t="s">
        <v>109</v>
      </c>
      <c r="BV155" s="2" t="s">
        <v>97</v>
      </c>
      <c r="BW155" s="2" t="s">
        <v>766</v>
      </c>
      <c r="BX155" s="2" t="s">
        <v>470</v>
      </c>
      <c r="BY155" s="2" t="s">
        <v>112</v>
      </c>
      <c r="BZ155" s="2" t="s">
        <v>100</v>
      </c>
    </row>
    <row r="156">
      <c r="A156" s="2" t="s">
        <v>774</v>
      </c>
      <c r="B156" s="2" t="s">
        <v>87</v>
      </c>
      <c r="C156" s="2" t="s">
        <v>645</v>
      </c>
      <c r="D156" s="2" t="s">
        <v>89</v>
      </c>
      <c r="E156" s="2" t="s">
        <v>646</v>
      </c>
      <c r="F156" s="2" t="s">
        <v>716</v>
      </c>
      <c r="G156" s="2" t="s">
        <v>717</v>
      </c>
      <c r="H156" s="2" t="s">
        <v>718</v>
      </c>
      <c r="I156" s="2" t="s">
        <v>650</v>
      </c>
      <c r="J156" s="2" t="s">
        <v>95</v>
      </c>
      <c r="K156" s="2" t="s">
        <v>588</v>
      </c>
      <c r="L156" s="3">
        <v>88.19</v>
      </c>
      <c r="M156" s="3">
        <v>92.6</v>
      </c>
      <c r="N156" s="3">
        <v>179.99</v>
      </c>
      <c r="O156" s="2" t="s">
        <v>97</v>
      </c>
      <c r="P156" s="2" t="s">
        <v>141</v>
      </c>
      <c r="Q156" s="2" t="s">
        <v>99</v>
      </c>
      <c r="R156" s="2" t="s">
        <v>100</v>
      </c>
      <c r="S156" s="2" t="s">
        <v>775</v>
      </c>
      <c r="T156" s="2" t="s">
        <v>100</v>
      </c>
      <c r="U156" s="2" t="s">
        <v>652</v>
      </c>
      <c r="V156" s="2" t="s">
        <v>427</v>
      </c>
      <c r="W156" s="2" t="s">
        <v>104</v>
      </c>
      <c r="X156" s="2" t="s">
        <v>721</v>
      </c>
      <c r="Y156" s="2" t="s">
        <v>776</v>
      </c>
      <c r="Z156" s="4">
        <v>177</v>
      </c>
      <c r="AA156" s="4">
        <f>=ROUNDDOWN(11.0625,0)</f>
      </c>
      <c r="AB156" s="5">
        <v>16</v>
      </c>
      <c r="AC156" s="2" t="s">
        <v>184</v>
      </c>
      <c r="AD156" s="4">
        <v>100</v>
      </c>
      <c r="AE156" s="4">
        <v>450</v>
      </c>
      <c r="AF156" s="6">
        <v>64</v>
      </c>
      <c r="AG156" s="6">
        <v>47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/>
      <c r="AP156" s="4">
        <v>2</v>
      </c>
      <c r="AQ156" s="8">
        <v>211.22</v>
      </c>
      <c r="AR156" s="4">
        <v>7</v>
      </c>
      <c r="AS156" s="8">
        <v>739.27</v>
      </c>
      <c r="AT156" s="7">
        <v>-0.7143</v>
      </c>
      <c r="AU156" s="7">
        <v>-0.7143</v>
      </c>
      <c r="AV156" s="4">
        <v>9</v>
      </c>
      <c r="AW156" s="8">
        <v>1040.93</v>
      </c>
      <c r="AX156" s="4">
        <v>15</v>
      </c>
      <c r="AY156" s="8">
        <v>1687.51</v>
      </c>
      <c r="AZ156" s="7">
        <v>-0.4</v>
      </c>
      <c r="BA156" s="7">
        <v>-0.3832</v>
      </c>
      <c r="BB156" s="7">
        <v>0.2029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>
        <v>0.0688</v>
      </c>
      <c r="BJ156" s="4">
        <v>79</v>
      </c>
      <c r="BK156" s="8">
        <v>7469.89</v>
      </c>
      <c r="BL156" s="2" t="s">
        <v>777</v>
      </c>
      <c r="BM156" s="7">
        <v>0.0253</v>
      </c>
      <c r="BN156" s="7">
        <v>0.0283</v>
      </c>
      <c r="BO156" s="4">
        <v>2</v>
      </c>
      <c r="BP156" s="8">
        <v>211.22</v>
      </c>
      <c r="BQ156" s="4">
        <v>7</v>
      </c>
      <c r="BR156" s="8">
        <v>739.27</v>
      </c>
      <c r="BS156" s="7">
        <v>-0.7143</v>
      </c>
      <c r="BT156" s="7">
        <v>-0.7143</v>
      </c>
      <c r="BU156" s="2" t="s">
        <v>109</v>
      </c>
      <c r="BV156" s="2" t="s">
        <v>97</v>
      </c>
      <c r="BW156" s="2" t="s">
        <v>724</v>
      </c>
      <c r="BX156" s="2" t="s">
        <v>778</v>
      </c>
      <c r="BY156" s="2" t="s">
        <v>112</v>
      </c>
      <c r="BZ156" s="2" t="s">
        <v>100</v>
      </c>
    </row>
    <row r="157">
      <c r="A157" s="2" t="s">
        <v>779</v>
      </c>
      <c r="B157" s="2" t="s">
        <v>87</v>
      </c>
      <c r="C157" s="2" t="s">
        <v>645</v>
      </c>
      <c r="D157" s="2" t="s">
        <v>89</v>
      </c>
      <c r="E157" s="2" t="s">
        <v>646</v>
      </c>
      <c r="F157" s="2" t="s">
        <v>716</v>
      </c>
      <c r="G157" s="2" t="s">
        <v>717</v>
      </c>
      <c r="H157" s="2" t="s">
        <v>718</v>
      </c>
      <c r="I157" s="2" t="s">
        <v>650</v>
      </c>
      <c r="J157" s="2" t="s">
        <v>114</v>
      </c>
      <c r="K157" s="2" t="s">
        <v>588</v>
      </c>
      <c r="L157" s="3">
        <v>98.99</v>
      </c>
      <c r="M157" s="3">
        <v>103.94</v>
      </c>
      <c r="N157" s="3">
        <v>199.99</v>
      </c>
      <c r="O157" s="2" t="s">
        <v>97</v>
      </c>
      <c r="P157" s="2" t="s">
        <v>141</v>
      </c>
      <c r="Q157" s="2" t="s">
        <v>99</v>
      </c>
      <c r="R157" s="2" t="s">
        <v>100</v>
      </c>
      <c r="S157" s="2" t="s">
        <v>775</v>
      </c>
      <c r="T157" s="2" t="s">
        <v>100</v>
      </c>
      <c r="U157" s="2" t="s">
        <v>652</v>
      </c>
      <c r="V157" s="2" t="s">
        <v>427</v>
      </c>
      <c r="W157" s="2" t="s">
        <v>104</v>
      </c>
      <c r="X157" s="2" t="s">
        <v>721</v>
      </c>
      <c r="Y157" s="2" t="s">
        <v>776</v>
      </c>
      <c r="Z157" s="4">
        <v>172</v>
      </c>
      <c r="AA157" s="4">
        <f>=ROUNDDOWN(10.75,0)</f>
      </c>
      <c r="AB157" s="5">
        <v>16</v>
      </c>
      <c r="AC157" s="2" t="s">
        <v>184</v>
      </c>
      <c r="AD157" s="4">
        <v>200</v>
      </c>
      <c r="AE157" s="4">
        <v>520</v>
      </c>
      <c r="AF157" s="6">
        <v>64</v>
      </c>
      <c r="AG157" s="6">
        <v>47</v>
      </c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/>
      <c r="AP157" s="4">
        <v>3</v>
      </c>
      <c r="AQ157" s="8">
        <v>355.59</v>
      </c>
      <c r="AR157" s="4">
        <v>4</v>
      </c>
      <c r="AS157" s="8">
        <v>474.12</v>
      </c>
      <c r="AT157" s="7">
        <v>-0.25</v>
      </c>
      <c r="AU157" s="7">
        <v>-0.25</v>
      </c>
      <c r="AV157" s="4" t="s">
        <v>100</v>
      </c>
      <c r="AW157" s="8" t="s">
        <v>100</v>
      </c>
      <c r="AX157" s="4" t="s">
        <v>100</v>
      </c>
      <c r="AY157" s="8" t="s">
        <v>100</v>
      </c>
      <c r="AZ157" s="7" t="s">
        <v>100</v>
      </c>
      <c r="BA157" s="7" t="s">
        <v>100</v>
      </c>
      <c r="BB157" s="7">
        <v>0.3416</v>
      </c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 t="s">
        <v>100</v>
      </c>
      <c r="BJ157" s="4">
        <v>51</v>
      </c>
      <c r="BK157" s="8">
        <v>5624.7</v>
      </c>
      <c r="BL157" s="2" t="s">
        <v>780</v>
      </c>
      <c r="BM157" s="7">
        <v>0.0588</v>
      </c>
      <c r="BN157" s="7">
        <v>0.0632</v>
      </c>
      <c r="BO157" s="4">
        <v>3</v>
      </c>
      <c r="BP157" s="8">
        <v>355.59</v>
      </c>
      <c r="BQ157" s="4">
        <v>4</v>
      </c>
      <c r="BR157" s="8">
        <v>474.12</v>
      </c>
      <c r="BS157" s="7">
        <v>-0.25</v>
      </c>
      <c r="BT157" s="7">
        <v>-0.25</v>
      </c>
      <c r="BU157" s="2" t="s">
        <v>109</v>
      </c>
      <c r="BV157" s="2" t="s">
        <v>97</v>
      </c>
      <c r="BW157" s="2" t="s">
        <v>724</v>
      </c>
      <c r="BX157" s="2" t="s">
        <v>781</v>
      </c>
      <c r="BY157" s="2" t="s">
        <v>112</v>
      </c>
      <c r="BZ157" s="2" t="s">
        <v>100</v>
      </c>
    </row>
    <row r="158">
      <c r="A158" s="2" t="s">
        <v>782</v>
      </c>
      <c r="B158" s="2" t="s">
        <v>87</v>
      </c>
      <c r="C158" s="2" t="s">
        <v>645</v>
      </c>
      <c r="D158" s="2" t="s">
        <v>89</v>
      </c>
      <c r="E158" s="2" t="s">
        <v>646</v>
      </c>
      <c r="F158" s="2" t="s">
        <v>716</v>
      </c>
      <c r="G158" s="2" t="s">
        <v>717</v>
      </c>
      <c r="H158" s="2" t="s">
        <v>718</v>
      </c>
      <c r="I158" s="2" t="s">
        <v>650</v>
      </c>
      <c r="J158" s="2" t="s">
        <v>120</v>
      </c>
      <c r="K158" s="2" t="s">
        <v>588</v>
      </c>
      <c r="L158" s="3">
        <v>98.99</v>
      </c>
      <c r="M158" s="3">
        <v>103.94</v>
      </c>
      <c r="N158" s="3">
        <v>199.99</v>
      </c>
      <c r="O158" s="2" t="s">
        <v>97</v>
      </c>
      <c r="P158" s="2" t="s">
        <v>141</v>
      </c>
      <c r="Q158" s="2" t="s">
        <v>99</v>
      </c>
      <c r="R158" s="2" t="s">
        <v>100</v>
      </c>
      <c r="S158" s="2" t="s">
        <v>775</v>
      </c>
      <c r="T158" s="2" t="s">
        <v>100</v>
      </c>
      <c r="U158" s="2" t="s">
        <v>652</v>
      </c>
      <c r="V158" s="2" t="s">
        <v>427</v>
      </c>
      <c r="W158" s="2" t="s">
        <v>104</v>
      </c>
      <c r="X158" s="2" t="s">
        <v>721</v>
      </c>
      <c r="Y158" s="2" t="s">
        <v>776</v>
      </c>
      <c r="Z158" s="4">
        <v>142</v>
      </c>
      <c r="AA158" s="4">
        <f>=ROUNDDOWN(15.7777777777778,0)</f>
      </c>
      <c r="AB158" s="5">
        <v>9</v>
      </c>
      <c r="AC158" s="2" t="s">
        <v>184</v>
      </c>
      <c r="AD158" s="4">
        <v>150</v>
      </c>
      <c r="AE158" s="4">
        <v>230</v>
      </c>
      <c r="AF158" s="6">
        <v>64</v>
      </c>
      <c r="AG158" s="6">
        <v>47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/>
      <c r="AP158" s="4">
        <v>4</v>
      </c>
      <c r="AQ158" s="8">
        <v>474.12</v>
      </c>
      <c r="AR158" s="4">
        <v>4</v>
      </c>
      <c r="AS158" s="8">
        <v>474.12</v>
      </c>
      <c r="AT158" s="7"/>
      <c r="AU158" s="7"/>
      <c r="AV158" s="4" t="s">
        <v>100</v>
      </c>
      <c r="AW158" s="8" t="s">
        <v>100</v>
      </c>
      <c r="AX158" s="4" t="s">
        <v>100</v>
      </c>
      <c r="AY158" s="8" t="s">
        <v>100</v>
      </c>
      <c r="AZ158" s="7" t="s">
        <v>100</v>
      </c>
      <c r="BA158" s="7" t="s">
        <v>100</v>
      </c>
      <c r="BB158" s="7">
        <v>0.4555</v>
      </c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 t="s">
        <v>100</v>
      </c>
      <c r="BJ158" s="4">
        <v>29</v>
      </c>
      <c r="BK158" s="8">
        <v>3112.46</v>
      </c>
      <c r="BL158" s="2" t="s">
        <v>783</v>
      </c>
      <c r="BM158" s="7">
        <v>0.1379</v>
      </c>
      <c r="BN158" s="7">
        <v>0.1523</v>
      </c>
      <c r="BO158" s="4">
        <v>4</v>
      </c>
      <c r="BP158" s="8">
        <v>474.12</v>
      </c>
      <c r="BQ158" s="4">
        <v>4</v>
      </c>
      <c r="BR158" s="8">
        <v>474.12</v>
      </c>
      <c r="BS158" s="7"/>
      <c r="BT158" s="7"/>
      <c r="BU158" s="2" t="s">
        <v>109</v>
      </c>
      <c r="BV158" s="2" t="s">
        <v>97</v>
      </c>
      <c r="BW158" s="2" t="s">
        <v>724</v>
      </c>
      <c r="BX158" s="2" t="s">
        <v>732</v>
      </c>
      <c r="BY158" s="2" t="s">
        <v>112</v>
      </c>
      <c r="BZ158" s="2" t="s">
        <v>100</v>
      </c>
    </row>
    <row r="159">
      <c r="A159" s="2" t="s">
        <v>784</v>
      </c>
      <c r="B159" s="2" t="s">
        <v>87</v>
      </c>
      <c r="C159" s="2" t="s">
        <v>785</v>
      </c>
      <c r="D159" s="2" t="s">
        <v>89</v>
      </c>
      <c r="E159" s="2" t="s">
        <v>786</v>
      </c>
      <c r="F159" s="2" t="s">
        <v>787</v>
      </c>
      <c r="G159" s="2" t="s">
        <v>788</v>
      </c>
      <c r="H159" s="2" t="s">
        <v>789</v>
      </c>
      <c r="I159" s="2" t="s">
        <v>790</v>
      </c>
      <c r="J159" s="2" t="s">
        <v>791</v>
      </c>
      <c r="K159" s="2" t="s">
        <v>440</v>
      </c>
      <c r="L159" s="3">
        <v>21.42</v>
      </c>
      <c r="M159" s="3">
        <v>22.49</v>
      </c>
      <c r="N159" s="3">
        <v>44.99</v>
      </c>
      <c r="O159" s="2" t="s">
        <v>97</v>
      </c>
      <c r="P159" s="2" t="s">
        <v>576</v>
      </c>
      <c r="Q159" s="2" t="s">
        <v>99</v>
      </c>
      <c r="R159" s="2" t="s">
        <v>100</v>
      </c>
      <c r="S159" s="2" t="s">
        <v>792</v>
      </c>
      <c r="T159" s="2" t="s">
        <v>793</v>
      </c>
      <c r="U159" s="2" t="s">
        <v>426</v>
      </c>
      <c r="V159" s="2" t="s">
        <v>427</v>
      </c>
      <c r="W159" s="2" t="s">
        <v>428</v>
      </c>
      <c r="X159" s="2" t="s">
        <v>636</v>
      </c>
      <c r="Y159" s="2" t="s">
        <v>794</v>
      </c>
      <c r="Z159" s="4">
        <v>959</v>
      </c>
      <c r="AA159" s="4">
        <f>=ROUNDDOWN(34.25,0)</f>
      </c>
      <c r="AB159" s="5">
        <v>28</v>
      </c>
      <c r="AC159" s="2" t="s">
        <v>795</v>
      </c>
      <c r="AD159" s="4">
        <v>240</v>
      </c>
      <c r="AE159" s="4">
        <v>480</v>
      </c>
      <c r="AF159" s="6">
        <v>63</v>
      </c>
      <c r="AG159" s="6">
        <v>46</v>
      </c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/>
      <c r="AP159" s="4">
        <v>8</v>
      </c>
      <c r="AQ159" s="8">
        <v>233.92</v>
      </c>
      <c r="AR159" s="4"/>
      <c r="AS159" s="8"/>
      <c r="AT159" s="7"/>
      <c r="AU159" s="7"/>
      <c r="AV159" s="4">
        <v>72</v>
      </c>
      <c r="AW159" s="8">
        <v>2557.53</v>
      </c>
      <c r="AX159" s="4" t="s">
        <v>100</v>
      </c>
      <c r="AY159" s="8" t="s">
        <v>100</v>
      </c>
      <c r="AZ159" s="7" t="s">
        <v>100</v>
      </c>
      <c r="BA159" s="7" t="s">
        <v>100</v>
      </c>
      <c r="BB159" s="7">
        <v>0.0915</v>
      </c>
      <c r="BC159" s="4">
        <v>169</v>
      </c>
      <c r="BD159" s="8">
        <v>6031.81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0.424</v>
      </c>
      <c r="BJ159" s="4">
        <v>54</v>
      </c>
      <c r="BK159" s="8">
        <v>1311.9</v>
      </c>
      <c r="BL159" s="2" t="s">
        <v>796</v>
      </c>
      <c r="BM159" s="7">
        <v>0.1481</v>
      </c>
      <c r="BN159" s="7">
        <v>0.1783</v>
      </c>
      <c r="BO159" s="4">
        <v>8</v>
      </c>
      <c r="BP159" s="8">
        <v>233.92</v>
      </c>
      <c r="BQ159" s="4"/>
      <c r="BR159" s="8"/>
      <c r="BS159" s="7"/>
      <c r="BT159" s="7"/>
      <c r="BU159" s="2" t="s">
        <v>109</v>
      </c>
      <c r="BV159" s="2" t="s">
        <v>97</v>
      </c>
      <c r="BW159" s="2" t="s">
        <v>797</v>
      </c>
      <c r="BX159" s="2" t="s">
        <v>798</v>
      </c>
      <c r="BY159" s="2" t="s">
        <v>112</v>
      </c>
      <c r="BZ159" s="2" t="s">
        <v>100</v>
      </c>
    </row>
    <row r="160">
      <c r="A160" s="2" t="s">
        <v>799</v>
      </c>
      <c r="B160" s="2" t="s">
        <v>87</v>
      </c>
      <c r="C160" s="2" t="s">
        <v>785</v>
      </c>
      <c r="D160" s="2" t="s">
        <v>89</v>
      </c>
      <c r="E160" s="2" t="s">
        <v>786</v>
      </c>
      <c r="F160" s="2" t="s">
        <v>787</v>
      </c>
      <c r="G160" s="2" t="s">
        <v>788</v>
      </c>
      <c r="H160" s="2" t="s">
        <v>789</v>
      </c>
      <c r="I160" s="2" t="s">
        <v>790</v>
      </c>
      <c r="J160" s="2" t="s">
        <v>558</v>
      </c>
      <c r="K160" s="2" t="s">
        <v>440</v>
      </c>
      <c r="L160" s="3">
        <v>26.19</v>
      </c>
      <c r="M160" s="3">
        <v>27.5</v>
      </c>
      <c r="N160" s="3">
        <v>54.99</v>
      </c>
      <c r="O160" s="2" t="s">
        <v>97</v>
      </c>
      <c r="P160" s="2" t="s">
        <v>576</v>
      </c>
      <c r="Q160" s="2" t="s">
        <v>99</v>
      </c>
      <c r="R160" s="2" t="s">
        <v>100</v>
      </c>
      <c r="S160" s="2" t="s">
        <v>792</v>
      </c>
      <c r="T160" s="2" t="s">
        <v>793</v>
      </c>
      <c r="U160" s="2" t="s">
        <v>432</v>
      </c>
      <c r="V160" s="2" t="s">
        <v>427</v>
      </c>
      <c r="W160" s="2" t="s">
        <v>428</v>
      </c>
      <c r="X160" s="2" t="s">
        <v>636</v>
      </c>
      <c r="Y160" s="2" t="s">
        <v>794</v>
      </c>
      <c r="Z160" s="4">
        <v>1383</v>
      </c>
      <c r="AA160" s="4">
        <f>=ROUNDDOWN(19.4788732394366,0)</f>
      </c>
      <c r="AB160" s="5">
        <v>71</v>
      </c>
      <c r="AC160" s="2" t="s">
        <v>162</v>
      </c>
      <c r="AD160" s="4">
        <v>3900</v>
      </c>
      <c r="AE160" s="4">
        <v>6450</v>
      </c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/>
      <c r="AP160" s="4">
        <v>39</v>
      </c>
      <c r="AQ160" s="8">
        <v>1393.86</v>
      </c>
      <c r="AR160" s="4"/>
      <c r="AS160" s="8"/>
      <c r="AT160" s="7"/>
      <c r="AU160" s="7"/>
      <c r="AV160" s="4" t="s">
        <v>100</v>
      </c>
      <c r="AW160" s="8" t="s">
        <v>100</v>
      </c>
      <c r="AX160" s="4" t="s">
        <v>100</v>
      </c>
      <c r="AY160" s="8" t="s">
        <v>100</v>
      </c>
      <c r="AZ160" s="7" t="s">
        <v>100</v>
      </c>
      <c r="BA160" s="7" t="s">
        <v>100</v>
      </c>
      <c r="BB160" s="7">
        <v>0.545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 t="s">
        <v>100</v>
      </c>
      <c r="BJ160" s="4">
        <v>193</v>
      </c>
      <c r="BK160" s="8">
        <v>5767.55</v>
      </c>
      <c r="BL160" s="2" t="s">
        <v>800</v>
      </c>
      <c r="BM160" s="7">
        <v>0.2021</v>
      </c>
      <c r="BN160" s="7">
        <v>0.2417</v>
      </c>
      <c r="BO160" s="4">
        <v>39</v>
      </c>
      <c r="BP160" s="8">
        <v>1393.86</v>
      </c>
      <c r="BQ160" s="4"/>
      <c r="BR160" s="8"/>
      <c r="BS160" s="7"/>
      <c r="BT160" s="7"/>
      <c r="BU160" s="2" t="s">
        <v>109</v>
      </c>
      <c r="BV160" s="2" t="s">
        <v>97</v>
      </c>
      <c r="BW160" s="2" t="s">
        <v>797</v>
      </c>
      <c r="BX160" s="2" t="s">
        <v>801</v>
      </c>
      <c r="BY160" s="2" t="s">
        <v>112</v>
      </c>
      <c r="BZ160" s="2" t="s">
        <v>100</v>
      </c>
    </row>
    <row r="161">
      <c r="A161" s="2" t="s">
        <v>802</v>
      </c>
      <c r="B161" s="2" t="s">
        <v>87</v>
      </c>
      <c r="C161" s="2" t="s">
        <v>785</v>
      </c>
      <c r="D161" s="2" t="s">
        <v>89</v>
      </c>
      <c r="E161" s="2" t="s">
        <v>786</v>
      </c>
      <c r="F161" s="2" t="s">
        <v>787</v>
      </c>
      <c r="G161" s="2" t="s">
        <v>788</v>
      </c>
      <c r="H161" s="2" t="s">
        <v>789</v>
      </c>
      <c r="I161" s="2" t="s">
        <v>790</v>
      </c>
      <c r="J161" s="2" t="s">
        <v>563</v>
      </c>
      <c r="K161" s="2" t="s">
        <v>440</v>
      </c>
      <c r="L161" s="3">
        <v>28.57</v>
      </c>
      <c r="M161" s="3">
        <v>30</v>
      </c>
      <c r="N161" s="3">
        <v>59.99</v>
      </c>
      <c r="O161" s="2" t="s">
        <v>97</v>
      </c>
      <c r="P161" s="2" t="s">
        <v>576</v>
      </c>
      <c r="Q161" s="2" t="s">
        <v>99</v>
      </c>
      <c r="R161" s="2" t="s">
        <v>100</v>
      </c>
      <c r="S161" s="2" t="s">
        <v>792</v>
      </c>
      <c r="T161" s="2" t="s">
        <v>793</v>
      </c>
      <c r="U161" s="2" t="s">
        <v>432</v>
      </c>
      <c r="V161" s="2" t="s">
        <v>427</v>
      </c>
      <c r="W161" s="2" t="s">
        <v>428</v>
      </c>
      <c r="X161" s="2" t="s">
        <v>636</v>
      </c>
      <c r="Y161" s="2" t="s">
        <v>801</v>
      </c>
      <c r="Z161" s="4">
        <v>1441</v>
      </c>
      <c r="AA161" s="4">
        <f>=ROUNDDOWN(31.3260869565217,0)</f>
      </c>
      <c r="AB161" s="5">
        <v>46</v>
      </c>
      <c r="AC161" s="2" t="s">
        <v>162</v>
      </c>
      <c r="AD161" s="4">
        <v>1500</v>
      </c>
      <c r="AE161" s="4">
        <v>3330</v>
      </c>
      <c r="AF161" s="6">
        <v>63</v>
      </c>
      <c r="AG161" s="6">
        <v>46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/>
      <c r="AP161" s="4">
        <v>25</v>
      </c>
      <c r="AQ161" s="8">
        <v>929.75</v>
      </c>
      <c r="AR161" s="4"/>
      <c r="AS161" s="8"/>
      <c r="AT161" s="7"/>
      <c r="AU161" s="7"/>
      <c r="AV161" s="4" t="s">
        <v>100</v>
      </c>
      <c r="AW161" s="8" t="s">
        <v>100</v>
      </c>
      <c r="AX161" s="4" t="s">
        <v>100</v>
      </c>
      <c r="AY161" s="8" t="s">
        <v>100</v>
      </c>
      <c r="AZ161" s="7" t="s">
        <v>100</v>
      </c>
      <c r="BA161" s="7" t="s">
        <v>100</v>
      </c>
      <c r="BB161" s="7">
        <v>0.3635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 t="s">
        <v>100</v>
      </c>
      <c r="BJ161" s="4">
        <v>160</v>
      </c>
      <c r="BK161" s="8">
        <v>5177.45</v>
      </c>
      <c r="BL161" s="2" t="s">
        <v>803</v>
      </c>
      <c r="BM161" s="7">
        <v>0.1562</v>
      </c>
      <c r="BN161" s="7">
        <v>0.1796</v>
      </c>
      <c r="BO161" s="4">
        <v>25</v>
      </c>
      <c r="BP161" s="8">
        <v>929.75</v>
      </c>
      <c r="BQ161" s="4"/>
      <c r="BR161" s="8"/>
      <c r="BS161" s="7"/>
      <c r="BT161" s="7"/>
      <c r="BU161" s="2" t="s">
        <v>109</v>
      </c>
      <c r="BV161" s="2" t="s">
        <v>97</v>
      </c>
      <c r="BW161" s="2" t="s">
        <v>804</v>
      </c>
      <c r="BX161" s="2" t="s">
        <v>805</v>
      </c>
      <c r="BY161" s="2" t="s">
        <v>112</v>
      </c>
      <c r="BZ161" s="2" t="s">
        <v>100</v>
      </c>
    </row>
    <row r="162">
      <c r="A162" s="2" t="s">
        <v>806</v>
      </c>
      <c r="B162" s="2" t="s">
        <v>87</v>
      </c>
      <c r="C162" s="2" t="s">
        <v>785</v>
      </c>
      <c r="D162" s="2" t="s">
        <v>89</v>
      </c>
      <c r="E162" s="2" t="s">
        <v>786</v>
      </c>
      <c r="F162" s="2" t="s">
        <v>787</v>
      </c>
      <c r="G162" s="2" t="s">
        <v>788</v>
      </c>
      <c r="H162" s="2" t="s">
        <v>789</v>
      </c>
      <c r="I162" s="2" t="s">
        <v>790</v>
      </c>
      <c r="J162" s="2" t="s">
        <v>791</v>
      </c>
      <c r="K162" s="2" t="s">
        <v>623</v>
      </c>
      <c r="L162" s="3">
        <v>21.42</v>
      </c>
      <c r="M162" s="3">
        <v>22.49</v>
      </c>
      <c r="N162" s="3">
        <v>44.99</v>
      </c>
      <c r="O162" s="2" t="s">
        <v>97</v>
      </c>
      <c r="P162" s="2" t="s">
        <v>576</v>
      </c>
      <c r="Q162" s="2" t="s">
        <v>99</v>
      </c>
      <c r="R162" s="2" t="s">
        <v>100</v>
      </c>
      <c r="S162" s="2" t="s">
        <v>807</v>
      </c>
      <c r="T162" s="2" t="s">
        <v>793</v>
      </c>
      <c r="U162" s="2" t="s">
        <v>426</v>
      </c>
      <c r="V162" s="2" t="s">
        <v>427</v>
      </c>
      <c r="W162" s="2" t="s">
        <v>428</v>
      </c>
      <c r="X162" s="2" t="s">
        <v>636</v>
      </c>
      <c r="Y162" s="2" t="s">
        <v>808</v>
      </c>
      <c r="Z162" s="4">
        <v>416</v>
      </c>
      <c r="AA162" s="4">
        <f>=ROUNDDOWN(104,0)</f>
      </c>
      <c r="AB162" s="5">
        <v>4</v>
      </c>
      <c r="AC162" s="2" t="s">
        <v>162</v>
      </c>
      <c r="AD162" s="4">
        <v>600</v>
      </c>
      <c r="AE162" s="4">
        <v>960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/>
      <c r="AP162" s="4">
        <v>3</v>
      </c>
      <c r="AQ162" s="8">
        <v>87.72</v>
      </c>
      <c r="AR162" s="4"/>
      <c r="AS162" s="8"/>
      <c r="AT162" s="7"/>
      <c r="AU162" s="7"/>
      <c r="AV162" s="4">
        <v>49</v>
      </c>
      <c r="AW162" s="8">
        <v>1770.91</v>
      </c>
      <c r="AX162" s="4" t="s">
        <v>100</v>
      </c>
      <c r="AY162" s="8" t="s">
        <v>100</v>
      </c>
      <c r="AZ162" s="7" t="s">
        <v>100</v>
      </c>
      <c r="BA162" s="7" t="s">
        <v>100</v>
      </c>
      <c r="BB162" s="7">
        <v>0.0495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0.2936</v>
      </c>
      <c r="BJ162" s="4">
        <v>38</v>
      </c>
      <c r="BK162" s="8">
        <v>903.4</v>
      </c>
      <c r="BL162" s="2" t="s">
        <v>809</v>
      </c>
      <c r="BM162" s="7">
        <v>0.0789</v>
      </c>
      <c r="BN162" s="7">
        <v>0.0971</v>
      </c>
      <c r="BO162" s="4">
        <v>3</v>
      </c>
      <c r="BP162" s="8">
        <v>87.72</v>
      </c>
      <c r="BQ162" s="4"/>
      <c r="BR162" s="8"/>
      <c r="BS162" s="7"/>
      <c r="BT162" s="7"/>
      <c r="BU162" s="2" t="s">
        <v>109</v>
      </c>
      <c r="BV162" s="2" t="s">
        <v>97</v>
      </c>
      <c r="BW162" s="2" t="s">
        <v>808</v>
      </c>
      <c r="BX162" s="2" t="s">
        <v>810</v>
      </c>
      <c r="BY162" s="2" t="s">
        <v>112</v>
      </c>
      <c r="BZ162" s="2" t="s">
        <v>100</v>
      </c>
    </row>
    <row r="163">
      <c r="A163" s="2" t="s">
        <v>811</v>
      </c>
      <c r="B163" s="2" t="s">
        <v>87</v>
      </c>
      <c r="C163" s="2" t="s">
        <v>785</v>
      </c>
      <c r="D163" s="2" t="s">
        <v>89</v>
      </c>
      <c r="E163" s="2" t="s">
        <v>786</v>
      </c>
      <c r="F163" s="2" t="s">
        <v>787</v>
      </c>
      <c r="G163" s="2" t="s">
        <v>788</v>
      </c>
      <c r="H163" s="2" t="s">
        <v>789</v>
      </c>
      <c r="I163" s="2" t="s">
        <v>790</v>
      </c>
      <c r="J163" s="2" t="s">
        <v>558</v>
      </c>
      <c r="K163" s="2" t="s">
        <v>623</v>
      </c>
      <c r="L163" s="3">
        <v>26.19</v>
      </c>
      <c r="M163" s="3">
        <v>27.5</v>
      </c>
      <c r="N163" s="3">
        <v>54.99</v>
      </c>
      <c r="O163" s="2" t="s">
        <v>97</v>
      </c>
      <c r="P163" s="2" t="s">
        <v>576</v>
      </c>
      <c r="Q163" s="2" t="s">
        <v>99</v>
      </c>
      <c r="R163" s="2" t="s">
        <v>100</v>
      </c>
      <c r="S163" s="2" t="s">
        <v>807</v>
      </c>
      <c r="T163" s="2" t="s">
        <v>793</v>
      </c>
      <c r="U163" s="2" t="s">
        <v>432</v>
      </c>
      <c r="V163" s="2" t="s">
        <v>427</v>
      </c>
      <c r="W163" s="2" t="s">
        <v>428</v>
      </c>
      <c r="X163" s="2" t="s">
        <v>636</v>
      </c>
      <c r="Y163" s="2" t="s">
        <v>808</v>
      </c>
      <c r="Z163" s="4">
        <v>1662</v>
      </c>
      <c r="AA163" s="4">
        <f>=ROUNDDOWN(42.6153846153846,0)</f>
      </c>
      <c r="AB163" s="5">
        <v>39</v>
      </c>
      <c r="AC163" s="2" t="s">
        <v>162</v>
      </c>
      <c r="AD163" s="4">
        <v>1200</v>
      </c>
      <c r="AE163" s="4">
        <v>2100</v>
      </c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19</v>
      </c>
      <c r="AQ163" s="8">
        <v>679.06</v>
      </c>
      <c r="AR163" s="4"/>
      <c r="AS163" s="8"/>
      <c r="AT163" s="7"/>
      <c r="AU163" s="7"/>
      <c r="AV163" s="4" t="s">
        <v>100</v>
      </c>
      <c r="AW163" s="8" t="s">
        <v>100</v>
      </c>
      <c r="AX163" s="4" t="s">
        <v>100</v>
      </c>
      <c r="AY163" s="8" t="s">
        <v>100</v>
      </c>
      <c r="AZ163" s="7" t="s">
        <v>100</v>
      </c>
      <c r="BA163" s="7" t="s">
        <v>100</v>
      </c>
      <c r="BB163" s="7">
        <v>0.3835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 t="s">
        <v>100</v>
      </c>
      <c r="BJ163" s="4">
        <v>180</v>
      </c>
      <c r="BK163" s="8">
        <v>5193.9</v>
      </c>
      <c r="BL163" s="2" t="s">
        <v>812</v>
      </c>
      <c r="BM163" s="7">
        <v>0.1056</v>
      </c>
      <c r="BN163" s="7">
        <v>0.1307</v>
      </c>
      <c r="BO163" s="4">
        <v>19</v>
      </c>
      <c r="BP163" s="8">
        <v>679.06</v>
      </c>
      <c r="BQ163" s="4"/>
      <c r="BR163" s="8"/>
      <c r="BS163" s="7"/>
      <c r="BT163" s="7"/>
      <c r="BU163" s="2" t="s">
        <v>109</v>
      </c>
      <c r="BV163" s="2" t="s">
        <v>97</v>
      </c>
      <c r="BW163" s="2" t="s">
        <v>808</v>
      </c>
      <c r="BX163" s="2" t="s">
        <v>813</v>
      </c>
      <c r="BY163" s="2" t="s">
        <v>112</v>
      </c>
      <c r="BZ163" s="2" t="s">
        <v>100</v>
      </c>
    </row>
    <row r="164">
      <c r="A164" s="2" t="s">
        <v>814</v>
      </c>
      <c r="B164" s="2" t="s">
        <v>87</v>
      </c>
      <c r="C164" s="2" t="s">
        <v>785</v>
      </c>
      <c r="D164" s="2" t="s">
        <v>89</v>
      </c>
      <c r="E164" s="2" t="s">
        <v>786</v>
      </c>
      <c r="F164" s="2" t="s">
        <v>787</v>
      </c>
      <c r="G164" s="2" t="s">
        <v>788</v>
      </c>
      <c r="H164" s="2" t="s">
        <v>789</v>
      </c>
      <c r="I164" s="2" t="s">
        <v>790</v>
      </c>
      <c r="J164" s="2" t="s">
        <v>563</v>
      </c>
      <c r="K164" s="2" t="s">
        <v>623</v>
      </c>
      <c r="L164" s="3">
        <v>28.57</v>
      </c>
      <c r="M164" s="3">
        <v>30</v>
      </c>
      <c r="N164" s="3">
        <v>59.99</v>
      </c>
      <c r="O164" s="2" t="s">
        <v>97</v>
      </c>
      <c r="P164" s="2" t="s">
        <v>576</v>
      </c>
      <c r="Q164" s="2" t="s">
        <v>99</v>
      </c>
      <c r="R164" s="2" t="s">
        <v>100</v>
      </c>
      <c r="S164" s="2" t="s">
        <v>807</v>
      </c>
      <c r="T164" s="2" t="s">
        <v>793</v>
      </c>
      <c r="U164" s="2" t="s">
        <v>432</v>
      </c>
      <c r="V164" s="2" t="s">
        <v>427</v>
      </c>
      <c r="W164" s="2" t="s">
        <v>428</v>
      </c>
      <c r="X164" s="2" t="s">
        <v>636</v>
      </c>
      <c r="Y164" s="2" t="s">
        <v>808</v>
      </c>
      <c r="Z164" s="4">
        <v>1573</v>
      </c>
      <c r="AA164" s="4">
        <f>=ROUNDDOWN(32.1020408163265,0)</f>
      </c>
      <c r="AB164" s="5">
        <v>49</v>
      </c>
      <c r="AC164" s="2" t="s">
        <v>752</v>
      </c>
      <c r="AD164" s="4">
        <v>1200</v>
      </c>
      <c r="AE164" s="4">
        <v>1200</v>
      </c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27</v>
      </c>
      <c r="AQ164" s="8">
        <v>1004.13</v>
      </c>
      <c r="AR164" s="4"/>
      <c r="AS164" s="8"/>
      <c r="AT164" s="7"/>
      <c r="AU164" s="7"/>
      <c r="AV164" s="4" t="s">
        <v>100</v>
      </c>
      <c r="AW164" s="8" t="s">
        <v>100</v>
      </c>
      <c r="AX164" s="4" t="s">
        <v>100</v>
      </c>
      <c r="AY164" s="8" t="s">
        <v>100</v>
      </c>
      <c r="AZ164" s="7" t="s">
        <v>100</v>
      </c>
      <c r="BA164" s="7" t="s">
        <v>100</v>
      </c>
      <c r="BB164" s="7">
        <v>0.567</v>
      </c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 t="s">
        <v>100</v>
      </c>
      <c r="BJ164" s="4">
        <v>222</v>
      </c>
      <c r="BK164" s="8">
        <v>6881.07</v>
      </c>
      <c r="BL164" s="2" t="s">
        <v>815</v>
      </c>
      <c r="BM164" s="7">
        <v>0.1216</v>
      </c>
      <c r="BN164" s="7">
        <v>0.1459</v>
      </c>
      <c r="BO164" s="4">
        <v>27</v>
      </c>
      <c r="BP164" s="8">
        <v>1004.13</v>
      </c>
      <c r="BQ164" s="4"/>
      <c r="BR164" s="8"/>
      <c r="BS164" s="7"/>
      <c r="BT164" s="7"/>
      <c r="BU164" s="2" t="s">
        <v>109</v>
      </c>
      <c r="BV164" s="2" t="s">
        <v>97</v>
      </c>
      <c r="BW164" s="2" t="s">
        <v>808</v>
      </c>
      <c r="BX164" s="2" t="s">
        <v>813</v>
      </c>
      <c r="BY164" s="2" t="s">
        <v>112</v>
      </c>
      <c r="BZ164" s="2" t="s">
        <v>100</v>
      </c>
    </row>
    <row r="165">
      <c r="A165" s="2" t="s">
        <v>816</v>
      </c>
      <c r="B165" s="2" t="s">
        <v>87</v>
      </c>
      <c r="C165" s="2" t="s">
        <v>785</v>
      </c>
      <c r="D165" s="2" t="s">
        <v>89</v>
      </c>
      <c r="E165" s="2" t="s">
        <v>786</v>
      </c>
      <c r="F165" s="2" t="s">
        <v>787</v>
      </c>
      <c r="G165" s="2" t="s">
        <v>788</v>
      </c>
      <c r="H165" s="2" t="s">
        <v>789</v>
      </c>
      <c r="I165" s="2" t="s">
        <v>790</v>
      </c>
      <c r="J165" s="2" t="s">
        <v>791</v>
      </c>
      <c r="K165" s="2" t="s">
        <v>817</v>
      </c>
      <c r="L165" s="3">
        <v>21.42</v>
      </c>
      <c r="M165" s="3">
        <v>22.49</v>
      </c>
      <c r="N165" s="3">
        <v>44.99</v>
      </c>
      <c r="O165" s="2" t="s">
        <v>97</v>
      </c>
      <c r="P165" s="2" t="s">
        <v>576</v>
      </c>
      <c r="Q165" s="2" t="s">
        <v>99</v>
      </c>
      <c r="R165" s="2" t="s">
        <v>100</v>
      </c>
      <c r="S165" s="2" t="s">
        <v>818</v>
      </c>
      <c r="T165" s="2" t="s">
        <v>793</v>
      </c>
      <c r="U165" s="2" t="s">
        <v>426</v>
      </c>
      <c r="V165" s="2" t="s">
        <v>427</v>
      </c>
      <c r="W165" s="2" t="s">
        <v>428</v>
      </c>
      <c r="X165" s="2" t="s">
        <v>636</v>
      </c>
      <c r="Y165" s="2" t="s">
        <v>819</v>
      </c>
      <c r="Z165" s="4">
        <v>829</v>
      </c>
      <c r="AA165" s="4">
        <f>=ROUNDDOWN(103.625,0)</f>
      </c>
      <c r="AB165" s="5">
        <v>8</v>
      </c>
      <c r="AC165" s="2" t="s">
        <v>100</v>
      </c>
      <c r="AD165" s="4"/>
      <c r="AE165" s="4"/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/>
      <c r="AP165" s="4">
        <v>4</v>
      </c>
      <c r="AQ165" s="8">
        <v>116.96</v>
      </c>
      <c r="AR165" s="4"/>
      <c r="AS165" s="8"/>
      <c r="AT165" s="7"/>
      <c r="AU165" s="7"/>
      <c r="AV165" s="4">
        <v>25</v>
      </c>
      <c r="AW165" s="8">
        <v>884.9</v>
      </c>
      <c r="AX165" s="4" t="s">
        <v>100</v>
      </c>
      <c r="AY165" s="8" t="s">
        <v>100</v>
      </c>
      <c r="AZ165" s="7" t="s">
        <v>100</v>
      </c>
      <c r="BA165" s="7" t="s">
        <v>100</v>
      </c>
      <c r="BB165" s="7">
        <v>0.1322</v>
      </c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>
        <v>0.1467</v>
      </c>
      <c r="BJ165" s="4">
        <v>28</v>
      </c>
      <c r="BK165" s="8">
        <v>678.27</v>
      </c>
      <c r="BL165" s="2" t="s">
        <v>820</v>
      </c>
      <c r="BM165" s="7">
        <v>0.1429</v>
      </c>
      <c r="BN165" s="7">
        <v>0.1724</v>
      </c>
      <c r="BO165" s="4">
        <v>4</v>
      </c>
      <c r="BP165" s="8">
        <v>116.96</v>
      </c>
      <c r="BQ165" s="4"/>
      <c r="BR165" s="8"/>
      <c r="BS165" s="7"/>
      <c r="BT165" s="7"/>
      <c r="BU165" s="2" t="s">
        <v>109</v>
      </c>
      <c r="BV165" s="2" t="s">
        <v>97</v>
      </c>
      <c r="BW165" s="2" t="s">
        <v>821</v>
      </c>
      <c r="BX165" s="2" t="s">
        <v>808</v>
      </c>
      <c r="BY165" s="2" t="s">
        <v>112</v>
      </c>
      <c r="BZ165" s="2" t="s">
        <v>100</v>
      </c>
    </row>
    <row r="166">
      <c r="A166" s="2" t="s">
        <v>822</v>
      </c>
      <c r="B166" s="2" t="s">
        <v>87</v>
      </c>
      <c r="C166" s="2" t="s">
        <v>785</v>
      </c>
      <c r="D166" s="2" t="s">
        <v>89</v>
      </c>
      <c r="E166" s="2" t="s">
        <v>786</v>
      </c>
      <c r="F166" s="2" t="s">
        <v>787</v>
      </c>
      <c r="G166" s="2" t="s">
        <v>788</v>
      </c>
      <c r="H166" s="2" t="s">
        <v>789</v>
      </c>
      <c r="I166" s="2" t="s">
        <v>790</v>
      </c>
      <c r="J166" s="2" t="s">
        <v>558</v>
      </c>
      <c r="K166" s="2" t="s">
        <v>817</v>
      </c>
      <c r="L166" s="3">
        <v>26.19</v>
      </c>
      <c r="M166" s="3">
        <v>27.5</v>
      </c>
      <c r="N166" s="3">
        <v>54.99</v>
      </c>
      <c r="O166" s="2" t="s">
        <v>97</v>
      </c>
      <c r="P166" s="2" t="s">
        <v>576</v>
      </c>
      <c r="Q166" s="2" t="s">
        <v>99</v>
      </c>
      <c r="R166" s="2" t="s">
        <v>100</v>
      </c>
      <c r="S166" s="2" t="s">
        <v>818</v>
      </c>
      <c r="T166" s="2" t="s">
        <v>793</v>
      </c>
      <c r="U166" s="2" t="s">
        <v>432</v>
      </c>
      <c r="V166" s="2" t="s">
        <v>427</v>
      </c>
      <c r="W166" s="2" t="s">
        <v>428</v>
      </c>
      <c r="X166" s="2" t="s">
        <v>636</v>
      </c>
      <c r="Y166" s="2" t="s">
        <v>823</v>
      </c>
      <c r="Z166" s="4">
        <v>2172</v>
      </c>
      <c r="AA166" s="4">
        <f>=ROUNDDOWN(63.8823529411765,0)</f>
      </c>
      <c r="AB166" s="5">
        <v>34</v>
      </c>
      <c r="AC166" s="2" t="s">
        <v>162</v>
      </c>
      <c r="AD166" s="4">
        <v>4800</v>
      </c>
      <c r="AE166" s="4">
        <v>5880</v>
      </c>
      <c r="AF166" s="6">
        <v>63</v>
      </c>
      <c r="AG166" s="6">
        <v>46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/>
      <c r="AP166" s="4">
        <v>9</v>
      </c>
      <c r="AQ166" s="8">
        <v>321.66</v>
      </c>
      <c r="AR166" s="4"/>
      <c r="AS166" s="8"/>
      <c r="AT166" s="7"/>
      <c r="AU166" s="7"/>
      <c r="AV166" s="4" t="s">
        <v>100</v>
      </c>
      <c r="AW166" s="8" t="s">
        <v>100</v>
      </c>
      <c r="AX166" s="4" t="s">
        <v>100</v>
      </c>
      <c r="AY166" s="8" t="s">
        <v>100</v>
      </c>
      <c r="AZ166" s="7" t="s">
        <v>100</v>
      </c>
      <c r="BA166" s="7" t="s">
        <v>100</v>
      </c>
      <c r="BB166" s="7">
        <v>0.3635</v>
      </c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 t="s">
        <v>100</v>
      </c>
      <c r="BJ166" s="4">
        <v>142</v>
      </c>
      <c r="BK166" s="8">
        <v>4051.64</v>
      </c>
      <c r="BL166" s="2" t="s">
        <v>824</v>
      </c>
      <c r="BM166" s="7">
        <v>0.0634</v>
      </c>
      <c r="BN166" s="7">
        <v>0.0794</v>
      </c>
      <c r="BO166" s="4">
        <v>9</v>
      </c>
      <c r="BP166" s="8">
        <v>321.66</v>
      </c>
      <c r="BQ166" s="4"/>
      <c r="BR166" s="8"/>
      <c r="BS166" s="7"/>
      <c r="BT166" s="7"/>
      <c r="BU166" s="2" t="s">
        <v>109</v>
      </c>
      <c r="BV166" s="2" t="s">
        <v>97</v>
      </c>
      <c r="BW166" s="2" t="s">
        <v>825</v>
      </c>
      <c r="BX166" s="2" t="s">
        <v>801</v>
      </c>
      <c r="BY166" s="2" t="s">
        <v>112</v>
      </c>
      <c r="BZ166" s="2" t="s">
        <v>100</v>
      </c>
    </row>
    <row r="167">
      <c r="A167" s="2" t="s">
        <v>826</v>
      </c>
      <c r="B167" s="2" t="s">
        <v>87</v>
      </c>
      <c r="C167" s="2" t="s">
        <v>785</v>
      </c>
      <c r="D167" s="2" t="s">
        <v>89</v>
      </c>
      <c r="E167" s="2" t="s">
        <v>786</v>
      </c>
      <c r="F167" s="2" t="s">
        <v>787</v>
      </c>
      <c r="G167" s="2" t="s">
        <v>788</v>
      </c>
      <c r="H167" s="2" t="s">
        <v>789</v>
      </c>
      <c r="I167" s="2" t="s">
        <v>790</v>
      </c>
      <c r="J167" s="2" t="s">
        <v>563</v>
      </c>
      <c r="K167" s="2" t="s">
        <v>817</v>
      </c>
      <c r="L167" s="3">
        <v>28.57</v>
      </c>
      <c r="M167" s="3">
        <v>30</v>
      </c>
      <c r="N167" s="3">
        <v>59.99</v>
      </c>
      <c r="O167" s="2" t="s">
        <v>97</v>
      </c>
      <c r="P167" s="2" t="s">
        <v>576</v>
      </c>
      <c r="Q167" s="2" t="s">
        <v>99</v>
      </c>
      <c r="R167" s="2" t="s">
        <v>100</v>
      </c>
      <c r="S167" s="2" t="s">
        <v>818</v>
      </c>
      <c r="T167" s="2" t="s">
        <v>793</v>
      </c>
      <c r="U167" s="2" t="s">
        <v>432</v>
      </c>
      <c r="V167" s="2" t="s">
        <v>427</v>
      </c>
      <c r="W167" s="2" t="s">
        <v>428</v>
      </c>
      <c r="X167" s="2" t="s">
        <v>636</v>
      </c>
      <c r="Y167" s="2" t="s">
        <v>823</v>
      </c>
      <c r="Z167" s="4">
        <v>2030</v>
      </c>
      <c r="AA167" s="4">
        <f>=ROUNDDOWN(50.75,0)</f>
      </c>
      <c r="AB167" s="5">
        <v>40</v>
      </c>
      <c r="AC167" s="2" t="s">
        <v>162</v>
      </c>
      <c r="AD167" s="4">
        <v>5700</v>
      </c>
      <c r="AE167" s="4">
        <v>6600</v>
      </c>
      <c r="AF167" s="6">
        <v>63</v>
      </c>
      <c r="AG167" s="6">
        <v>46</v>
      </c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/>
      <c r="AP167" s="4">
        <v>12</v>
      </c>
      <c r="AQ167" s="8">
        <v>446.28</v>
      </c>
      <c r="AR167" s="4"/>
      <c r="AS167" s="8"/>
      <c r="AT167" s="7"/>
      <c r="AU167" s="7"/>
      <c r="AV167" s="4" t="s">
        <v>100</v>
      </c>
      <c r="AW167" s="8" t="s">
        <v>100</v>
      </c>
      <c r="AX167" s="4" t="s">
        <v>100</v>
      </c>
      <c r="AY167" s="8" t="s">
        <v>100</v>
      </c>
      <c r="AZ167" s="7" t="s">
        <v>100</v>
      </c>
      <c r="BA167" s="7" t="s">
        <v>100</v>
      </c>
      <c r="BB167" s="7">
        <v>0.5043</v>
      </c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 t="s">
        <v>100</v>
      </c>
      <c r="BJ167" s="4">
        <v>144</v>
      </c>
      <c r="BK167" s="8">
        <v>4521.94</v>
      </c>
      <c r="BL167" s="2" t="s">
        <v>827</v>
      </c>
      <c r="BM167" s="7">
        <v>0.0833</v>
      </c>
      <c r="BN167" s="7">
        <v>0.0987</v>
      </c>
      <c r="BO167" s="4">
        <v>12</v>
      </c>
      <c r="BP167" s="8">
        <v>446.28</v>
      </c>
      <c r="BQ167" s="4"/>
      <c r="BR167" s="8"/>
      <c r="BS167" s="7"/>
      <c r="BT167" s="7"/>
      <c r="BU167" s="2" t="s">
        <v>109</v>
      </c>
      <c r="BV167" s="2" t="s">
        <v>97</v>
      </c>
      <c r="BW167" s="2" t="s">
        <v>825</v>
      </c>
      <c r="BX167" s="2" t="s">
        <v>828</v>
      </c>
      <c r="BY167" s="2" t="s">
        <v>112</v>
      </c>
      <c r="BZ167" s="2" t="s">
        <v>100</v>
      </c>
    </row>
    <row r="168">
      <c r="A168" s="2" t="s">
        <v>829</v>
      </c>
      <c r="B168" s="2" t="s">
        <v>87</v>
      </c>
      <c r="C168" s="2" t="s">
        <v>785</v>
      </c>
      <c r="D168" s="2" t="s">
        <v>89</v>
      </c>
      <c r="E168" s="2" t="s">
        <v>786</v>
      </c>
      <c r="F168" s="2" t="s">
        <v>787</v>
      </c>
      <c r="G168" s="2" t="s">
        <v>788</v>
      </c>
      <c r="H168" s="2" t="s">
        <v>789</v>
      </c>
      <c r="I168" s="2" t="s">
        <v>790</v>
      </c>
      <c r="J168" s="2" t="s">
        <v>791</v>
      </c>
      <c r="K168" s="2" t="s">
        <v>830</v>
      </c>
      <c r="L168" s="3">
        <v>21.42</v>
      </c>
      <c r="M168" s="3">
        <v>22.49</v>
      </c>
      <c r="N168" s="3">
        <v>44.99</v>
      </c>
      <c r="O168" s="2" t="s">
        <v>97</v>
      </c>
      <c r="P168" s="2" t="s">
        <v>98</v>
      </c>
      <c r="Q168" s="2" t="s">
        <v>99</v>
      </c>
      <c r="R168" s="2" t="s">
        <v>100</v>
      </c>
      <c r="S168" s="2" t="s">
        <v>831</v>
      </c>
      <c r="T168" s="2" t="s">
        <v>793</v>
      </c>
      <c r="U168" s="2" t="s">
        <v>426</v>
      </c>
      <c r="V168" s="2" t="s">
        <v>427</v>
      </c>
      <c r="W168" s="2" t="s">
        <v>428</v>
      </c>
      <c r="X168" s="2" t="s">
        <v>636</v>
      </c>
      <c r="Y168" s="2" t="s">
        <v>794</v>
      </c>
      <c r="Z168" s="4">
        <v>323</v>
      </c>
      <c r="AA168" s="4">
        <f>=ROUNDDOWN(35.8888888888889,0)</f>
      </c>
      <c r="AB168" s="5">
        <v>9</v>
      </c>
      <c r="AC168" s="2" t="s">
        <v>436</v>
      </c>
      <c r="AD168" s="4">
        <v>240</v>
      </c>
      <c r="AE168" s="4">
        <v>360</v>
      </c>
      <c r="AF168" s="6">
        <v>63</v>
      </c>
      <c r="AG168" s="6">
        <v>46</v>
      </c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/>
      <c r="AP168" s="4">
        <v>3</v>
      </c>
      <c r="AQ168" s="8">
        <v>87.72</v>
      </c>
      <c r="AR168" s="4"/>
      <c r="AS168" s="8"/>
      <c r="AT168" s="7"/>
      <c r="AU168" s="7"/>
      <c r="AV168" s="4">
        <v>23</v>
      </c>
      <c r="AW168" s="8">
        <v>818.47</v>
      </c>
      <c r="AX168" s="4" t="s">
        <v>100</v>
      </c>
      <c r="AY168" s="8" t="s">
        <v>100</v>
      </c>
      <c r="AZ168" s="7" t="s">
        <v>100</v>
      </c>
      <c r="BA168" s="7" t="s">
        <v>100</v>
      </c>
      <c r="BB168" s="7">
        <v>0.1072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0.1357</v>
      </c>
      <c r="BJ168" s="4">
        <v>24</v>
      </c>
      <c r="BK168" s="8">
        <v>639.35</v>
      </c>
      <c r="BL168" s="2" t="s">
        <v>832</v>
      </c>
      <c r="BM168" s="7">
        <v>0.125</v>
      </c>
      <c r="BN168" s="7">
        <v>0.1372</v>
      </c>
      <c r="BO168" s="4">
        <v>3</v>
      </c>
      <c r="BP168" s="8">
        <v>87.72</v>
      </c>
      <c r="BQ168" s="4"/>
      <c r="BR168" s="8"/>
      <c r="BS168" s="7"/>
      <c r="BT168" s="7"/>
      <c r="BU168" s="2" t="s">
        <v>109</v>
      </c>
      <c r="BV168" s="2" t="s">
        <v>97</v>
      </c>
      <c r="BW168" s="2" t="s">
        <v>797</v>
      </c>
      <c r="BX168" s="2" t="s">
        <v>798</v>
      </c>
      <c r="BY168" s="2" t="s">
        <v>112</v>
      </c>
      <c r="BZ168" s="2" t="s">
        <v>100</v>
      </c>
    </row>
    <row r="169">
      <c r="A169" s="2" t="s">
        <v>833</v>
      </c>
      <c r="B169" s="2" t="s">
        <v>87</v>
      </c>
      <c r="C169" s="2" t="s">
        <v>785</v>
      </c>
      <c r="D169" s="2" t="s">
        <v>89</v>
      </c>
      <c r="E169" s="2" t="s">
        <v>786</v>
      </c>
      <c r="F169" s="2" t="s">
        <v>787</v>
      </c>
      <c r="G169" s="2" t="s">
        <v>788</v>
      </c>
      <c r="H169" s="2" t="s">
        <v>789</v>
      </c>
      <c r="I169" s="2" t="s">
        <v>790</v>
      </c>
      <c r="J169" s="2" t="s">
        <v>558</v>
      </c>
      <c r="K169" s="2" t="s">
        <v>830</v>
      </c>
      <c r="L169" s="3">
        <v>26.19</v>
      </c>
      <c r="M169" s="3">
        <v>27.5</v>
      </c>
      <c r="N169" s="3">
        <v>54.99</v>
      </c>
      <c r="O169" s="2" t="s">
        <v>97</v>
      </c>
      <c r="P169" s="2" t="s">
        <v>98</v>
      </c>
      <c r="Q169" s="2" t="s">
        <v>99</v>
      </c>
      <c r="R169" s="2" t="s">
        <v>100</v>
      </c>
      <c r="S169" s="2" t="s">
        <v>831</v>
      </c>
      <c r="T169" s="2" t="s">
        <v>793</v>
      </c>
      <c r="U169" s="2" t="s">
        <v>432</v>
      </c>
      <c r="V169" s="2" t="s">
        <v>427</v>
      </c>
      <c r="W169" s="2" t="s">
        <v>428</v>
      </c>
      <c r="X169" s="2" t="s">
        <v>636</v>
      </c>
      <c r="Y169" s="2" t="s">
        <v>794</v>
      </c>
      <c r="Z169" s="4">
        <v>955</v>
      </c>
      <c r="AA169" s="4">
        <f>=ROUNDDOWN(26.5277777777778,0)</f>
      </c>
      <c r="AB169" s="5">
        <v>36</v>
      </c>
      <c r="AC169" s="2" t="s">
        <v>752</v>
      </c>
      <c r="AD169" s="4">
        <v>900</v>
      </c>
      <c r="AE169" s="4">
        <v>900</v>
      </c>
      <c r="AF169" s="6">
        <v>63</v>
      </c>
      <c r="AG169" s="6">
        <v>46</v>
      </c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/>
      <c r="AP169" s="4">
        <v>9</v>
      </c>
      <c r="AQ169" s="8">
        <v>321.66</v>
      </c>
      <c r="AR169" s="4"/>
      <c r="AS169" s="8"/>
      <c r="AT169" s="7"/>
      <c r="AU169" s="7"/>
      <c r="AV169" s="4" t="s">
        <v>100</v>
      </c>
      <c r="AW169" s="8" t="s">
        <v>100</v>
      </c>
      <c r="AX169" s="4" t="s">
        <v>100</v>
      </c>
      <c r="AY169" s="8" t="s">
        <v>100</v>
      </c>
      <c r="AZ169" s="7" t="s">
        <v>100</v>
      </c>
      <c r="BA169" s="7" t="s">
        <v>100</v>
      </c>
      <c r="BB169" s="7">
        <v>0.393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 t="s">
        <v>100</v>
      </c>
      <c r="BJ169" s="4">
        <v>126</v>
      </c>
      <c r="BK169" s="8">
        <v>3488.02</v>
      </c>
      <c r="BL169" s="2" t="s">
        <v>834</v>
      </c>
      <c r="BM169" s="7">
        <v>0.0714</v>
      </c>
      <c r="BN169" s="7">
        <v>0.0922</v>
      </c>
      <c r="BO169" s="4">
        <v>9</v>
      </c>
      <c r="BP169" s="8">
        <v>321.66</v>
      </c>
      <c r="BQ169" s="4"/>
      <c r="BR169" s="8"/>
      <c r="BS169" s="7"/>
      <c r="BT169" s="7"/>
      <c r="BU169" s="2" t="s">
        <v>109</v>
      </c>
      <c r="BV169" s="2" t="s">
        <v>97</v>
      </c>
      <c r="BW169" s="2" t="s">
        <v>797</v>
      </c>
      <c r="BX169" s="2" t="s">
        <v>835</v>
      </c>
      <c r="BY169" s="2" t="s">
        <v>112</v>
      </c>
      <c r="BZ169" s="2" t="s">
        <v>100</v>
      </c>
    </row>
    <row r="170">
      <c r="A170" s="2" t="s">
        <v>836</v>
      </c>
      <c r="B170" s="2" t="s">
        <v>87</v>
      </c>
      <c r="C170" s="2" t="s">
        <v>785</v>
      </c>
      <c r="D170" s="2" t="s">
        <v>89</v>
      </c>
      <c r="E170" s="2" t="s">
        <v>786</v>
      </c>
      <c r="F170" s="2" t="s">
        <v>787</v>
      </c>
      <c r="G170" s="2" t="s">
        <v>788</v>
      </c>
      <c r="H170" s="2" t="s">
        <v>789</v>
      </c>
      <c r="I170" s="2" t="s">
        <v>790</v>
      </c>
      <c r="J170" s="2" t="s">
        <v>563</v>
      </c>
      <c r="K170" s="2" t="s">
        <v>830</v>
      </c>
      <c r="L170" s="3">
        <v>28.57</v>
      </c>
      <c r="M170" s="3">
        <v>30</v>
      </c>
      <c r="N170" s="3">
        <v>59.99</v>
      </c>
      <c r="O170" s="2" t="s">
        <v>97</v>
      </c>
      <c r="P170" s="2" t="s">
        <v>98</v>
      </c>
      <c r="Q170" s="2" t="s">
        <v>99</v>
      </c>
      <c r="R170" s="2" t="s">
        <v>100</v>
      </c>
      <c r="S170" s="2" t="s">
        <v>831</v>
      </c>
      <c r="T170" s="2" t="s">
        <v>793</v>
      </c>
      <c r="U170" s="2" t="s">
        <v>432</v>
      </c>
      <c r="V170" s="2" t="s">
        <v>427</v>
      </c>
      <c r="W170" s="2" t="s">
        <v>428</v>
      </c>
      <c r="X170" s="2" t="s">
        <v>636</v>
      </c>
      <c r="Y170" s="2" t="s">
        <v>837</v>
      </c>
      <c r="Z170" s="4">
        <v>1158</v>
      </c>
      <c r="AA170" s="4">
        <f>=ROUNDDOWN(33.0857142857143,0)</f>
      </c>
      <c r="AB170" s="5">
        <v>35</v>
      </c>
      <c r="AC170" s="2" t="s">
        <v>752</v>
      </c>
      <c r="AD170" s="4">
        <v>990</v>
      </c>
      <c r="AE170" s="4">
        <v>990</v>
      </c>
      <c r="AF170" s="6">
        <v>63</v>
      </c>
      <c r="AG170" s="6">
        <v>46</v>
      </c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/>
      <c r="AP170" s="4">
        <v>11</v>
      </c>
      <c r="AQ170" s="8">
        <v>409.09</v>
      </c>
      <c r="AR170" s="4"/>
      <c r="AS170" s="8"/>
      <c r="AT170" s="7"/>
      <c r="AU170" s="7"/>
      <c r="AV170" s="4" t="s">
        <v>100</v>
      </c>
      <c r="AW170" s="8" t="s">
        <v>100</v>
      </c>
      <c r="AX170" s="4" t="s">
        <v>100</v>
      </c>
      <c r="AY170" s="8" t="s">
        <v>100</v>
      </c>
      <c r="AZ170" s="7" t="s">
        <v>100</v>
      </c>
      <c r="BA170" s="7" t="s">
        <v>100</v>
      </c>
      <c r="BB170" s="7">
        <v>0.4998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 t="s">
        <v>100</v>
      </c>
      <c r="BJ170" s="4">
        <v>120</v>
      </c>
      <c r="BK170" s="8">
        <v>3734.54</v>
      </c>
      <c r="BL170" s="2" t="s">
        <v>838</v>
      </c>
      <c r="BM170" s="7">
        <v>0.0917</v>
      </c>
      <c r="BN170" s="7">
        <v>0.1095</v>
      </c>
      <c r="BO170" s="4">
        <v>11</v>
      </c>
      <c r="BP170" s="8">
        <v>409.09</v>
      </c>
      <c r="BQ170" s="4"/>
      <c r="BR170" s="8"/>
      <c r="BS170" s="7"/>
      <c r="BT170" s="7"/>
      <c r="BU170" s="2" t="s">
        <v>109</v>
      </c>
      <c r="BV170" s="2" t="s">
        <v>97</v>
      </c>
      <c r="BW170" s="2" t="s">
        <v>797</v>
      </c>
      <c r="BX170" s="2" t="s">
        <v>798</v>
      </c>
      <c r="BY170" s="2" t="s">
        <v>112</v>
      </c>
      <c r="BZ170" s="2" t="s">
        <v>100</v>
      </c>
    </row>
    <row r="171">
      <c r="A171" s="2" t="s">
        <v>839</v>
      </c>
      <c r="B171" s="2" t="s">
        <v>87</v>
      </c>
      <c r="C171" s="2" t="s">
        <v>785</v>
      </c>
      <c r="D171" s="2" t="s">
        <v>89</v>
      </c>
      <c r="E171" s="2" t="s">
        <v>786</v>
      </c>
      <c r="F171" s="2" t="s">
        <v>840</v>
      </c>
      <c r="G171" s="2" t="s">
        <v>841</v>
      </c>
      <c r="H171" s="2" t="s">
        <v>842</v>
      </c>
      <c r="I171" s="2" t="s">
        <v>843</v>
      </c>
      <c r="J171" s="2" t="s">
        <v>791</v>
      </c>
      <c r="K171" s="2" t="s">
        <v>623</v>
      </c>
      <c r="L171" s="3">
        <v>21.42</v>
      </c>
      <c r="M171" s="3">
        <v>22.49</v>
      </c>
      <c r="N171" s="3">
        <v>44.99</v>
      </c>
      <c r="O171" s="2" t="s">
        <v>97</v>
      </c>
      <c r="P171" s="2" t="s">
        <v>576</v>
      </c>
      <c r="Q171" s="2" t="s">
        <v>99</v>
      </c>
      <c r="R171" s="2" t="s">
        <v>100</v>
      </c>
      <c r="S171" s="2" t="s">
        <v>844</v>
      </c>
      <c r="T171" s="2" t="s">
        <v>231</v>
      </c>
      <c r="U171" s="2" t="s">
        <v>426</v>
      </c>
      <c r="V171" s="2" t="s">
        <v>427</v>
      </c>
      <c r="W171" s="2" t="s">
        <v>428</v>
      </c>
      <c r="X171" s="2" t="s">
        <v>636</v>
      </c>
      <c r="Y171" s="2" t="s">
        <v>794</v>
      </c>
      <c r="Z171" s="4">
        <v>1425</v>
      </c>
      <c r="AA171" s="4">
        <f>=ROUNDDOWN(29.0816326530612,0)</f>
      </c>
      <c r="AB171" s="5">
        <v>49</v>
      </c>
      <c r="AC171" s="2" t="s">
        <v>845</v>
      </c>
      <c r="AD171" s="4">
        <v>240</v>
      </c>
      <c r="AE171" s="4">
        <v>240</v>
      </c>
      <c r="AF171" s="6">
        <v>63</v>
      </c>
      <c r="AG171" s="6">
        <v>46</v>
      </c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/>
      <c r="AP171" s="4">
        <v>3</v>
      </c>
      <c r="AQ171" s="8">
        <v>74.37</v>
      </c>
      <c r="AR171" s="4"/>
      <c r="AS171" s="8"/>
      <c r="AT171" s="7"/>
      <c r="AU171" s="7"/>
      <c r="AV171" s="4">
        <v>39</v>
      </c>
      <c r="AW171" s="8">
        <v>1214.59</v>
      </c>
      <c r="AX171" s="4" t="s">
        <v>100</v>
      </c>
      <c r="AY171" s="8" t="s">
        <v>100</v>
      </c>
      <c r="AZ171" s="7" t="s">
        <v>100</v>
      </c>
      <c r="BA171" s="7" t="s">
        <v>100</v>
      </c>
      <c r="BB171" s="7">
        <v>0.0612</v>
      </c>
      <c r="BC171" s="4">
        <v>131</v>
      </c>
      <c r="BD171" s="8">
        <v>4081.7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>
        <v>0.2976</v>
      </c>
      <c r="BJ171" s="4">
        <v>168</v>
      </c>
      <c r="BK171" s="8">
        <v>3702.39</v>
      </c>
      <c r="BL171" s="2" t="s">
        <v>846</v>
      </c>
      <c r="BM171" s="7">
        <v>0.0179</v>
      </c>
      <c r="BN171" s="7">
        <v>0.0201</v>
      </c>
      <c r="BO171" s="4">
        <v>3</v>
      </c>
      <c r="BP171" s="8">
        <v>74.37</v>
      </c>
      <c r="BQ171" s="4"/>
      <c r="BR171" s="8"/>
      <c r="BS171" s="7"/>
      <c r="BT171" s="7"/>
      <c r="BU171" s="2" t="s">
        <v>109</v>
      </c>
      <c r="BV171" s="2" t="s">
        <v>97</v>
      </c>
      <c r="BW171" s="2" t="s">
        <v>819</v>
      </c>
      <c r="BX171" s="2" t="s">
        <v>828</v>
      </c>
      <c r="BY171" s="2" t="s">
        <v>112</v>
      </c>
      <c r="BZ171" s="2" t="s">
        <v>100</v>
      </c>
    </row>
    <row r="172">
      <c r="A172" s="2" t="s">
        <v>847</v>
      </c>
      <c r="B172" s="2" t="s">
        <v>87</v>
      </c>
      <c r="C172" s="2" t="s">
        <v>785</v>
      </c>
      <c r="D172" s="2" t="s">
        <v>89</v>
      </c>
      <c r="E172" s="2" t="s">
        <v>786</v>
      </c>
      <c r="F172" s="2" t="s">
        <v>840</v>
      </c>
      <c r="G172" s="2" t="s">
        <v>841</v>
      </c>
      <c r="H172" s="2" t="s">
        <v>842</v>
      </c>
      <c r="I172" s="2" t="s">
        <v>843</v>
      </c>
      <c r="J172" s="2" t="s">
        <v>157</v>
      </c>
      <c r="K172" s="2" t="s">
        <v>623</v>
      </c>
      <c r="L172" s="3">
        <v>25.23</v>
      </c>
      <c r="M172" s="3">
        <v>26.49</v>
      </c>
      <c r="N172" s="3">
        <v>49.99</v>
      </c>
      <c r="O172" s="2" t="s">
        <v>97</v>
      </c>
      <c r="P172" s="2" t="s">
        <v>483</v>
      </c>
      <c r="Q172" s="2" t="s">
        <v>99</v>
      </c>
      <c r="R172" s="2" t="s">
        <v>100</v>
      </c>
      <c r="S172" s="2" t="s">
        <v>844</v>
      </c>
      <c r="T172" s="2" t="s">
        <v>231</v>
      </c>
      <c r="U172" s="2" t="s">
        <v>432</v>
      </c>
      <c r="V172" s="2" t="s">
        <v>427</v>
      </c>
      <c r="W172" s="2" t="s">
        <v>428</v>
      </c>
      <c r="X172" s="2" t="s">
        <v>636</v>
      </c>
      <c r="Y172" s="2" t="s">
        <v>488</v>
      </c>
      <c r="Z172" s="4">
        <v>1568</v>
      </c>
      <c r="AA172" s="4">
        <f>=ROUNDDOWN(115.294117647059,0)</f>
      </c>
      <c r="AB172" s="5">
        <v>13.6</v>
      </c>
      <c r="AC172" s="2" t="s">
        <v>100</v>
      </c>
      <c r="AD172" s="4"/>
      <c r="AE172" s="4"/>
      <c r="AF172" s="6">
        <v>63</v>
      </c>
      <c r="AG172" s="6">
        <v>46</v>
      </c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/>
      <c r="AP172" s="4">
        <v>7</v>
      </c>
      <c r="AQ172" s="8">
        <v>200.27</v>
      </c>
      <c r="AR172" s="4"/>
      <c r="AS172" s="8"/>
      <c r="AT172" s="7"/>
      <c r="AU172" s="7"/>
      <c r="AV172" s="4" t="s">
        <v>100</v>
      </c>
      <c r="AW172" s="8" t="s">
        <v>100</v>
      </c>
      <c r="AX172" s="4" t="s">
        <v>100</v>
      </c>
      <c r="AY172" s="8" t="s">
        <v>100</v>
      </c>
      <c r="AZ172" s="7" t="s">
        <v>100</v>
      </c>
      <c r="BA172" s="7" t="s">
        <v>100</v>
      </c>
      <c r="BB172" s="7">
        <v>0.1649</v>
      </c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 t="s">
        <v>100</v>
      </c>
      <c r="BJ172" s="4">
        <v>183</v>
      </c>
      <c r="BK172" s="8">
        <v>4906.95</v>
      </c>
      <c r="BL172" s="2" t="s">
        <v>848</v>
      </c>
      <c r="BM172" s="7">
        <v>0.0383</v>
      </c>
      <c r="BN172" s="7">
        <v>0.0408</v>
      </c>
      <c r="BO172" s="4">
        <v>7</v>
      </c>
      <c r="BP172" s="8">
        <v>200.27</v>
      </c>
      <c r="BQ172" s="4"/>
      <c r="BR172" s="8"/>
      <c r="BS172" s="7"/>
      <c r="BT172" s="7"/>
      <c r="BU172" s="2" t="s">
        <v>109</v>
      </c>
      <c r="BV172" s="2" t="s">
        <v>97</v>
      </c>
      <c r="BW172" s="2" t="s">
        <v>488</v>
      </c>
      <c r="BX172" s="2" t="s">
        <v>849</v>
      </c>
      <c r="BY172" s="2" t="s">
        <v>112</v>
      </c>
      <c r="BZ172" s="2" t="s">
        <v>100</v>
      </c>
    </row>
    <row r="173">
      <c r="A173" s="2" t="s">
        <v>850</v>
      </c>
      <c r="B173" s="2" t="s">
        <v>87</v>
      </c>
      <c r="C173" s="2" t="s">
        <v>785</v>
      </c>
      <c r="D173" s="2" t="s">
        <v>89</v>
      </c>
      <c r="E173" s="2" t="s">
        <v>786</v>
      </c>
      <c r="F173" s="2" t="s">
        <v>840</v>
      </c>
      <c r="G173" s="2" t="s">
        <v>841</v>
      </c>
      <c r="H173" s="2" t="s">
        <v>842</v>
      </c>
      <c r="I173" s="2" t="s">
        <v>843</v>
      </c>
      <c r="J173" s="2" t="s">
        <v>95</v>
      </c>
      <c r="K173" s="2" t="s">
        <v>623</v>
      </c>
      <c r="L173" s="3">
        <v>26.19</v>
      </c>
      <c r="M173" s="3">
        <v>27.5</v>
      </c>
      <c r="N173" s="3">
        <v>54.99</v>
      </c>
      <c r="O173" s="2" t="s">
        <v>97</v>
      </c>
      <c r="P173" s="2" t="s">
        <v>576</v>
      </c>
      <c r="Q173" s="2" t="s">
        <v>99</v>
      </c>
      <c r="R173" s="2" t="s">
        <v>100</v>
      </c>
      <c r="S173" s="2" t="s">
        <v>844</v>
      </c>
      <c r="T173" s="2" t="s">
        <v>231</v>
      </c>
      <c r="U173" s="2" t="s">
        <v>432</v>
      </c>
      <c r="V173" s="2" t="s">
        <v>427</v>
      </c>
      <c r="W173" s="2" t="s">
        <v>428</v>
      </c>
      <c r="X173" s="2" t="s">
        <v>636</v>
      </c>
      <c r="Y173" s="2" t="s">
        <v>794</v>
      </c>
      <c r="Z173" s="4">
        <v>7501</v>
      </c>
      <c r="AA173" s="4">
        <f>=ROUNDDOWN(37.1336633663366,0)</f>
      </c>
      <c r="AB173" s="5">
        <v>202</v>
      </c>
      <c r="AC173" s="2" t="s">
        <v>851</v>
      </c>
      <c r="AD173" s="4">
        <v>1500</v>
      </c>
      <c r="AE173" s="4">
        <v>1500</v>
      </c>
      <c r="AF173" s="6">
        <v>63</v>
      </c>
      <c r="AG173" s="6">
        <v>46</v>
      </c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/>
      <c r="AP173" s="4">
        <v>17</v>
      </c>
      <c r="AQ173" s="8">
        <v>526.83</v>
      </c>
      <c r="AR173" s="4"/>
      <c r="AS173" s="8"/>
      <c r="AT173" s="7"/>
      <c r="AU173" s="7"/>
      <c r="AV173" s="4" t="s">
        <v>100</v>
      </c>
      <c r="AW173" s="8" t="s">
        <v>100</v>
      </c>
      <c r="AX173" s="4" t="s">
        <v>100</v>
      </c>
      <c r="AY173" s="8" t="s">
        <v>100</v>
      </c>
      <c r="AZ173" s="7" t="s">
        <v>100</v>
      </c>
      <c r="BA173" s="7" t="s">
        <v>100</v>
      </c>
      <c r="BB173" s="7">
        <v>0.4338</v>
      </c>
      <c r="BC173" s="4" t="s">
        <v>100</v>
      </c>
      <c r="BD173" s="8" t="s">
        <v>100</v>
      </c>
      <c r="BE173" s="4" t="s">
        <v>100</v>
      </c>
      <c r="BF173" s="8" t="s">
        <v>100</v>
      </c>
      <c r="BG173" s="7" t="s">
        <v>100</v>
      </c>
      <c r="BH173" s="7" t="s">
        <v>100</v>
      </c>
      <c r="BI173" s="7" t="s">
        <v>100</v>
      </c>
      <c r="BJ173" s="4">
        <v>1667</v>
      </c>
      <c r="BK173" s="8">
        <v>40095.49</v>
      </c>
      <c r="BL173" s="2" t="s">
        <v>852</v>
      </c>
      <c r="BM173" s="7">
        <v>0.0102</v>
      </c>
      <c r="BN173" s="7">
        <v>0.0131</v>
      </c>
      <c r="BO173" s="4">
        <v>17</v>
      </c>
      <c r="BP173" s="8">
        <v>526.83</v>
      </c>
      <c r="BQ173" s="4"/>
      <c r="BR173" s="8"/>
      <c r="BS173" s="7"/>
      <c r="BT173" s="7"/>
      <c r="BU173" s="2" t="s">
        <v>109</v>
      </c>
      <c r="BV173" s="2" t="s">
        <v>97</v>
      </c>
      <c r="BW173" s="2" t="s">
        <v>821</v>
      </c>
      <c r="BX173" s="2" t="s">
        <v>853</v>
      </c>
      <c r="BY173" s="2" t="s">
        <v>112</v>
      </c>
      <c r="BZ173" s="2" t="s">
        <v>100</v>
      </c>
    </row>
    <row r="174">
      <c r="A174" s="2" t="s">
        <v>854</v>
      </c>
      <c r="B174" s="2" t="s">
        <v>87</v>
      </c>
      <c r="C174" s="2" t="s">
        <v>785</v>
      </c>
      <c r="D174" s="2" t="s">
        <v>89</v>
      </c>
      <c r="E174" s="2" t="s">
        <v>786</v>
      </c>
      <c r="F174" s="2" t="s">
        <v>840</v>
      </c>
      <c r="G174" s="2" t="s">
        <v>841</v>
      </c>
      <c r="H174" s="2" t="s">
        <v>842</v>
      </c>
      <c r="I174" s="2" t="s">
        <v>843</v>
      </c>
      <c r="J174" s="2" t="s">
        <v>114</v>
      </c>
      <c r="K174" s="2" t="s">
        <v>623</v>
      </c>
      <c r="L174" s="3">
        <v>28.57</v>
      </c>
      <c r="M174" s="3">
        <v>30</v>
      </c>
      <c r="N174" s="3">
        <v>59.99</v>
      </c>
      <c r="O174" s="2" t="s">
        <v>97</v>
      </c>
      <c r="P174" s="2" t="s">
        <v>576</v>
      </c>
      <c r="Q174" s="2" t="s">
        <v>99</v>
      </c>
      <c r="R174" s="2" t="s">
        <v>100</v>
      </c>
      <c r="S174" s="2" t="s">
        <v>844</v>
      </c>
      <c r="T174" s="2" t="s">
        <v>231</v>
      </c>
      <c r="U174" s="2" t="s">
        <v>432</v>
      </c>
      <c r="V174" s="2" t="s">
        <v>427</v>
      </c>
      <c r="W174" s="2" t="s">
        <v>428</v>
      </c>
      <c r="X174" s="2" t="s">
        <v>636</v>
      </c>
      <c r="Y174" s="2" t="s">
        <v>819</v>
      </c>
      <c r="Z174" s="4">
        <v>7269</v>
      </c>
      <c r="AA174" s="4">
        <f>=ROUNDDOWN(39.2918918918919,0)</f>
      </c>
      <c r="AB174" s="5">
        <v>185</v>
      </c>
      <c r="AC174" s="2" t="s">
        <v>851</v>
      </c>
      <c r="AD174" s="4">
        <v>1500</v>
      </c>
      <c r="AE174" s="4">
        <v>1500</v>
      </c>
      <c r="AF174" s="6">
        <v>63</v>
      </c>
      <c r="AG174" s="6">
        <v>46</v>
      </c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/>
      <c r="AP174" s="4">
        <v>8</v>
      </c>
      <c r="AQ174" s="8">
        <v>272.72</v>
      </c>
      <c r="AR174" s="4"/>
      <c r="AS174" s="8"/>
      <c r="AT174" s="7"/>
      <c r="AU174" s="7"/>
      <c r="AV174" s="4" t="s">
        <v>100</v>
      </c>
      <c r="AW174" s="8" t="s">
        <v>100</v>
      </c>
      <c r="AX174" s="4" t="s">
        <v>100</v>
      </c>
      <c r="AY174" s="8" t="s">
        <v>100</v>
      </c>
      <c r="AZ174" s="7" t="s">
        <v>100</v>
      </c>
      <c r="BA174" s="7" t="s">
        <v>100</v>
      </c>
      <c r="BB174" s="7">
        <v>0.2245</v>
      </c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 t="s">
        <v>100</v>
      </c>
      <c r="BJ174" s="4">
        <v>1338</v>
      </c>
      <c r="BK174" s="8">
        <v>36789.75</v>
      </c>
      <c r="BL174" s="2" t="s">
        <v>855</v>
      </c>
      <c r="BM174" s="7">
        <v>0.006</v>
      </c>
      <c r="BN174" s="7">
        <v>0.0074</v>
      </c>
      <c r="BO174" s="4">
        <v>8</v>
      </c>
      <c r="BP174" s="8">
        <v>272.72</v>
      </c>
      <c r="BQ174" s="4"/>
      <c r="BR174" s="8"/>
      <c r="BS174" s="7"/>
      <c r="BT174" s="7"/>
      <c r="BU174" s="2" t="s">
        <v>109</v>
      </c>
      <c r="BV174" s="2" t="s">
        <v>97</v>
      </c>
      <c r="BW174" s="2" t="s">
        <v>819</v>
      </c>
      <c r="BX174" s="2" t="s">
        <v>856</v>
      </c>
      <c r="BY174" s="2" t="s">
        <v>112</v>
      </c>
      <c r="BZ174" s="2" t="s">
        <v>100</v>
      </c>
    </row>
    <row r="175">
      <c r="A175" s="2" t="s">
        <v>857</v>
      </c>
      <c r="B175" s="2" t="s">
        <v>87</v>
      </c>
      <c r="C175" s="2" t="s">
        <v>785</v>
      </c>
      <c r="D175" s="2" t="s">
        <v>89</v>
      </c>
      <c r="E175" s="2" t="s">
        <v>786</v>
      </c>
      <c r="F175" s="2" t="s">
        <v>840</v>
      </c>
      <c r="G175" s="2" t="s">
        <v>841</v>
      </c>
      <c r="H175" s="2" t="s">
        <v>842</v>
      </c>
      <c r="I175" s="2" t="s">
        <v>843</v>
      </c>
      <c r="J175" s="2" t="s">
        <v>120</v>
      </c>
      <c r="K175" s="2" t="s">
        <v>623</v>
      </c>
      <c r="L175" s="3">
        <v>30.95</v>
      </c>
      <c r="M175" s="3">
        <v>32.5</v>
      </c>
      <c r="N175" s="3">
        <v>54.99</v>
      </c>
      <c r="O175" s="2" t="s">
        <v>97</v>
      </c>
      <c r="P175" s="2" t="s">
        <v>483</v>
      </c>
      <c r="Q175" s="2" t="s">
        <v>99</v>
      </c>
      <c r="R175" s="2" t="s">
        <v>100</v>
      </c>
      <c r="S175" s="2" t="s">
        <v>844</v>
      </c>
      <c r="T175" s="2" t="s">
        <v>231</v>
      </c>
      <c r="U175" s="2" t="s">
        <v>432</v>
      </c>
      <c r="V175" s="2" t="s">
        <v>427</v>
      </c>
      <c r="W175" s="2" t="s">
        <v>428</v>
      </c>
      <c r="X175" s="2" t="s">
        <v>636</v>
      </c>
      <c r="Y175" s="2" t="s">
        <v>858</v>
      </c>
      <c r="Z175" s="4">
        <v>2574</v>
      </c>
      <c r="AA175" s="4">
        <f>=ROUNDDOWN(41.1182108626198,0)</f>
      </c>
      <c r="AB175" s="5">
        <v>62.6</v>
      </c>
      <c r="AC175" s="2" t="s">
        <v>116</v>
      </c>
      <c r="AD175" s="4">
        <v>1155</v>
      </c>
      <c r="AE175" s="4">
        <v>1155</v>
      </c>
      <c r="AF175" s="6">
        <v>63</v>
      </c>
      <c r="AG175" s="6">
        <v>46</v>
      </c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/>
      <c r="AP175" s="4">
        <v>4</v>
      </c>
      <c r="AQ175" s="8">
        <v>140.4</v>
      </c>
      <c r="AR175" s="4"/>
      <c r="AS175" s="8"/>
      <c r="AT175" s="7"/>
      <c r="AU175" s="7"/>
      <c r="AV175" s="4" t="s">
        <v>100</v>
      </c>
      <c r="AW175" s="8" t="s">
        <v>100</v>
      </c>
      <c r="AX175" s="4" t="s">
        <v>100</v>
      </c>
      <c r="AY175" s="8" t="s">
        <v>100</v>
      </c>
      <c r="AZ175" s="7" t="s">
        <v>100</v>
      </c>
      <c r="BA175" s="7" t="s">
        <v>100</v>
      </c>
      <c r="BB175" s="7">
        <v>0.1156</v>
      </c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 t="s">
        <v>100</v>
      </c>
      <c r="BJ175" s="4">
        <v>460</v>
      </c>
      <c r="BK175" s="8">
        <v>15904.21</v>
      </c>
      <c r="BL175" s="2" t="s">
        <v>859</v>
      </c>
      <c r="BM175" s="7">
        <v>0.0087</v>
      </c>
      <c r="BN175" s="7">
        <v>0.0088</v>
      </c>
      <c r="BO175" s="4">
        <v>4</v>
      </c>
      <c r="BP175" s="8">
        <v>140.4</v>
      </c>
      <c r="BQ175" s="4"/>
      <c r="BR175" s="8"/>
      <c r="BS175" s="7"/>
      <c r="BT175" s="7"/>
      <c r="BU175" s="2" t="s">
        <v>109</v>
      </c>
      <c r="BV175" s="2" t="s">
        <v>97</v>
      </c>
      <c r="BW175" s="2" t="s">
        <v>488</v>
      </c>
      <c r="BX175" s="2" t="s">
        <v>860</v>
      </c>
      <c r="BY175" s="2" t="s">
        <v>112</v>
      </c>
      <c r="BZ175" s="2" t="s">
        <v>100</v>
      </c>
    </row>
    <row r="176">
      <c r="A176" s="2" t="s">
        <v>861</v>
      </c>
      <c r="B176" s="2" t="s">
        <v>87</v>
      </c>
      <c r="C176" s="2" t="s">
        <v>785</v>
      </c>
      <c r="D176" s="2" t="s">
        <v>89</v>
      </c>
      <c r="E176" s="2" t="s">
        <v>786</v>
      </c>
      <c r="F176" s="2" t="s">
        <v>840</v>
      </c>
      <c r="G176" s="2" t="s">
        <v>841</v>
      </c>
      <c r="H176" s="2" t="s">
        <v>842</v>
      </c>
      <c r="I176" s="2" t="s">
        <v>843</v>
      </c>
      <c r="J176" s="2" t="s">
        <v>791</v>
      </c>
      <c r="K176" s="2" t="s">
        <v>440</v>
      </c>
      <c r="L176" s="3">
        <v>21.42</v>
      </c>
      <c r="M176" s="3">
        <v>22.49</v>
      </c>
      <c r="N176" s="3">
        <v>44.99</v>
      </c>
      <c r="O176" s="2" t="s">
        <v>97</v>
      </c>
      <c r="P176" s="2" t="s">
        <v>576</v>
      </c>
      <c r="Q176" s="2" t="s">
        <v>99</v>
      </c>
      <c r="R176" s="2" t="s">
        <v>100</v>
      </c>
      <c r="S176" s="2" t="s">
        <v>862</v>
      </c>
      <c r="T176" s="2" t="s">
        <v>231</v>
      </c>
      <c r="U176" s="2" t="s">
        <v>426</v>
      </c>
      <c r="V176" s="2" t="s">
        <v>427</v>
      </c>
      <c r="W176" s="2" t="s">
        <v>428</v>
      </c>
      <c r="X176" s="2" t="s">
        <v>636</v>
      </c>
      <c r="Y176" s="2" t="s">
        <v>819</v>
      </c>
      <c r="Z176" s="4">
        <v>656</v>
      </c>
      <c r="AA176" s="4">
        <f>=ROUNDDOWN(31.2380952380952,0)</f>
      </c>
      <c r="AB176" s="5">
        <v>21</v>
      </c>
      <c r="AC176" s="2" t="s">
        <v>184</v>
      </c>
      <c r="AD176" s="4">
        <v>360</v>
      </c>
      <c r="AE176" s="4">
        <v>360</v>
      </c>
      <c r="AF176" s="6">
        <v>63</v>
      </c>
      <c r="AG176" s="6">
        <v>46</v>
      </c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/>
      <c r="AP176" s="4">
        <v>2</v>
      </c>
      <c r="AQ176" s="8">
        <v>49.58</v>
      </c>
      <c r="AR176" s="4"/>
      <c r="AS176" s="8"/>
      <c r="AT176" s="7"/>
      <c r="AU176" s="7"/>
      <c r="AV176" s="4">
        <v>20</v>
      </c>
      <c r="AW176" s="8">
        <v>617.49</v>
      </c>
      <c r="AX176" s="4" t="s">
        <v>100</v>
      </c>
      <c r="AY176" s="8" t="s">
        <v>100</v>
      </c>
      <c r="AZ176" s="7" t="s">
        <v>100</v>
      </c>
      <c r="BA176" s="7" t="s">
        <v>100</v>
      </c>
      <c r="BB176" s="7">
        <v>0.0803</v>
      </c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>
        <v>0.1513</v>
      </c>
      <c r="BJ176" s="4">
        <v>100</v>
      </c>
      <c r="BK176" s="8">
        <v>2267.52</v>
      </c>
      <c r="BL176" s="2" t="s">
        <v>838</v>
      </c>
      <c r="BM176" s="7">
        <v>0.02</v>
      </c>
      <c r="BN176" s="7">
        <v>0.0219</v>
      </c>
      <c r="BO176" s="4">
        <v>2</v>
      </c>
      <c r="BP176" s="8">
        <v>49.58</v>
      </c>
      <c r="BQ176" s="4"/>
      <c r="BR176" s="8"/>
      <c r="BS176" s="7"/>
      <c r="BT176" s="7"/>
      <c r="BU176" s="2" t="s">
        <v>109</v>
      </c>
      <c r="BV176" s="2" t="s">
        <v>97</v>
      </c>
      <c r="BW176" s="2" t="s">
        <v>821</v>
      </c>
      <c r="BX176" s="2" t="s">
        <v>863</v>
      </c>
      <c r="BY176" s="2" t="s">
        <v>112</v>
      </c>
      <c r="BZ176" s="2" t="s">
        <v>100</v>
      </c>
    </row>
    <row r="177">
      <c r="A177" s="2" t="s">
        <v>864</v>
      </c>
      <c r="B177" s="2" t="s">
        <v>87</v>
      </c>
      <c r="C177" s="2" t="s">
        <v>785</v>
      </c>
      <c r="D177" s="2" t="s">
        <v>89</v>
      </c>
      <c r="E177" s="2" t="s">
        <v>786</v>
      </c>
      <c r="F177" s="2" t="s">
        <v>840</v>
      </c>
      <c r="G177" s="2" t="s">
        <v>841</v>
      </c>
      <c r="H177" s="2" t="s">
        <v>842</v>
      </c>
      <c r="I177" s="2" t="s">
        <v>843</v>
      </c>
      <c r="J177" s="2" t="s">
        <v>157</v>
      </c>
      <c r="K177" s="2" t="s">
        <v>440</v>
      </c>
      <c r="L177" s="3">
        <v>25.23</v>
      </c>
      <c r="M177" s="3">
        <v>26.49</v>
      </c>
      <c r="N177" s="3">
        <v>49.99</v>
      </c>
      <c r="O177" s="2" t="s">
        <v>97</v>
      </c>
      <c r="P177" s="2" t="s">
        <v>483</v>
      </c>
      <c r="Q177" s="2" t="s">
        <v>99</v>
      </c>
      <c r="R177" s="2" t="s">
        <v>100</v>
      </c>
      <c r="S177" s="2" t="s">
        <v>862</v>
      </c>
      <c r="T177" s="2" t="s">
        <v>231</v>
      </c>
      <c r="U177" s="2" t="s">
        <v>432</v>
      </c>
      <c r="V177" s="2" t="s">
        <v>427</v>
      </c>
      <c r="W177" s="2" t="s">
        <v>428</v>
      </c>
      <c r="X177" s="2" t="s">
        <v>636</v>
      </c>
      <c r="Y177" s="2" t="s">
        <v>488</v>
      </c>
      <c r="Z177" s="4">
        <v>654</v>
      </c>
      <c r="AA177" s="4">
        <f>=ROUNDDOWN(78.7951807228916,0)</f>
      </c>
      <c r="AB177" s="5">
        <v>8.3</v>
      </c>
      <c r="AC177" s="2" t="s">
        <v>100</v>
      </c>
      <c r="AD177" s="4"/>
      <c r="AE177" s="4"/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/>
      <c r="AP177" s="4">
        <v>4</v>
      </c>
      <c r="AQ177" s="8">
        <v>114.44</v>
      </c>
      <c r="AR177" s="4"/>
      <c r="AS177" s="8"/>
      <c r="AT177" s="7"/>
      <c r="AU177" s="7"/>
      <c r="AV177" s="4" t="s">
        <v>100</v>
      </c>
      <c r="AW177" s="8" t="s">
        <v>100</v>
      </c>
      <c r="AX177" s="4" t="s">
        <v>100</v>
      </c>
      <c r="AY177" s="8" t="s">
        <v>100</v>
      </c>
      <c r="AZ177" s="7" t="s">
        <v>100</v>
      </c>
      <c r="BA177" s="7" t="s">
        <v>100</v>
      </c>
      <c r="BB177" s="7">
        <v>0.1853</v>
      </c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 t="s">
        <v>100</v>
      </c>
      <c r="BJ177" s="4">
        <v>102</v>
      </c>
      <c r="BK177" s="8">
        <v>2710.57</v>
      </c>
      <c r="BL177" s="2" t="s">
        <v>865</v>
      </c>
      <c r="BM177" s="7">
        <v>0.0392</v>
      </c>
      <c r="BN177" s="7">
        <v>0.0422</v>
      </c>
      <c r="BO177" s="4">
        <v>4</v>
      </c>
      <c r="BP177" s="8">
        <v>114.44</v>
      </c>
      <c r="BQ177" s="4"/>
      <c r="BR177" s="8"/>
      <c r="BS177" s="7"/>
      <c r="BT177" s="7"/>
      <c r="BU177" s="2" t="s">
        <v>109</v>
      </c>
      <c r="BV177" s="2" t="s">
        <v>97</v>
      </c>
      <c r="BW177" s="2" t="s">
        <v>860</v>
      </c>
      <c r="BX177" s="2" t="s">
        <v>849</v>
      </c>
      <c r="BY177" s="2" t="s">
        <v>112</v>
      </c>
      <c r="BZ177" s="2" t="s">
        <v>100</v>
      </c>
    </row>
    <row r="178">
      <c r="A178" s="2" t="s">
        <v>866</v>
      </c>
      <c r="B178" s="2" t="s">
        <v>87</v>
      </c>
      <c r="C178" s="2" t="s">
        <v>785</v>
      </c>
      <c r="D178" s="2" t="s">
        <v>89</v>
      </c>
      <c r="E178" s="2" t="s">
        <v>786</v>
      </c>
      <c r="F178" s="2" t="s">
        <v>840</v>
      </c>
      <c r="G178" s="2" t="s">
        <v>841</v>
      </c>
      <c r="H178" s="2" t="s">
        <v>842</v>
      </c>
      <c r="I178" s="2" t="s">
        <v>843</v>
      </c>
      <c r="J178" s="2" t="s">
        <v>95</v>
      </c>
      <c r="K178" s="2" t="s">
        <v>440</v>
      </c>
      <c r="L178" s="3">
        <v>26.19</v>
      </c>
      <c r="M178" s="3">
        <v>27.5</v>
      </c>
      <c r="N178" s="3">
        <v>54.99</v>
      </c>
      <c r="O178" s="2" t="s">
        <v>97</v>
      </c>
      <c r="P178" s="2" t="s">
        <v>576</v>
      </c>
      <c r="Q178" s="2" t="s">
        <v>99</v>
      </c>
      <c r="R178" s="2" t="s">
        <v>100</v>
      </c>
      <c r="S178" s="2" t="s">
        <v>862</v>
      </c>
      <c r="T178" s="2" t="s">
        <v>231</v>
      </c>
      <c r="U178" s="2" t="s">
        <v>432</v>
      </c>
      <c r="V178" s="2" t="s">
        <v>427</v>
      </c>
      <c r="W178" s="2" t="s">
        <v>428</v>
      </c>
      <c r="X178" s="2" t="s">
        <v>636</v>
      </c>
      <c r="Y178" s="2" t="s">
        <v>819</v>
      </c>
      <c r="Z178" s="4">
        <v>3835</v>
      </c>
      <c r="AA178" s="4">
        <f>=ROUNDDOWN(58.1060606060606,0)</f>
      </c>
      <c r="AB178" s="5">
        <v>66</v>
      </c>
      <c r="AC178" s="2" t="s">
        <v>100</v>
      </c>
      <c r="AD178" s="4"/>
      <c r="AE178" s="4"/>
      <c r="AF178" s="6">
        <v>63</v>
      </c>
      <c r="AG178" s="6">
        <v>46</v>
      </c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/>
      <c r="AP178" s="4">
        <v>8</v>
      </c>
      <c r="AQ178" s="8">
        <v>247.92</v>
      </c>
      <c r="AR178" s="4"/>
      <c r="AS178" s="8"/>
      <c r="AT178" s="7"/>
      <c r="AU178" s="7"/>
      <c r="AV178" s="4" t="s">
        <v>100</v>
      </c>
      <c r="AW178" s="8" t="s">
        <v>100</v>
      </c>
      <c r="AX178" s="4" t="s">
        <v>100</v>
      </c>
      <c r="AY178" s="8" t="s">
        <v>100</v>
      </c>
      <c r="AZ178" s="7" t="s">
        <v>100</v>
      </c>
      <c r="BA178" s="7" t="s">
        <v>100</v>
      </c>
      <c r="BB178" s="7">
        <v>0.4015</v>
      </c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 t="s">
        <v>100</v>
      </c>
      <c r="BJ178" s="4">
        <v>293</v>
      </c>
      <c r="BK178" s="8">
        <v>7158.62</v>
      </c>
      <c r="BL178" s="2" t="s">
        <v>867</v>
      </c>
      <c r="BM178" s="7">
        <v>0.0273</v>
      </c>
      <c r="BN178" s="7">
        <v>0.0346</v>
      </c>
      <c r="BO178" s="4">
        <v>8</v>
      </c>
      <c r="BP178" s="8">
        <v>247.92</v>
      </c>
      <c r="BQ178" s="4"/>
      <c r="BR178" s="8"/>
      <c r="BS178" s="7"/>
      <c r="BT178" s="7"/>
      <c r="BU178" s="2" t="s">
        <v>109</v>
      </c>
      <c r="BV178" s="2" t="s">
        <v>97</v>
      </c>
      <c r="BW178" s="2" t="s">
        <v>819</v>
      </c>
      <c r="BX178" s="2" t="s">
        <v>825</v>
      </c>
      <c r="BY178" s="2" t="s">
        <v>112</v>
      </c>
      <c r="BZ178" s="2" t="s">
        <v>100</v>
      </c>
    </row>
    <row r="179">
      <c r="A179" s="2" t="s">
        <v>868</v>
      </c>
      <c r="B179" s="2" t="s">
        <v>87</v>
      </c>
      <c r="C179" s="2" t="s">
        <v>785</v>
      </c>
      <c r="D179" s="2" t="s">
        <v>89</v>
      </c>
      <c r="E179" s="2" t="s">
        <v>786</v>
      </c>
      <c r="F179" s="2" t="s">
        <v>840</v>
      </c>
      <c r="G179" s="2" t="s">
        <v>841</v>
      </c>
      <c r="H179" s="2" t="s">
        <v>842</v>
      </c>
      <c r="I179" s="2" t="s">
        <v>843</v>
      </c>
      <c r="J179" s="2" t="s">
        <v>114</v>
      </c>
      <c r="K179" s="2" t="s">
        <v>440</v>
      </c>
      <c r="L179" s="3">
        <v>28.57</v>
      </c>
      <c r="M179" s="3">
        <v>30</v>
      </c>
      <c r="N179" s="3">
        <v>59.99</v>
      </c>
      <c r="O179" s="2" t="s">
        <v>97</v>
      </c>
      <c r="P179" s="2" t="s">
        <v>576</v>
      </c>
      <c r="Q179" s="2" t="s">
        <v>99</v>
      </c>
      <c r="R179" s="2" t="s">
        <v>100</v>
      </c>
      <c r="S179" s="2" t="s">
        <v>862</v>
      </c>
      <c r="T179" s="2" t="s">
        <v>231</v>
      </c>
      <c r="U179" s="2" t="s">
        <v>432</v>
      </c>
      <c r="V179" s="2" t="s">
        <v>427</v>
      </c>
      <c r="W179" s="2" t="s">
        <v>428</v>
      </c>
      <c r="X179" s="2" t="s">
        <v>636</v>
      </c>
      <c r="Y179" s="2" t="s">
        <v>819</v>
      </c>
      <c r="Z179" s="4">
        <v>4272</v>
      </c>
      <c r="AA179" s="4">
        <f>=ROUNDDOWN(97.0909090909091,0)</f>
      </c>
      <c r="AB179" s="5">
        <v>44</v>
      </c>
      <c r="AC179" s="2" t="s">
        <v>851</v>
      </c>
      <c r="AD179" s="4">
        <v>600</v>
      </c>
      <c r="AE179" s="4">
        <v>600</v>
      </c>
      <c r="AF179" s="6">
        <v>63</v>
      </c>
      <c r="AG179" s="6">
        <v>46</v>
      </c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/>
      <c r="AP179" s="4">
        <v>5</v>
      </c>
      <c r="AQ179" s="8">
        <v>170.45</v>
      </c>
      <c r="AR179" s="4"/>
      <c r="AS179" s="8"/>
      <c r="AT179" s="7"/>
      <c r="AU179" s="7"/>
      <c r="AV179" s="4" t="s">
        <v>100</v>
      </c>
      <c r="AW179" s="8" t="s">
        <v>100</v>
      </c>
      <c r="AX179" s="4" t="s">
        <v>100</v>
      </c>
      <c r="AY179" s="8" t="s">
        <v>100</v>
      </c>
      <c r="AZ179" s="7" t="s">
        <v>100</v>
      </c>
      <c r="BA179" s="7" t="s">
        <v>100</v>
      </c>
      <c r="BB179" s="7">
        <v>0.276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 t="s">
        <v>100</v>
      </c>
      <c r="BJ179" s="4">
        <v>279</v>
      </c>
      <c r="BK179" s="8">
        <v>7381.36</v>
      </c>
      <c r="BL179" s="2" t="s">
        <v>869</v>
      </c>
      <c r="BM179" s="7">
        <v>0.0179</v>
      </c>
      <c r="BN179" s="7">
        <v>0.0231</v>
      </c>
      <c r="BO179" s="4">
        <v>5</v>
      </c>
      <c r="BP179" s="8">
        <v>170.45</v>
      </c>
      <c r="BQ179" s="4"/>
      <c r="BR179" s="8"/>
      <c r="BS179" s="7"/>
      <c r="BT179" s="7"/>
      <c r="BU179" s="2" t="s">
        <v>109</v>
      </c>
      <c r="BV179" s="2" t="s">
        <v>97</v>
      </c>
      <c r="BW179" s="2" t="s">
        <v>819</v>
      </c>
      <c r="BX179" s="2" t="s">
        <v>804</v>
      </c>
      <c r="BY179" s="2" t="s">
        <v>112</v>
      </c>
      <c r="BZ179" s="2" t="s">
        <v>100</v>
      </c>
    </row>
    <row r="180">
      <c r="A180" s="2" t="s">
        <v>870</v>
      </c>
      <c r="B180" s="2" t="s">
        <v>87</v>
      </c>
      <c r="C180" s="2" t="s">
        <v>785</v>
      </c>
      <c r="D180" s="2" t="s">
        <v>89</v>
      </c>
      <c r="E180" s="2" t="s">
        <v>786</v>
      </c>
      <c r="F180" s="2" t="s">
        <v>840</v>
      </c>
      <c r="G180" s="2" t="s">
        <v>841</v>
      </c>
      <c r="H180" s="2" t="s">
        <v>842</v>
      </c>
      <c r="I180" s="2" t="s">
        <v>843</v>
      </c>
      <c r="J180" s="2" t="s">
        <v>120</v>
      </c>
      <c r="K180" s="2" t="s">
        <v>440</v>
      </c>
      <c r="L180" s="3">
        <v>30.95</v>
      </c>
      <c r="M180" s="3">
        <v>32.5</v>
      </c>
      <c r="N180" s="3">
        <v>54.99</v>
      </c>
      <c r="O180" s="2" t="s">
        <v>97</v>
      </c>
      <c r="P180" s="2" t="s">
        <v>483</v>
      </c>
      <c r="Q180" s="2" t="s">
        <v>99</v>
      </c>
      <c r="R180" s="2" t="s">
        <v>100</v>
      </c>
      <c r="S180" s="2" t="s">
        <v>862</v>
      </c>
      <c r="T180" s="2" t="s">
        <v>231</v>
      </c>
      <c r="U180" s="2" t="s">
        <v>432</v>
      </c>
      <c r="V180" s="2" t="s">
        <v>427</v>
      </c>
      <c r="W180" s="2" t="s">
        <v>428</v>
      </c>
      <c r="X180" s="2" t="s">
        <v>636</v>
      </c>
      <c r="Y180" s="2" t="s">
        <v>488</v>
      </c>
      <c r="Z180" s="4">
        <v>867</v>
      </c>
      <c r="AA180" s="4">
        <f>=ROUNDDOWN(48.1666666666667,0)</f>
      </c>
      <c r="AB180" s="5">
        <v>18</v>
      </c>
      <c r="AC180" s="2" t="s">
        <v>116</v>
      </c>
      <c r="AD180" s="4">
        <v>138</v>
      </c>
      <c r="AE180" s="4">
        <v>138</v>
      </c>
      <c r="AF180" s="6">
        <v>63</v>
      </c>
      <c r="AG180" s="6">
        <v>46</v>
      </c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/>
      <c r="AP180" s="4">
        <v>1</v>
      </c>
      <c r="AQ180" s="8">
        <v>35.1</v>
      </c>
      <c r="AR180" s="4"/>
      <c r="AS180" s="8"/>
      <c r="AT180" s="7"/>
      <c r="AU180" s="7"/>
      <c r="AV180" s="4" t="s">
        <v>100</v>
      </c>
      <c r="AW180" s="8" t="s">
        <v>100</v>
      </c>
      <c r="AX180" s="4" t="s">
        <v>100</v>
      </c>
      <c r="AY180" s="8" t="s">
        <v>100</v>
      </c>
      <c r="AZ180" s="7" t="s">
        <v>100</v>
      </c>
      <c r="BA180" s="7" t="s">
        <v>100</v>
      </c>
      <c r="BB180" s="7">
        <v>0.0568</v>
      </c>
      <c r="BC180" s="4" t="s">
        <v>100</v>
      </c>
      <c r="BD180" s="8" t="s">
        <v>100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 t="s">
        <v>100</v>
      </c>
      <c r="BJ180" s="4">
        <v>106</v>
      </c>
      <c r="BK180" s="8">
        <v>3676.72</v>
      </c>
      <c r="BL180" s="2" t="s">
        <v>848</v>
      </c>
      <c r="BM180" s="7">
        <v>0.0094</v>
      </c>
      <c r="BN180" s="7">
        <v>0.0095</v>
      </c>
      <c r="BO180" s="4">
        <v>1</v>
      </c>
      <c r="BP180" s="8">
        <v>35.1</v>
      </c>
      <c r="BQ180" s="4"/>
      <c r="BR180" s="8"/>
      <c r="BS180" s="7"/>
      <c r="BT180" s="7"/>
      <c r="BU180" s="2" t="s">
        <v>109</v>
      </c>
      <c r="BV180" s="2" t="s">
        <v>97</v>
      </c>
      <c r="BW180" s="2" t="s">
        <v>860</v>
      </c>
      <c r="BX180" s="2" t="s">
        <v>871</v>
      </c>
      <c r="BY180" s="2" t="s">
        <v>112</v>
      </c>
      <c r="BZ180" s="2" t="s">
        <v>100</v>
      </c>
    </row>
    <row r="181">
      <c r="A181" s="2" t="s">
        <v>872</v>
      </c>
      <c r="B181" s="2" t="s">
        <v>87</v>
      </c>
      <c r="C181" s="2" t="s">
        <v>785</v>
      </c>
      <c r="D181" s="2" t="s">
        <v>89</v>
      </c>
      <c r="E181" s="2" t="s">
        <v>786</v>
      </c>
      <c r="F181" s="2" t="s">
        <v>840</v>
      </c>
      <c r="G181" s="2" t="s">
        <v>841</v>
      </c>
      <c r="H181" s="2" t="s">
        <v>842</v>
      </c>
      <c r="I181" s="2" t="s">
        <v>843</v>
      </c>
      <c r="J181" s="2" t="s">
        <v>791</v>
      </c>
      <c r="K181" s="2" t="s">
        <v>203</v>
      </c>
      <c r="L181" s="3">
        <v>21.42</v>
      </c>
      <c r="M181" s="3">
        <v>22.49</v>
      </c>
      <c r="N181" s="3">
        <v>44.99</v>
      </c>
      <c r="O181" s="2" t="s">
        <v>97</v>
      </c>
      <c r="P181" s="2" t="s">
        <v>576</v>
      </c>
      <c r="Q181" s="2" t="s">
        <v>99</v>
      </c>
      <c r="R181" s="2" t="s">
        <v>100</v>
      </c>
      <c r="S181" s="2" t="s">
        <v>873</v>
      </c>
      <c r="T181" s="2" t="s">
        <v>231</v>
      </c>
      <c r="U181" s="2" t="s">
        <v>426</v>
      </c>
      <c r="V181" s="2" t="s">
        <v>427</v>
      </c>
      <c r="W181" s="2" t="s">
        <v>428</v>
      </c>
      <c r="X181" s="2" t="s">
        <v>636</v>
      </c>
      <c r="Y181" s="2" t="s">
        <v>874</v>
      </c>
      <c r="Z181" s="4">
        <v>166</v>
      </c>
      <c r="AA181" s="4">
        <f>=ROUNDDOWN(16.6,0)</f>
      </c>
      <c r="AB181" s="5">
        <v>10</v>
      </c>
      <c r="AC181" s="2" t="s">
        <v>592</v>
      </c>
      <c r="AD181" s="4">
        <v>1800</v>
      </c>
      <c r="AE181" s="4">
        <v>2190</v>
      </c>
      <c r="AF181" s="6">
        <v>63</v>
      </c>
      <c r="AG181" s="6">
        <v>46</v>
      </c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>
        <v>11</v>
      </c>
      <c r="AW181" s="8">
        <v>352.61</v>
      </c>
      <c r="AX181" s="4" t="s">
        <v>100</v>
      </c>
      <c r="AY181" s="8" t="s">
        <v>100</v>
      </c>
      <c r="AZ181" s="7" t="s">
        <v>100</v>
      </c>
      <c r="BA181" s="7" t="s">
        <v>100</v>
      </c>
      <c r="BB181" s="7"/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0.0864</v>
      </c>
      <c r="BJ181" s="4">
        <v>66</v>
      </c>
      <c r="BK181" s="8">
        <v>1386.89</v>
      </c>
      <c r="BL181" s="2" t="s">
        <v>875</v>
      </c>
      <c r="BM181" s="7"/>
      <c r="BN181" s="7"/>
      <c r="BO181" s="4"/>
      <c r="BP181" s="8"/>
      <c r="BQ181" s="4"/>
      <c r="BR181" s="8"/>
      <c r="BS181" s="7"/>
      <c r="BT181" s="7"/>
      <c r="BU181" s="2" t="s">
        <v>109</v>
      </c>
      <c r="BV181" s="2" t="s">
        <v>97</v>
      </c>
      <c r="BW181" s="2" t="s">
        <v>876</v>
      </c>
      <c r="BX181" s="2" t="s">
        <v>877</v>
      </c>
      <c r="BY181" s="2" t="s">
        <v>112</v>
      </c>
      <c r="BZ181" s="2" t="s">
        <v>100</v>
      </c>
    </row>
    <row r="182">
      <c r="A182" s="2" t="s">
        <v>878</v>
      </c>
      <c r="B182" s="2" t="s">
        <v>87</v>
      </c>
      <c r="C182" s="2" t="s">
        <v>785</v>
      </c>
      <c r="D182" s="2" t="s">
        <v>89</v>
      </c>
      <c r="E182" s="2" t="s">
        <v>786</v>
      </c>
      <c r="F182" s="2" t="s">
        <v>840</v>
      </c>
      <c r="G182" s="2" t="s">
        <v>841</v>
      </c>
      <c r="H182" s="2" t="s">
        <v>842</v>
      </c>
      <c r="I182" s="2" t="s">
        <v>843</v>
      </c>
      <c r="J182" s="2" t="s">
        <v>157</v>
      </c>
      <c r="K182" s="2" t="s">
        <v>203</v>
      </c>
      <c r="L182" s="3">
        <v>25.23</v>
      </c>
      <c r="M182" s="3">
        <v>26.49</v>
      </c>
      <c r="N182" s="3">
        <v>49.99</v>
      </c>
      <c r="O182" s="2" t="s">
        <v>97</v>
      </c>
      <c r="P182" s="2" t="s">
        <v>483</v>
      </c>
      <c r="Q182" s="2" t="s">
        <v>99</v>
      </c>
      <c r="R182" s="2" t="s">
        <v>100</v>
      </c>
      <c r="S182" s="2" t="s">
        <v>873</v>
      </c>
      <c r="T182" s="2" t="s">
        <v>231</v>
      </c>
      <c r="U182" s="2" t="s">
        <v>432</v>
      </c>
      <c r="V182" s="2" t="s">
        <v>427</v>
      </c>
      <c r="W182" s="2" t="s">
        <v>428</v>
      </c>
      <c r="X182" s="2" t="s">
        <v>636</v>
      </c>
      <c r="Y182" s="2" t="s">
        <v>879</v>
      </c>
      <c r="Z182" s="4">
        <v>534</v>
      </c>
      <c r="AA182" s="4">
        <f>=ROUNDDOWN(32.5609756097561,0)</f>
      </c>
      <c r="AB182" s="5">
        <v>16.4</v>
      </c>
      <c r="AC182" s="2" t="s">
        <v>184</v>
      </c>
      <c r="AD182" s="4">
        <v>18</v>
      </c>
      <c r="AE182" s="4">
        <v>18</v>
      </c>
      <c r="AF182" s="6">
        <v>63</v>
      </c>
      <c r="AG182" s="6">
        <v>46</v>
      </c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/>
      <c r="AP182" s="4">
        <v>1</v>
      </c>
      <c r="AQ182" s="8">
        <v>28.61</v>
      </c>
      <c r="AR182" s="4"/>
      <c r="AS182" s="8"/>
      <c r="AT182" s="7"/>
      <c r="AU182" s="7"/>
      <c r="AV182" s="4" t="s">
        <v>100</v>
      </c>
      <c r="AW182" s="8" t="s">
        <v>100</v>
      </c>
      <c r="AX182" s="4" t="s">
        <v>100</v>
      </c>
      <c r="AY182" s="8" t="s">
        <v>100</v>
      </c>
      <c r="AZ182" s="7" t="s">
        <v>100</v>
      </c>
      <c r="BA182" s="7" t="s">
        <v>100</v>
      </c>
      <c r="BB182" s="7">
        <v>0.0811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 t="s">
        <v>100</v>
      </c>
      <c r="BJ182" s="4">
        <v>62</v>
      </c>
      <c r="BK182" s="8">
        <v>1543.51</v>
      </c>
      <c r="BL182" s="2" t="s">
        <v>880</v>
      </c>
      <c r="BM182" s="7">
        <v>0.0161</v>
      </c>
      <c r="BN182" s="7">
        <v>0.0185</v>
      </c>
      <c r="BO182" s="4">
        <v>1</v>
      </c>
      <c r="BP182" s="8">
        <v>28.61</v>
      </c>
      <c r="BQ182" s="4"/>
      <c r="BR182" s="8"/>
      <c r="BS182" s="7"/>
      <c r="BT182" s="7"/>
      <c r="BU182" s="2" t="s">
        <v>109</v>
      </c>
      <c r="BV182" s="2" t="s">
        <v>97</v>
      </c>
      <c r="BW182" s="2" t="s">
        <v>881</v>
      </c>
      <c r="BX182" s="2" t="s">
        <v>882</v>
      </c>
      <c r="BY182" s="2" t="s">
        <v>112</v>
      </c>
      <c r="BZ182" s="2" t="s">
        <v>100</v>
      </c>
    </row>
    <row r="183">
      <c r="A183" s="2" t="s">
        <v>883</v>
      </c>
      <c r="B183" s="2" t="s">
        <v>87</v>
      </c>
      <c r="C183" s="2" t="s">
        <v>785</v>
      </c>
      <c r="D183" s="2" t="s">
        <v>89</v>
      </c>
      <c r="E183" s="2" t="s">
        <v>786</v>
      </c>
      <c r="F183" s="2" t="s">
        <v>840</v>
      </c>
      <c r="G183" s="2" t="s">
        <v>841</v>
      </c>
      <c r="H183" s="2" t="s">
        <v>842</v>
      </c>
      <c r="I183" s="2" t="s">
        <v>843</v>
      </c>
      <c r="J183" s="2" t="s">
        <v>95</v>
      </c>
      <c r="K183" s="2" t="s">
        <v>203</v>
      </c>
      <c r="L183" s="3">
        <v>26.19</v>
      </c>
      <c r="M183" s="3">
        <v>27.5</v>
      </c>
      <c r="N183" s="3">
        <v>54.99</v>
      </c>
      <c r="O183" s="2" t="s">
        <v>97</v>
      </c>
      <c r="P183" s="2" t="s">
        <v>576</v>
      </c>
      <c r="Q183" s="2" t="s">
        <v>99</v>
      </c>
      <c r="R183" s="2" t="s">
        <v>100</v>
      </c>
      <c r="S183" s="2" t="s">
        <v>873</v>
      </c>
      <c r="T183" s="2" t="s">
        <v>231</v>
      </c>
      <c r="U183" s="2" t="s">
        <v>432</v>
      </c>
      <c r="V183" s="2" t="s">
        <v>427</v>
      </c>
      <c r="W183" s="2" t="s">
        <v>428</v>
      </c>
      <c r="X183" s="2" t="s">
        <v>636</v>
      </c>
      <c r="Y183" s="2" t="s">
        <v>874</v>
      </c>
      <c r="Z183" s="4">
        <v>1864</v>
      </c>
      <c r="AA183" s="4">
        <f>=ROUNDDOWN(33.8909090909091,0)</f>
      </c>
      <c r="AB183" s="5">
        <v>55</v>
      </c>
      <c r="AC183" s="2" t="s">
        <v>592</v>
      </c>
      <c r="AD183" s="4">
        <v>9000</v>
      </c>
      <c r="AE183" s="4">
        <v>9810</v>
      </c>
      <c r="AF183" s="6">
        <v>63</v>
      </c>
      <c r="AG183" s="6">
        <v>46</v>
      </c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/>
      <c r="AP183" s="4">
        <v>3</v>
      </c>
      <c r="AQ183" s="8">
        <v>89.1</v>
      </c>
      <c r="AR183" s="4"/>
      <c r="AS183" s="8"/>
      <c r="AT183" s="7"/>
      <c r="AU183" s="7"/>
      <c r="AV183" s="4" t="s">
        <v>100</v>
      </c>
      <c r="AW183" s="8" t="s">
        <v>100</v>
      </c>
      <c r="AX183" s="4" t="s">
        <v>100</v>
      </c>
      <c r="AY183" s="8" t="s">
        <v>100</v>
      </c>
      <c r="AZ183" s="7" t="s">
        <v>100</v>
      </c>
      <c r="BA183" s="7" t="s">
        <v>100</v>
      </c>
      <c r="BB183" s="7">
        <v>0.2527</v>
      </c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 t="s">
        <v>100</v>
      </c>
      <c r="BJ183" s="4">
        <v>357</v>
      </c>
      <c r="BK183" s="8">
        <v>9070.15</v>
      </c>
      <c r="BL183" s="2" t="s">
        <v>884</v>
      </c>
      <c r="BM183" s="7">
        <v>0.0084</v>
      </c>
      <c r="BN183" s="7">
        <v>0.0098</v>
      </c>
      <c r="BO183" s="4">
        <v>3</v>
      </c>
      <c r="BP183" s="8">
        <v>89.1</v>
      </c>
      <c r="BQ183" s="4"/>
      <c r="BR183" s="8"/>
      <c r="BS183" s="7"/>
      <c r="BT183" s="7"/>
      <c r="BU183" s="2" t="s">
        <v>109</v>
      </c>
      <c r="BV183" s="2" t="s">
        <v>97</v>
      </c>
      <c r="BW183" s="2" t="s">
        <v>874</v>
      </c>
      <c r="BX183" s="2" t="s">
        <v>885</v>
      </c>
      <c r="BY183" s="2" t="s">
        <v>112</v>
      </c>
      <c r="BZ183" s="2" t="s">
        <v>100</v>
      </c>
    </row>
    <row r="184">
      <c r="A184" s="2" t="s">
        <v>886</v>
      </c>
      <c r="B184" s="2" t="s">
        <v>87</v>
      </c>
      <c r="C184" s="2" t="s">
        <v>785</v>
      </c>
      <c r="D184" s="2" t="s">
        <v>89</v>
      </c>
      <c r="E184" s="2" t="s">
        <v>786</v>
      </c>
      <c r="F184" s="2" t="s">
        <v>840</v>
      </c>
      <c r="G184" s="2" t="s">
        <v>841</v>
      </c>
      <c r="H184" s="2" t="s">
        <v>842</v>
      </c>
      <c r="I184" s="2" t="s">
        <v>843</v>
      </c>
      <c r="J184" s="2" t="s">
        <v>114</v>
      </c>
      <c r="K184" s="2" t="s">
        <v>203</v>
      </c>
      <c r="L184" s="3">
        <v>28.57</v>
      </c>
      <c r="M184" s="3">
        <v>30</v>
      </c>
      <c r="N184" s="3">
        <v>59.99</v>
      </c>
      <c r="O184" s="2" t="s">
        <v>97</v>
      </c>
      <c r="P184" s="2" t="s">
        <v>576</v>
      </c>
      <c r="Q184" s="2" t="s">
        <v>99</v>
      </c>
      <c r="R184" s="2" t="s">
        <v>100</v>
      </c>
      <c r="S184" s="2" t="s">
        <v>873</v>
      </c>
      <c r="T184" s="2" t="s">
        <v>231</v>
      </c>
      <c r="U184" s="2" t="s">
        <v>432</v>
      </c>
      <c r="V184" s="2" t="s">
        <v>427</v>
      </c>
      <c r="W184" s="2" t="s">
        <v>428</v>
      </c>
      <c r="X184" s="2" t="s">
        <v>636</v>
      </c>
      <c r="Y184" s="2" t="s">
        <v>887</v>
      </c>
      <c r="Z184" s="4">
        <v>2688</v>
      </c>
      <c r="AA184" s="4">
        <f>=ROUNDDOWN(107.52,0)</f>
      </c>
      <c r="AB184" s="5">
        <v>25</v>
      </c>
      <c r="AC184" s="2" t="s">
        <v>592</v>
      </c>
      <c r="AD184" s="4">
        <v>4950</v>
      </c>
      <c r="AE184" s="4">
        <v>6630</v>
      </c>
      <c r="AF184" s="6">
        <v>63</v>
      </c>
      <c r="AG184" s="6">
        <v>46</v>
      </c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/>
      <c r="AP184" s="4">
        <v>4</v>
      </c>
      <c r="AQ184" s="8">
        <v>129.6</v>
      </c>
      <c r="AR184" s="4"/>
      <c r="AS184" s="8"/>
      <c r="AT184" s="7"/>
      <c r="AU184" s="7"/>
      <c r="AV184" s="4" t="s">
        <v>100</v>
      </c>
      <c r="AW184" s="8" t="s">
        <v>100</v>
      </c>
      <c r="AX184" s="4" t="s">
        <v>100</v>
      </c>
      <c r="AY184" s="8" t="s">
        <v>100</v>
      </c>
      <c r="AZ184" s="7" t="s">
        <v>100</v>
      </c>
      <c r="BA184" s="7" t="s">
        <v>100</v>
      </c>
      <c r="BB184" s="7">
        <v>0.3675</v>
      </c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 t="s">
        <v>100</v>
      </c>
      <c r="BJ184" s="4">
        <v>273</v>
      </c>
      <c r="BK184" s="8">
        <v>7678.18</v>
      </c>
      <c r="BL184" s="2" t="s">
        <v>888</v>
      </c>
      <c r="BM184" s="7">
        <v>0.0147</v>
      </c>
      <c r="BN184" s="7">
        <v>0.0169</v>
      </c>
      <c r="BO184" s="4">
        <v>4</v>
      </c>
      <c r="BP184" s="8">
        <v>129.6</v>
      </c>
      <c r="BQ184" s="4"/>
      <c r="BR184" s="8"/>
      <c r="BS184" s="7"/>
      <c r="BT184" s="7"/>
      <c r="BU184" s="2" t="s">
        <v>109</v>
      </c>
      <c r="BV184" s="2" t="s">
        <v>97</v>
      </c>
      <c r="BW184" s="2" t="s">
        <v>889</v>
      </c>
      <c r="BX184" s="2" t="s">
        <v>890</v>
      </c>
      <c r="BY184" s="2" t="s">
        <v>112</v>
      </c>
      <c r="BZ184" s="2" t="s">
        <v>100</v>
      </c>
    </row>
    <row r="185">
      <c r="A185" s="2" t="s">
        <v>891</v>
      </c>
      <c r="B185" s="2" t="s">
        <v>87</v>
      </c>
      <c r="C185" s="2" t="s">
        <v>785</v>
      </c>
      <c r="D185" s="2" t="s">
        <v>89</v>
      </c>
      <c r="E185" s="2" t="s">
        <v>786</v>
      </c>
      <c r="F185" s="2" t="s">
        <v>840</v>
      </c>
      <c r="G185" s="2" t="s">
        <v>841</v>
      </c>
      <c r="H185" s="2" t="s">
        <v>842</v>
      </c>
      <c r="I185" s="2" t="s">
        <v>843</v>
      </c>
      <c r="J185" s="2" t="s">
        <v>120</v>
      </c>
      <c r="K185" s="2" t="s">
        <v>203</v>
      </c>
      <c r="L185" s="3">
        <v>30.95</v>
      </c>
      <c r="M185" s="3">
        <v>32.5</v>
      </c>
      <c r="N185" s="3">
        <v>54.99</v>
      </c>
      <c r="O185" s="2" t="s">
        <v>97</v>
      </c>
      <c r="P185" s="2" t="s">
        <v>483</v>
      </c>
      <c r="Q185" s="2" t="s">
        <v>99</v>
      </c>
      <c r="R185" s="2" t="s">
        <v>100</v>
      </c>
      <c r="S185" s="2" t="s">
        <v>873</v>
      </c>
      <c r="T185" s="2" t="s">
        <v>231</v>
      </c>
      <c r="U185" s="2" t="s">
        <v>432</v>
      </c>
      <c r="V185" s="2" t="s">
        <v>427</v>
      </c>
      <c r="W185" s="2" t="s">
        <v>428</v>
      </c>
      <c r="X185" s="2" t="s">
        <v>636</v>
      </c>
      <c r="Y185" s="2" t="s">
        <v>879</v>
      </c>
      <c r="Z185" s="4">
        <v>868</v>
      </c>
      <c r="AA185" s="4">
        <f>=ROUNDDOWN(33.6434108527132,0)</f>
      </c>
      <c r="AB185" s="5">
        <v>25.8</v>
      </c>
      <c r="AC185" s="2" t="s">
        <v>100</v>
      </c>
      <c r="AD185" s="4"/>
      <c r="AE185" s="4"/>
      <c r="AF185" s="6">
        <v>63</v>
      </c>
      <c r="AG185" s="6">
        <v>46</v>
      </c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/>
      <c r="AP185" s="4">
        <v>3</v>
      </c>
      <c r="AQ185" s="8">
        <v>105.3</v>
      </c>
      <c r="AR185" s="4"/>
      <c r="AS185" s="8"/>
      <c r="AT185" s="7"/>
      <c r="AU185" s="7"/>
      <c r="AV185" s="4" t="s">
        <v>100</v>
      </c>
      <c r="AW185" s="8" t="s">
        <v>100</v>
      </c>
      <c r="AX185" s="4" t="s">
        <v>100</v>
      </c>
      <c r="AY185" s="8" t="s">
        <v>100</v>
      </c>
      <c r="AZ185" s="7" t="s">
        <v>100</v>
      </c>
      <c r="BA185" s="7" t="s">
        <v>100</v>
      </c>
      <c r="BB185" s="7">
        <v>0.2986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 t="s">
        <v>100</v>
      </c>
      <c r="BJ185" s="4">
        <v>84</v>
      </c>
      <c r="BK185" s="8">
        <v>2920.18</v>
      </c>
      <c r="BL185" s="2" t="s">
        <v>892</v>
      </c>
      <c r="BM185" s="7">
        <v>0.0357</v>
      </c>
      <c r="BN185" s="7">
        <v>0.0361</v>
      </c>
      <c r="BO185" s="4">
        <v>3</v>
      </c>
      <c r="BP185" s="8">
        <v>105.3</v>
      </c>
      <c r="BQ185" s="4"/>
      <c r="BR185" s="8"/>
      <c r="BS185" s="7"/>
      <c r="BT185" s="7"/>
      <c r="BU185" s="2" t="s">
        <v>109</v>
      </c>
      <c r="BV185" s="2" t="s">
        <v>97</v>
      </c>
      <c r="BW185" s="2" t="s">
        <v>881</v>
      </c>
      <c r="BX185" s="2" t="s">
        <v>893</v>
      </c>
      <c r="BY185" s="2" t="s">
        <v>112</v>
      </c>
      <c r="BZ185" s="2" t="s">
        <v>100</v>
      </c>
    </row>
    <row r="186">
      <c r="A186" s="2" t="s">
        <v>894</v>
      </c>
      <c r="B186" s="2" t="s">
        <v>87</v>
      </c>
      <c r="C186" s="2" t="s">
        <v>785</v>
      </c>
      <c r="D186" s="2" t="s">
        <v>89</v>
      </c>
      <c r="E186" s="2" t="s">
        <v>786</v>
      </c>
      <c r="F186" s="2" t="s">
        <v>840</v>
      </c>
      <c r="G186" s="2" t="s">
        <v>841</v>
      </c>
      <c r="H186" s="2" t="s">
        <v>842</v>
      </c>
      <c r="I186" s="2" t="s">
        <v>843</v>
      </c>
      <c r="J186" s="2" t="s">
        <v>791</v>
      </c>
      <c r="K186" s="2" t="s">
        <v>895</v>
      </c>
      <c r="L186" s="3">
        <v>21.42</v>
      </c>
      <c r="M186" s="3">
        <v>22.49</v>
      </c>
      <c r="N186" s="3">
        <v>44.99</v>
      </c>
      <c r="O186" s="2" t="s">
        <v>97</v>
      </c>
      <c r="P186" s="2" t="s">
        <v>576</v>
      </c>
      <c r="Q186" s="2" t="s">
        <v>99</v>
      </c>
      <c r="R186" s="2" t="s">
        <v>100</v>
      </c>
      <c r="S186" s="2" t="s">
        <v>896</v>
      </c>
      <c r="T186" s="2" t="s">
        <v>231</v>
      </c>
      <c r="U186" s="2" t="s">
        <v>426</v>
      </c>
      <c r="V186" s="2" t="s">
        <v>427</v>
      </c>
      <c r="W186" s="2" t="s">
        <v>428</v>
      </c>
      <c r="X186" s="2" t="s">
        <v>636</v>
      </c>
      <c r="Y186" s="2" t="s">
        <v>887</v>
      </c>
      <c r="Z186" s="4">
        <v>546</v>
      </c>
      <c r="AA186" s="4">
        <f>=ROUNDDOWN(18.8275862068966,0)</f>
      </c>
      <c r="AB186" s="5">
        <v>29</v>
      </c>
      <c r="AC186" s="2" t="s">
        <v>897</v>
      </c>
      <c r="AD186" s="4">
        <v>720</v>
      </c>
      <c r="AE186" s="4">
        <v>990</v>
      </c>
      <c r="AF186" s="6">
        <v>63</v>
      </c>
      <c r="AG186" s="6">
        <v>46</v>
      </c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>
        <v>10</v>
      </c>
      <c r="AW186" s="8">
        <v>325.61</v>
      </c>
      <c r="AX186" s="4" t="s">
        <v>100</v>
      </c>
      <c r="AY186" s="8" t="s">
        <v>100</v>
      </c>
      <c r="AZ186" s="7" t="s">
        <v>100</v>
      </c>
      <c r="BA186" s="7" t="s">
        <v>100</v>
      </c>
      <c r="BB186" s="7"/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>
        <v>0.0798</v>
      </c>
      <c r="BJ186" s="4">
        <v>165</v>
      </c>
      <c r="BK186" s="8">
        <v>3540.16</v>
      </c>
      <c r="BL186" s="2" t="s">
        <v>898</v>
      </c>
      <c r="BM186" s="7"/>
      <c r="BN186" s="7"/>
      <c r="BO186" s="4"/>
      <c r="BP186" s="8"/>
      <c r="BQ186" s="4"/>
      <c r="BR186" s="8"/>
      <c r="BS186" s="7"/>
      <c r="BT186" s="7"/>
      <c r="BU186" s="2" t="s">
        <v>109</v>
      </c>
      <c r="BV186" s="2" t="s">
        <v>97</v>
      </c>
      <c r="BW186" s="2" t="s">
        <v>876</v>
      </c>
      <c r="BX186" s="2" t="s">
        <v>899</v>
      </c>
      <c r="BY186" s="2" t="s">
        <v>112</v>
      </c>
      <c r="BZ186" s="2" t="s">
        <v>100</v>
      </c>
    </row>
    <row r="187">
      <c r="A187" s="2" t="s">
        <v>900</v>
      </c>
      <c r="B187" s="2" t="s">
        <v>87</v>
      </c>
      <c r="C187" s="2" t="s">
        <v>785</v>
      </c>
      <c r="D187" s="2" t="s">
        <v>89</v>
      </c>
      <c r="E187" s="2" t="s">
        <v>786</v>
      </c>
      <c r="F187" s="2" t="s">
        <v>840</v>
      </c>
      <c r="G187" s="2" t="s">
        <v>841</v>
      </c>
      <c r="H187" s="2" t="s">
        <v>842</v>
      </c>
      <c r="I187" s="2" t="s">
        <v>843</v>
      </c>
      <c r="J187" s="2" t="s">
        <v>157</v>
      </c>
      <c r="K187" s="2" t="s">
        <v>895</v>
      </c>
      <c r="L187" s="3">
        <v>25.23</v>
      </c>
      <c r="M187" s="3">
        <v>26.49</v>
      </c>
      <c r="N187" s="3">
        <v>49.99</v>
      </c>
      <c r="O187" s="2" t="s">
        <v>97</v>
      </c>
      <c r="P187" s="2" t="s">
        <v>483</v>
      </c>
      <c r="Q187" s="2" t="s">
        <v>99</v>
      </c>
      <c r="R187" s="2" t="s">
        <v>100</v>
      </c>
      <c r="S187" s="2" t="s">
        <v>896</v>
      </c>
      <c r="T187" s="2" t="s">
        <v>231</v>
      </c>
      <c r="U187" s="2" t="s">
        <v>432</v>
      </c>
      <c r="V187" s="2" t="s">
        <v>427</v>
      </c>
      <c r="W187" s="2" t="s">
        <v>428</v>
      </c>
      <c r="X187" s="2" t="s">
        <v>636</v>
      </c>
      <c r="Y187" s="2" t="s">
        <v>879</v>
      </c>
      <c r="Z187" s="4">
        <v>1025</v>
      </c>
      <c r="AA187" s="4">
        <f>=ROUNDDOWN(32.7476038338658,0)</f>
      </c>
      <c r="AB187" s="5">
        <v>31.3</v>
      </c>
      <c r="AC187" s="2" t="s">
        <v>100</v>
      </c>
      <c r="AD187" s="4"/>
      <c r="AE187" s="4"/>
      <c r="AF187" s="6">
        <v>63</v>
      </c>
      <c r="AG187" s="6">
        <v>46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/>
      <c r="AP187" s="4">
        <v>1</v>
      </c>
      <c r="AQ187" s="8">
        <v>28.61</v>
      </c>
      <c r="AR187" s="4"/>
      <c r="AS187" s="8"/>
      <c r="AT187" s="7"/>
      <c r="AU187" s="7"/>
      <c r="AV187" s="4" t="s">
        <v>100</v>
      </c>
      <c r="AW187" s="8" t="s">
        <v>100</v>
      </c>
      <c r="AX187" s="4" t="s">
        <v>100</v>
      </c>
      <c r="AY187" s="8" t="s">
        <v>100</v>
      </c>
      <c r="AZ187" s="7" t="s">
        <v>100</v>
      </c>
      <c r="BA187" s="7" t="s">
        <v>100</v>
      </c>
      <c r="BB187" s="7">
        <v>0.0879</v>
      </c>
      <c r="BC187" s="4" t="s">
        <v>100</v>
      </c>
      <c r="BD187" s="8" t="s">
        <v>100</v>
      </c>
      <c r="BE187" s="4" t="s">
        <v>100</v>
      </c>
      <c r="BF187" s="8" t="s">
        <v>100</v>
      </c>
      <c r="BG187" s="7" t="s">
        <v>100</v>
      </c>
      <c r="BH187" s="7" t="s">
        <v>100</v>
      </c>
      <c r="BI187" s="7" t="s">
        <v>100</v>
      </c>
      <c r="BJ187" s="4">
        <v>134</v>
      </c>
      <c r="BK187" s="8">
        <v>3358.48</v>
      </c>
      <c r="BL187" s="2" t="s">
        <v>901</v>
      </c>
      <c r="BM187" s="7">
        <v>0.0075</v>
      </c>
      <c r="BN187" s="7">
        <v>0.0085</v>
      </c>
      <c r="BO187" s="4">
        <v>1</v>
      </c>
      <c r="BP187" s="8">
        <v>28.61</v>
      </c>
      <c r="BQ187" s="4"/>
      <c r="BR187" s="8"/>
      <c r="BS187" s="7"/>
      <c r="BT187" s="7"/>
      <c r="BU187" s="2" t="s">
        <v>109</v>
      </c>
      <c r="BV187" s="2" t="s">
        <v>97</v>
      </c>
      <c r="BW187" s="2" t="s">
        <v>881</v>
      </c>
      <c r="BX187" s="2" t="s">
        <v>893</v>
      </c>
      <c r="BY187" s="2" t="s">
        <v>112</v>
      </c>
      <c r="BZ187" s="2" t="s">
        <v>100</v>
      </c>
    </row>
    <row r="188">
      <c r="A188" s="2" t="s">
        <v>902</v>
      </c>
      <c r="B188" s="2" t="s">
        <v>87</v>
      </c>
      <c r="C188" s="2" t="s">
        <v>785</v>
      </c>
      <c r="D188" s="2" t="s">
        <v>89</v>
      </c>
      <c r="E188" s="2" t="s">
        <v>786</v>
      </c>
      <c r="F188" s="2" t="s">
        <v>840</v>
      </c>
      <c r="G188" s="2" t="s">
        <v>841</v>
      </c>
      <c r="H188" s="2" t="s">
        <v>842</v>
      </c>
      <c r="I188" s="2" t="s">
        <v>843</v>
      </c>
      <c r="J188" s="2" t="s">
        <v>95</v>
      </c>
      <c r="K188" s="2" t="s">
        <v>895</v>
      </c>
      <c r="L188" s="3">
        <v>26.19</v>
      </c>
      <c r="M188" s="3">
        <v>27.5</v>
      </c>
      <c r="N188" s="3">
        <v>54.99</v>
      </c>
      <c r="O188" s="2" t="s">
        <v>97</v>
      </c>
      <c r="P188" s="2" t="s">
        <v>576</v>
      </c>
      <c r="Q188" s="2" t="s">
        <v>99</v>
      </c>
      <c r="R188" s="2" t="s">
        <v>100</v>
      </c>
      <c r="S188" s="2" t="s">
        <v>896</v>
      </c>
      <c r="T188" s="2" t="s">
        <v>231</v>
      </c>
      <c r="U188" s="2" t="s">
        <v>432</v>
      </c>
      <c r="V188" s="2" t="s">
        <v>427</v>
      </c>
      <c r="W188" s="2" t="s">
        <v>428</v>
      </c>
      <c r="X188" s="2" t="s">
        <v>636</v>
      </c>
      <c r="Y188" s="2" t="s">
        <v>874</v>
      </c>
      <c r="Z188" s="4">
        <v>3555</v>
      </c>
      <c r="AA188" s="4">
        <f>=ROUNDDOWN(36.2755102040816,0)</f>
      </c>
      <c r="AB188" s="5">
        <v>98</v>
      </c>
      <c r="AC188" s="2" t="s">
        <v>897</v>
      </c>
      <c r="AD188" s="4">
        <v>4536</v>
      </c>
      <c r="AE188" s="4">
        <v>6486</v>
      </c>
      <c r="AF188" s="6">
        <v>63</v>
      </c>
      <c r="AG188" s="6">
        <v>46</v>
      </c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/>
      <c r="AP188" s="4">
        <v>1</v>
      </c>
      <c r="AQ188" s="8">
        <v>29.7</v>
      </c>
      <c r="AR188" s="4"/>
      <c r="AS188" s="8"/>
      <c r="AT188" s="7"/>
      <c r="AU188" s="7"/>
      <c r="AV188" s="4" t="s">
        <v>100</v>
      </c>
      <c r="AW188" s="8" t="s">
        <v>100</v>
      </c>
      <c r="AX188" s="4" t="s">
        <v>100</v>
      </c>
      <c r="AY188" s="8" t="s">
        <v>100</v>
      </c>
      <c r="AZ188" s="7" t="s">
        <v>100</v>
      </c>
      <c r="BA188" s="7" t="s">
        <v>100</v>
      </c>
      <c r="BB188" s="7">
        <v>0.0912</v>
      </c>
      <c r="BC188" s="4" t="s">
        <v>100</v>
      </c>
      <c r="BD188" s="8" t="s">
        <v>100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 t="s">
        <v>100</v>
      </c>
      <c r="BJ188" s="4">
        <v>841</v>
      </c>
      <c r="BK188" s="8">
        <v>21612.84</v>
      </c>
      <c r="BL188" s="2" t="s">
        <v>855</v>
      </c>
      <c r="BM188" s="7">
        <v>0.0012</v>
      </c>
      <c r="BN188" s="7">
        <v>0.0014</v>
      </c>
      <c r="BO188" s="4">
        <v>1</v>
      </c>
      <c r="BP188" s="8">
        <v>29.7</v>
      </c>
      <c r="BQ188" s="4"/>
      <c r="BR188" s="8"/>
      <c r="BS188" s="7"/>
      <c r="BT188" s="7"/>
      <c r="BU188" s="2" t="s">
        <v>109</v>
      </c>
      <c r="BV188" s="2" t="s">
        <v>97</v>
      </c>
      <c r="BW188" s="2" t="s">
        <v>874</v>
      </c>
      <c r="BX188" s="2" t="s">
        <v>903</v>
      </c>
      <c r="BY188" s="2" t="s">
        <v>112</v>
      </c>
      <c r="BZ188" s="2" t="s">
        <v>100</v>
      </c>
    </row>
    <row r="189">
      <c r="A189" s="2" t="s">
        <v>904</v>
      </c>
      <c r="B189" s="2" t="s">
        <v>87</v>
      </c>
      <c r="C189" s="2" t="s">
        <v>785</v>
      </c>
      <c r="D189" s="2" t="s">
        <v>89</v>
      </c>
      <c r="E189" s="2" t="s">
        <v>786</v>
      </c>
      <c r="F189" s="2" t="s">
        <v>840</v>
      </c>
      <c r="G189" s="2" t="s">
        <v>841</v>
      </c>
      <c r="H189" s="2" t="s">
        <v>842</v>
      </c>
      <c r="I189" s="2" t="s">
        <v>843</v>
      </c>
      <c r="J189" s="2" t="s">
        <v>114</v>
      </c>
      <c r="K189" s="2" t="s">
        <v>895</v>
      </c>
      <c r="L189" s="3">
        <v>28.57</v>
      </c>
      <c r="M189" s="3">
        <v>30</v>
      </c>
      <c r="N189" s="3">
        <v>59.99</v>
      </c>
      <c r="O189" s="2" t="s">
        <v>97</v>
      </c>
      <c r="P189" s="2" t="s">
        <v>576</v>
      </c>
      <c r="Q189" s="2" t="s">
        <v>99</v>
      </c>
      <c r="R189" s="2" t="s">
        <v>100</v>
      </c>
      <c r="S189" s="2" t="s">
        <v>896</v>
      </c>
      <c r="T189" s="2" t="s">
        <v>231</v>
      </c>
      <c r="U189" s="2" t="s">
        <v>432</v>
      </c>
      <c r="V189" s="2" t="s">
        <v>427</v>
      </c>
      <c r="W189" s="2" t="s">
        <v>428</v>
      </c>
      <c r="X189" s="2" t="s">
        <v>636</v>
      </c>
      <c r="Y189" s="2" t="s">
        <v>887</v>
      </c>
      <c r="Z189" s="4">
        <v>4625</v>
      </c>
      <c r="AA189" s="4">
        <f>=ROUNDDOWN(70.0757575757576,0)</f>
      </c>
      <c r="AB189" s="5">
        <v>66</v>
      </c>
      <c r="AC189" s="2" t="s">
        <v>897</v>
      </c>
      <c r="AD189" s="4">
        <v>2376</v>
      </c>
      <c r="AE189" s="4">
        <v>5076</v>
      </c>
      <c r="AF189" s="6">
        <v>63</v>
      </c>
      <c r="AG189" s="6">
        <v>46</v>
      </c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/>
      <c r="AP189" s="4">
        <v>5</v>
      </c>
      <c r="AQ189" s="8">
        <v>162</v>
      </c>
      <c r="AR189" s="4"/>
      <c r="AS189" s="8"/>
      <c r="AT189" s="7"/>
      <c r="AU189" s="7"/>
      <c r="AV189" s="4" t="s">
        <v>100</v>
      </c>
      <c r="AW189" s="8" t="s">
        <v>100</v>
      </c>
      <c r="AX189" s="4" t="s">
        <v>100</v>
      </c>
      <c r="AY189" s="8" t="s">
        <v>100</v>
      </c>
      <c r="AZ189" s="7" t="s">
        <v>100</v>
      </c>
      <c r="BA189" s="7" t="s">
        <v>100</v>
      </c>
      <c r="BB189" s="7">
        <v>0.4975</v>
      </c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 t="s">
        <v>100</v>
      </c>
      <c r="BJ189" s="4">
        <v>673</v>
      </c>
      <c r="BK189" s="8">
        <v>19810</v>
      </c>
      <c r="BL189" s="2" t="s">
        <v>905</v>
      </c>
      <c r="BM189" s="7">
        <v>0.0074</v>
      </c>
      <c r="BN189" s="7">
        <v>0.0082</v>
      </c>
      <c r="BO189" s="4">
        <v>5</v>
      </c>
      <c r="BP189" s="8">
        <v>162</v>
      </c>
      <c r="BQ189" s="4"/>
      <c r="BR189" s="8"/>
      <c r="BS189" s="7"/>
      <c r="BT189" s="7"/>
      <c r="BU189" s="2" t="s">
        <v>109</v>
      </c>
      <c r="BV189" s="2" t="s">
        <v>97</v>
      </c>
      <c r="BW189" s="2" t="s">
        <v>876</v>
      </c>
      <c r="BX189" s="2" t="s">
        <v>906</v>
      </c>
      <c r="BY189" s="2" t="s">
        <v>112</v>
      </c>
      <c r="BZ189" s="2" t="s">
        <v>100</v>
      </c>
    </row>
    <row r="190">
      <c r="A190" s="2" t="s">
        <v>907</v>
      </c>
      <c r="B190" s="2" t="s">
        <v>87</v>
      </c>
      <c r="C190" s="2" t="s">
        <v>785</v>
      </c>
      <c r="D190" s="2" t="s">
        <v>89</v>
      </c>
      <c r="E190" s="2" t="s">
        <v>786</v>
      </c>
      <c r="F190" s="2" t="s">
        <v>840</v>
      </c>
      <c r="G190" s="2" t="s">
        <v>841</v>
      </c>
      <c r="H190" s="2" t="s">
        <v>842</v>
      </c>
      <c r="I190" s="2" t="s">
        <v>843</v>
      </c>
      <c r="J190" s="2" t="s">
        <v>120</v>
      </c>
      <c r="K190" s="2" t="s">
        <v>895</v>
      </c>
      <c r="L190" s="3">
        <v>30.95</v>
      </c>
      <c r="M190" s="3">
        <v>32.5</v>
      </c>
      <c r="N190" s="3">
        <v>54.99</v>
      </c>
      <c r="O190" s="2" t="s">
        <v>97</v>
      </c>
      <c r="P190" s="2" t="s">
        <v>483</v>
      </c>
      <c r="Q190" s="2" t="s">
        <v>99</v>
      </c>
      <c r="R190" s="2" t="s">
        <v>100</v>
      </c>
      <c r="S190" s="2" t="s">
        <v>896</v>
      </c>
      <c r="T190" s="2" t="s">
        <v>231</v>
      </c>
      <c r="U190" s="2" t="s">
        <v>432</v>
      </c>
      <c r="V190" s="2" t="s">
        <v>427</v>
      </c>
      <c r="W190" s="2" t="s">
        <v>428</v>
      </c>
      <c r="X190" s="2" t="s">
        <v>636</v>
      </c>
      <c r="Y190" s="2" t="s">
        <v>879</v>
      </c>
      <c r="Z190" s="4">
        <v>1601</v>
      </c>
      <c r="AA190" s="4">
        <f>=ROUNDDOWN(25.1729559748428,0)</f>
      </c>
      <c r="AB190" s="5">
        <v>63.6</v>
      </c>
      <c r="AC190" s="2" t="s">
        <v>116</v>
      </c>
      <c r="AD190" s="4">
        <v>471</v>
      </c>
      <c r="AE190" s="4">
        <v>471</v>
      </c>
      <c r="AF190" s="6">
        <v>63</v>
      </c>
      <c r="AG190" s="6">
        <v>46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/>
      <c r="AP190" s="4">
        <v>3</v>
      </c>
      <c r="AQ190" s="8">
        <v>105.3</v>
      </c>
      <c r="AR190" s="4"/>
      <c r="AS190" s="8"/>
      <c r="AT190" s="7"/>
      <c r="AU190" s="7"/>
      <c r="AV190" s="4" t="s">
        <v>100</v>
      </c>
      <c r="AW190" s="8" t="s">
        <v>100</v>
      </c>
      <c r="AX190" s="4" t="s">
        <v>100</v>
      </c>
      <c r="AY190" s="8" t="s">
        <v>100</v>
      </c>
      <c r="AZ190" s="7" t="s">
        <v>100</v>
      </c>
      <c r="BA190" s="7" t="s">
        <v>100</v>
      </c>
      <c r="BB190" s="7">
        <v>0.3234</v>
      </c>
      <c r="BC190" s="4" t="s">
        <v>100</v>
      </c>
      <c r="BD190" s="8" t="s">
        <v>100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 t="s">
        <v>100</v>
      </c>
      <c r="BJ190" s="4">
        <v>253</v>
      </c>
      <c r="BK190" s="8">
        <v>8689.03</v>
      </c>
      <c r="BL190" s="2" t="s">
        <v>908</v>
      </c>
      <c r="BM190" s="7">
        <v>0.0119</v>
      </c>
      <c r="BN190" s="7">
        <v>0.0121</v>
      </c>
      <c r="BO190" s="4">
        <v>3</v>
      </c>
      <c r="BP190" s="8">
        <v>105.3</v>
      </c>
      <c r="BQ190" s="4"/>
      <c r="BR190" s="8"/>
      <c r="BS190" s="7"/>
      <c r="BT190" s="7"/>
      <c r="BU190" s="2" t="s">
        <v>109</v>
      </c>
      <c r="BV190" s="2" t="s">
        <v>97</v>
      </c>
      <c r="BW190" s="2" t="s">
        <v>881</v>
      </c>
      <c r="BX190" s="2" t="s">
        <v>871</v>
      </c>
      <c r="BY190" s="2" t="s">
        <v>112</v>
      </c>
      <c r="BZ190" s="2" t="s">
        <v>100</v>
      </c>
    </row>
    <row r="191">
      <c r="A191" s="2" t="s">
        <v>909</v>
      </c>
      <c r="B191" s="2" t="s">
        <v>87</v>
      </c>
      <c r="C191" s="2" t="s">
        <v>785</v>
      </c>
      <c r="D191" s="2" t="s">
        <v>89</v>
      </c>
      <c r="E191" s="2" t="s">
        <v>786</v>
      </c>
      <c r="F191" s="2" t="s">
        <v>840</v>
      </c>
      <c r="G191" s="2" t="s">
        <v>841</v>
      </c>
      <c r="H191" s="2" t="s">
        <v>842</v>
      </c>
      <c r="I191" s="2" t="s">
        <v>843</v>
      </c>
      <c r="J191" s="2" t="s">
        <v>791</v>
      </c>
      <c r="K191" s="2" t="s">
        <v>276</v>
      </c>
      <c r="L191" s="3">
        <v>21.42</v>
      </c>
      <c r="M191" s="3">
        <v>22.49</v>
      </c>
      <c r="N191" s="3">
        <v>44.99</v>
      </c>
      <c r="O191" s="2" t="s">
        <v>97</v>
      </c>
      <c r="P191" s="2" t="s">
        <v>576</v>
      </c>
      <c r="Q191" s="2" t="s">
        <v>99</v>
      </c>
      <c r="R191" s="2" t="s">
        <v>100</v>
      </c>
      <c r="S191" s="2" t="s">
        <v>910</v>
      </c>
      <c r="T191" s="2" t="s">
        <v>231</v>
      </c>
      <c r="U191" s="2" t="s">
        <v>426</v>
      </c>
      <c r="V191" s="2" t="s">
        <v>427</v>
      </c>
      <c r="W191" s="2" t="s">
        <v>428</v>
      </c>
      <c r="X191" s="2" t="s">
        <v>636</v>
      </c>
      <c r="Y191" s="2" t="s">
        <v>794</v>
      </c>
      <c r="Z191" s="4">
        <v>595</v>
      </c>
      <c r="AA191" s="4">
        <f>=ROUNDDOWN(24.7916666666667,0)</f>
      </c>
      <c r="AB191" s="5">
        <v>24</v>
      </c>
      <c r="AC191" s="2" t="s">
        <v>184</v>
      </c>
      <c r="AD191" s="4">
        <v>240</v>
      </c>
      <c r="AE191" s="4">
        <v>240</v>
      </c>
      <c r="AF191" s="6">
        <v>63</v>
      </c>
      <c r="AG191" s="6">
        <v>46</v>
      </c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>
        <v>8</v>
      </c>
      <c r="AW191" s="8">
        <v>263.06</v>
      </c>
      <c r="AX191" s="4" t="s">
        <v>100</v>
      </c>
      <c r="AY191" s="8" t="s">
        <v>100</v>
      </c>
      <c r="AZ191" s="7" t="s">
        <v>100</v>
      </c>
      <c r="BA191" s="7" t="s">
        <v>100</v>
      </c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>
        <v>0.0644</v>
      </c>
      <c r="BJ191" s="4">
        <v>82</v>
      </c>
      <c r="BK191" s="8">
        <v>1720.01</v>
      </c>
      <c r="BL191" s="2" t="s">
        <v>911</v>
      </c>
      <c r="BM191" s="7"/>
      <c r="BN191" s="7"/>
      <c r="BO191" s="4"/>
      <c r="BP191" s="8"/>
      <c r="BQ191" s="4"/>
      <c r="BR191" s="8"/>
      <c r="BS191" s="7"/>
      <c r="BT191" s="7"/>
      <c r="BU191" s="2" t="s">
        <v>109</v>
      </c>
      <c r="BV191" s="2" t="s">
        <v>97</v>
      </c>
      <c r="BW191" s="2" t="s">
        <v>819</v>
      </c>
      <c r="BX191" s="2" t="s">
        <v>804</v>
      </c>
      <c r="BY191" s="2" t="s">
        <v>112</v>
      </c>
      <c r="BZ191" s="2" t="s">
        <v>100</v>
      </c>
    </row>
    <row r="192">
      <c r="A192" s="2" t="s">
        <v>912</v>
      </c>
      <c r="B192" s="2" t="s">
        <v>87</v>
      </c>
      <c r="C192" s="2" t="s">
        <v>785</v>
      </c>
      <c r="D192" s="2" t="s">
        <v>89</v>
      </c>
      <c r="E192" s="2" t="s">
        <v>786</v>
      </c>
      <c r="F192" s="2" t="s">
        <v>840</v>
      </c>
      <c r="G192" s="2" t="s">
        <v>841</v>
      </c>
      <c r="H192" s="2" t="s">
        <v>842</v>
      </c>
      <c r="I192" s="2" t="s">
        <v>843</v>
      </c>
      <c r="J192" s="2" t="s">
        <v>157</v>
      </c>
      <c r="K192" s="2" t="s">
        <v>276</v>
      </c>
      <c r="L192" s="3">
        <v>25.23</v>
      </c>
      <c r="M192" s="3">
        <v>26.49</v>
      </c>
      <c r="N192" s="3">
        <v>49.99</v>
      </c>
      <c r="O192" s="2" t="s">
        <v>97</v>
      </c>
      <c r="P192" s="2" t="s">
        <v>483</v>
      </c>
      <c r="Q192" s="2" t="s">
        <v>99</v>
      </c>
      <c r="R192" s="2" t="s">
        <v>100</v>
      </c>
      <c r="S192" s="2" t="s">
        <v>910</v>
      </c>
      <c r="T192" s="2" t="s">
        <v>231</v>
      </c>
      <c r="U192" s="2" t="s">
        <v>432</v>
      </c>
      <c r="V192" s="2" t="s">
        <v>427</v>
      </c>
      <c r="W192" s="2" t="s">
        <v>428</v>
      </c>
      <c r="X192" s="2" t="s">
        <v>636</v>
      </c>
      <c r="Y192" s="2" t="s">
        <v>488</v>
      </c>
      <c r="Z192" s="4">
        <v>712</v>
      </c>
      <c r="AA192" s="4">
        <f>=ROUNDDOWN(80.9090909090909,0)</f>
      </c>
      <c r="AB192" s="5">
        <v>8.8</v>
      </c>
      <c r="AC192" s="2" t="s">
        <v>642</v>
      </c>
      <c r="AD192" s="4">
        <v>300</v>
      </c>
      <c r="AE192" s="4">
        <v>600</v>
      </c>
      <c r="AF192" s="6">
        <v>63</v>
      </c>
      <c r="AG192" s="6">
        <v>46</v>
      </c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/>
      <c r="AP192" s="4">
        <v>1</v>
      </c>
      <c r="AQ192" s="8">
        <v>28.61</v>
      </c>
      <c r="AR192" s="4"/>
      <c r="AS192" s="8"/>
      <c r="AT192" s="7"/>
      <c r="AU192" s="7"/>
      <c r="AV192" s="4" t="s">
        <v>100</v>
      </c>
      <c r="AW192" s="8" t="s">
        <v>100</v>
      </c>
      <c r="AX192" s="4" t="s">
        <v>100</v>
      </c>
      <c r="AY192" s="8" t="s">
        <v>100</v>
      </c>
      <c r="AZ192" s="7" t="s">
        <v>100</v>
      </c>
      <c r="BA192" s="7" t="s">
        <v>100</v>
      </c>
      <c r="BB192" s="7">
        <v>0.1088</v>
      </c>
      <c r="BC192" s="4" t="s">
        <v>100</v>
      </c>
      <c r="BD192" s="8" t="s">
        <v>100</v>
      </c>
      <c r="BE192" s="4" t="s">
        <v>100</v>
      </c>
      <c r="BF192" s="8" t="s">
        <v>100</v>
      </c>
      <c r="BG192" s="7" t="s">
        <v>100</v>
      </c>
      <c r="BH192" s="7" t="s">
        <v>100</v>
      </c>
      <c r="BI192" s="7" t="s">
        <v>100</v>
      </c>
      <c r="BJ192" s="4">
        <v>96</v>
      </c>
      <c r="BK192" s="8">
        <v>2418.86</v>
      </c>
      <c r="BL192" s="2" t="s">
        <v>901</v>
      </c>
      <c r="BM192" s="7">
        <v>0.0104</v>
      </c>
      <c r="BN192" s="7">
        <v>0.0118</v>
      </c>
      <c r="BO192" s="4">
        <v>1</v>
      </c>
      <c r="BP192" s="8">
        <v>28.61</v>
      </c>
      <c r="BQ192" s="4"/>
      <c r="BR192" s="8"/>
      <c r="BS192" s="7"/>
      <c r="BT192" s="7"/>
      <c r="BU192" s="2" t="s">
        <v>109</v>
      </c>
      <c r="BV192" s="2" t="s">
        <v>97</v>
      </c>
      <c r="BW192" s="2" t="s">
        <v>488</v>
      </c>
      <c r="BX192" s="2" t="s">
        <v>913</v>
      </c>
      <c r="BY192" s="2" t="s">
        <v>112</v>
      </c>
      <c r="BZ192" s="2" t="s">
        <v>100</v>
      </c>
    </row>
    <row r="193">
      <c r="A193" s="2" t="s">
        <v>914</v>
      </c>
      <c r="B193" s="2" t="s">
        <v>87</v>
      </c>
      <c r="C193" s="2" t="s">
        <v>785</v>
      </c>
      <c r="D193" s="2" t="s">
        <v>89</v>
      </c>
      <c r="E193" s="2" t="s">
        <v>786</v>
      </c>
      <c r="F193" s="2" t="s">
        <v>840</v>
      </c>
      <c r="G193" s="2" t="s">
        <v>841</v>
      </c>
      <c r="H193" s="2" t="s">
        <v>842</v>
      </c>
      <c r="I193" s="2" t="s">
        <v>843</v>
      </c>
      <c r="J193" s="2" t="s">
        <v>95</v>
      </c>
      <c r="K193" s="2" t="s">
        <v>276</v>
      </c>
      <c r="L193" s="3">
        <v>26.19</v>
      </c>
      <c r="M193" s="3">
        <v>27.5</v>
      </c>
      <c r="N193" s="3">
        <v>54.99</v>
      </c>
      <c r="O193" s="2" t="s">
        <v>97</v>
      </c>
      <c r="P193" s="2" t="s">
        <v>576</v>
      </c>
      <c r="Q193" s="2" t="s">
        <v>99</v>
      </c>
      <c r="R193" s="2" t="s">
        <v>100</v>
      </c>
      <c r="S193" s="2" t="s">
        <v>910</v>
      </c>
      <c r="T193" s="2" t="s">
        <v>231</v>
      </c>
      <c r="U193" s="2" t="s">
        <v>432</v>
      </c>
      <c r="V193" s="2" t="s">
        <v>427</v>
      </c>
      <c r="W193" s="2" t="s">
        <v>428</v>
      </c>
      <c r="X193" s="2" t="s">
        <v>636</v>
      </c>
      <c r="Y193" s="2" t="s">
        <v>794</v>
      </c>
      <c r="Z193" s="4">
        <v>4514</v>
      </c>
      <c r="AA193" s="4">
        <f>=ROUNDDOWN(53.1058823529412,0)</f>
      </c>
      <c r="AB193" s="5">
        <v>85</v>
      </c>
      <c r="AC193" s="2" t="s">
        <v>851</v>
      </c>
      <c r="AD193" s="4">
        <v>360</v>
      </c>
      <c r="AE193" s="4">
        <v>360</v>
      </c>
      <c r="AF193" s="6">
        <v>63</v>
      </c>
      <c r="AG193" s="6">
        <v>46</v>
      </c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/>
      <c r="AP193" s="4">
        <v>2</v>
      </c>
      <c r="AQ193" s="8">
        <v>61.98</v>
      </c>
      <c r="AR193" s="4"/>
      <c r="AS193" s="8"/>
      <c r="AT193" s="7"/>
      <c r="AU193" s="7"/>
      <c r="AV193" s="4" t="s">
        <v>100</v>
      </c>
      <c r="AW193" s="8" t="s">
        <v>100</v>
      </c>
      <c r="AX193" s="4" t="s">
        <v>100</v>
      </c>
      <c r="AY193" s="8" t="s">
        <v>100</v>
      </c>
      <c r="AZ193" s="7" t="s">
        <v>100</v>
      </c>
      <c r="BA193" s="7" t="s">
        <v>100</v>
      </c>
      <c r="BB193" s="7">
        <v>0.2356</v>
      </c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 t="s">
        <v>100</v>
      </c>
      <c r="BJ193" s="4">
        <v>457</v>
      </c>
      <c r="BK193" s="8">
        <v>11610.09</v>
      </c>
      <c r="BL193" s="2" t="s">
        <v>915</v>
      </c>
      <c r="BM193" s="7">
        <v>0.0044</v>
      </c>
      <c r="BN193" s="7">
        <v>0.0053</v>
      </c>
      <c r="BO193" s="4">
        <v>2</v>
      </c>
      <c r="BP193" s="8">
        <v>61.98</v>
      </c>
      <c r="BQ193" s="4"/>
      <c r="BR193" s="8"/>
      <c r="BS193" s="7"/>
      <c r="BT193" s="7"/>
      <c r="BU193" s="2" t="s">
        <v>109</v>
      </c>
      <c r="BV193" s="2" t="s">
        <v>97</v>
      </c>
      <c r="BW193" s="2" t="s">
        <v>821</v>
      </c>
      <c r="BX193" s="2" t="s">
        <v>916</v>
      </c>
      <c r="BY193" s="2" t="s">
        <v>112</v>
      </c>
      <c r="BZ193" s="2" t="s">
        <v>100</v>
      </c>
    </row>
    <row r="194">
      <c r="A194" s="2" t="s">
        <v>917</v>
      </c>
      <c r="B194" s="2" t="s">
        <v>87</v>
      </c>
      <c r="C194" s="2" t="s">
        <v>785</v>
      </c>
      <c r="D194" s="2" t="s">
        <v>89</v>
      </c>
      <c r="E194" s="2" t="s">
        <v>786</v>
      </c>
      <c r="F194" s="2" t="s">
        <v>840</v>
      </c>
      <c r="G194" s="2" t="s">
        <v>841</v>
      </c>
      <c r="H194" s="2" t="s">
        <v>842</v>
      </c>
      <c r="I194" s="2" t="s">
        <v>843</v>
      </c>
      <c r="J194" s="2" t="s">
        <v>114</v>
      </c>
      <c r="K194" s="2" t="s">
        <v>276</v>
      </c>
      <c r="L194" s="3">
        <v>28.57</v>
      </c>
      <c r="M194" s="3">
        <v>30</v>
      </c>
      <c r="N194" s="3">
        <v>59.99</v>
      </c>
      <c r="O194" s="2" t="s">
        <v>97</v>
      </c>
      <c r="P194" s="2" t="s">
        <v>576</v>
      </c>
      <c r="Q194" s="2" t="s">
        <v>99</v>
      </c>
      <c r="R194" s="2" t="s">
        <v>100</v>
      </c>
      <c r="S194" s="2" t="s">
        <v>910</v>
      </c>
      <c r="T194" s="2" t="s">
        <v>231</v>
      </c>
      <c r="U194" s="2" t="s">
        <v>432</v>
      </c>
      <c r="V194" s="2" t="s">
        <v>427</v>
      </c>
      <c r="W194" s="2" t="s">
        <v>428</v>
      </c>
      <c r="X194" s="2" t="s">
        <v>636</v>
      </c>
      <c r="Y194" s="2" t="s">
        <v>819</v>
      </c>
      <c r="Z194" s="4">
        <v>5167</v>
      </c>
      <c r="AA194" s="4">
        <f>=ROUNDDOWN(67.1038961038961,0)</f>
      </c>
      <c r="AB194" s="5">
        <v>77</v>
      </c>
      <c r="AC194" s="2" t="s">
        <v>851</v>
      </c>
      <c r="AD194" s="4">
        <v>150</v>
      </c>
      <c r="AE194" s="4">
        <v>150</v>
      </c>
      <c r="AF194" s="6">
        <v>63</v>
      </c>
      <c r="AG194" s="6">
        <v>46</v>
      </c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/>
      <c r="AP194" s="4">
        <v>3</v>
      </c>
      <c r="AQ194" s="8">
        <v>102.27</v>
      </c>
      <c r="AR194" s="4"/>
      <c r="AS194" s="8"/>
      <c r="AT194" s="7"/>
      <c r="AU194" s="7"/>
      <c r="AV194" s="4" t="s">
        <v>100</v>
      </c>
      <c r="AW194" s="8" t="s">
        <v>100</v>
      </c>
      <c r="AX194" s="4" t="s">
        <v>100</v>
      </c>
      <c r="AY194" s="8" t="s">
        <v>100</v>
      </c>
      <c r="AZ194" s="7" t="s">
        <v>100</v>
      </c>
      <c r="BA194" s="7" t="s">
        <v>100</v>
      </c>
      <c r="BB194" s="7">
        <v>0.3888</v>
      </c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 t="s">
        <v>100</v>
      </c>
      <c r="BJ194" s="4">
        <v>645</v>
      </c>
      <c r="BK194" s="8">
        <v>17913.3</v>
      </c>
      <c r="BL194" s="2" t="s">
        <v>918</v>
      </c>
      <c r="BM194" s="7">
        <v>0.0047</v>
      </c>
      <c r="BN194" s="7">
        <v>0.0057</v>
      </c>
      <c r="BO194" s="4">
        <v>3</v>
      </c>
      <c r="BP194" s="8">
        <v>102.27</v>
      </c>
      <c r="BQ194" s="4"/>
      <c r="BR194" s="8"/>
      <c r="BS194" s="7"/>
      <c r="BT194" s="7"/>
      <c r="BU194" s="2" t="s">
        <v>109</v>
      </c>
      <c r="BV194" s="2" t="s">
        <v>97</v>
      </c>
      <c r="BW194" s="2" t="s">
        <v>819</v>
      </c>
      <c r="BX194" s="2" t="s">
        <v>808</v>
      </c>
      <c r="BY194" s="2" t="s">
        <v>112</v>
      </c>
      <c r="BZ194" s="2" t="s">
        <v>100</v>
      </c>
    </row>
    <row r="195">
      <c r="A195" s="2" t="s">
        <v>919</v>
      </c>
      <c r="B195" s="2" t="s">
        <v>87</v>
      </c>
      <c r="C195" s="2" t="s">
        <v>785</v>
      </c>
      <c r="D195" s="2" t="s">
        <v>89</v>
      </c>
      <c r="E195" s="2" t="s">
        <v>786</v>
      </c>
      <c r="F195" s="2" t="s">
        <v>840</v>
      </c>
      <c r="G195" s="2" t="s">
        <v>841</v>
      </c>
      <c r="H195" s="2" t="s">
        <v>842</v>
      </c>
      <c r="I195" s="2" t="s">
        <v>843</v>
      </c>
      <c r="J195" s="2" t="s">
        <v>120</v>
      </c>
      <c r="K195" s="2" t="s">
        <v>276</v>
      </c>
      <c r="L195" s="3">
        <v>30.95</v>
      </c>
      <c r="M195" s="3">
        <v>32.5</v>
      </c>
      <c r="N195" s="3">
        <v>54.99</v>
      </c>
      <c r="O195" s="2" t="s">
        <v>97</v>
      </c>
      <c r="P195" s="2" t="s">
        <v>483</v>
      </c>
      <c r="Q195" s="2" t="s">
        <v>99</v>
      </c>
      <c r="R195" s="2" t="s">
        <v>100</v>
      </c>
      <c r="S195" s="2" t="s">
        <v>910</v>
      </c>
      <c r="T195" s="2" t="s">
        <v>231</v>
      </c>
      <c r="U195" s="2" t="s">
        <v>432</v>
      </c>
      <c r="V195" s="2" t="s">
        <v>427</v>
      </c>
      <c r="W195" s="2" t="s">
        <v>428</v>
      </c>
      <c r="X195" s="2" t="s">
        <v>636</v>
      </c>
      <c r="Y195" s="2" t="s">
        <v>488</v>
      </c>
      <c r="Z195" s="4">
        <v>871</v>
      </c>
      <c r="AA195" s="4">
        <f>=ROUNDDOWN(30.3484320557491,0)</f>
      </c>
      <c r="AB195" s="5">
        <v>28.7</v>
      </c>
      <c r="AC195" s="2" t="s">
        <v>116</v>
      </c>
      <c r="AD195" s="4">
        <v>177</v>
      </c>
      <c r="AE195" s="4">
        <v>777</v>
      </c>
      <c r="AF195" s="6">
        <v>63</v>
      </c>
      <c r="AG195" s="6">
        <v>46</v>
      </c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/>
      <c r="AP195" s="4">
        <v>2</v>
      </c>
      <c r="AQ195" s="8">
        <v>70.2</v>
      </c>
      <c r="AR195" s="4"/>
      <c r="AS195" s="8"/>
      <c r="AT195" s="7"/>
      <c r="AU195" s="7"/>
      <c r="AV195" s="4" t="s">
        <v>100</v>
      </c>
      <c r="AW195" s="8" t="s">
        <v>100</v>
      </c>
      <c r="AX195" s="4" t="s">
        <v>100</v>
      </c>
      <c r="AY195" s="8" t="s">
        <v>100</v>
      </c>
      <c r="AZ195" s="7" t="s">
        <v>100</v>
      </c>
      <c r="BA195" s="7" t="s">
        <v>100</v>
      </c>
      <c r="BB195" s="7">
        <v>0.2669</v>
      </c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 t="s">
        <v>100</v>
      </c>
      <c r="BJ195" s="4">
        <v>204</v>
      </c>
      <c r="BK195" s="8">
        <v>7000.3</v>
      </c>
      <c r="BL195" s="2" t="s">
        <v>920</v>
      </c>
      <c r="BM195" s="7">
        <v>0.0098</v>
      </c>
      <c r="BN195" s="7">
        <v>0.01</v>
      </c>
      <c r="BO195" s="4">
        <v>2</v>
      </c>
      <c r="BP195" s="8">
        <v>70.2</v>
      </c>
      <c r="BQ195" s="4"/>
      <c r="BR195" s="8"/>
      <c r="BS195" s="7"/>
      <c r="BT195" s="7"/>
      <c r="BU195" s="2" t="s">
        <v>109</v>
      </c>
      <c r="BV195" s="2" t="s">
        <v>97</v>
      </c>
      <c r="BW195" s="2" t="s">
        <v>488</v>
      </c>
      <c r="BX195" s="2" t="s">
        <v>921</v>
      </c>
      <c r="BY195" s="2" t="s">
        <v>112</v>
      </c>
      <c r="BZ195" s="2" t="s">
        <v>100</v>
      </c>
    </row>
    <row r="196">
      <c r="A196" s="2" t="s">
        <v>922</v>
      </c>
      <c r="B196" s="2" t="s">
        <v>87</v>
      </c>
      <c r="C196" s="2" t="s">
        <v>785</v>
      </c>
      <c r="D196" s="2" t="s">
        <v>89</v>
      </c>
      <c r="E196" s="2" t="s">
        <v>786</v>
      </c>
      <c r="F196" s="2" t="s">
        <v>840</v>
      </c>
      <c r="G196" s="2" t="s">
        <v>841</v>
      </c>
      <c r="H196" s="2" t="s">
        <v>842</v>
      </c>
      <c r="I196" s="2" t="s">
        <v>843</v>
      </c>
      <c r="J196" s="2" t="s">
        <v>791</v>
      </c>
      <c r="K196" s="2" t="s">
        <v>923</v>
      </c>
      <c r="L196" s="3">
        <v>21.42</v>
      </c>
      <c r="M196" s="3">
        <v>22.49</v>
      </c>
      <c r="N196" s="3">
        <v>39.99</v>
      </c>
      <c r="O196" s="2" t="s">
        <v>97</v>
      </c>
      <c r="P196" s="2" t="s">
        <v>483</v>
      </c>
      <c r="Q196" s="2" t="s">
        <v>99</v>
      </c>
      <c r="R196" s="2" t="s">
        <v>100</v>
      </c>
      <c r="S196" s="2" t="s">
        <v>924</v>
      </c>
      <c r="T196" s="2" t="s">
        <v>231</v>
      </c>
      <c r="U196" s="2" t="s">
        <v>426</v>
      </c>
      <c r="V196" s="2" t="s">
        <v>427</v>
      </c>
      <c r="W196" s="2" t="s">
        <v>428</v>
      </c>
      <c r="X196" s="2" t="s">
        <v>636</v>
      </c>
      <c r="Y196" s="2" t="s">
        <v>925</v>
      </c>
      <c r="Z196" s="4">
        <v>139</v>
      </c>
      <c r="AA196" s="4">
        <f>=ROUNDDOWN(6.37614678899083,0)</f>
      </c>
      <c r="AB196" s="5">
        <v>21.8</v>
      </c>
      <c r="AC196" s="2" t="s">
        <v>184</v>
      </c>
      <c r="AD196" s="4">
        <v>60</v>
      </c>
      <c r="AE196" s="4">
        <v>330</v>
      </c>
      <c r="AF196" s="6">
        <v>63</v>
      </c>
      <c r="AG196" s="6">
        <v>46</v>
      </c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8</v>
      </c>
      <c r="AW196" s="8">
        <v>259.2</v>
      </c>
      <c r="AX196" s="4" t="s">
        <v>100</v>
      </c>
      <c r="AY196" s="8" t="s">
        <v>100</v>
      </c>
      <c r="AZ196" s="7" t="s">
        <v>100</v>
      </c>
      <c r="BA196" s="7" t="s">
        <v>100</v>
      </c>
      <c r="BB196" s="7"/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>
        <v>0.0635</v>
      </c>
      <c r="BJ196" s="4">
        <v>81</v>
      </c>
      <c r="BK196" s="8">
        <v>1742.91</v>
      </c>
      <c r="BL196" s="2" t="s">
        <v>926</v>
      </c>
      <c r="BM196" s="7"/>
      <c r="BN196" s="7"/>
      <c r="BO196" s="4"/>
      <c r="BP196" s="8"/>
      <c r="BQ196" s="4"/>
      <c r="BR196" s="8"/>
      <c r="BS196" s="7"/>
      <c r="BT196" s="7"/>
      <c r="BU196" s="2" t="s">
        <v>109</v>
      </c>
      <c r="BV196" s="2" t="s">
        <v>97</v>
      </c>
      <c r="BW196" s="2" t="s">
        <v>927</v>
      </c>
      <c r="BX196" s="2" t="s">
        <v>487</v>
      </c>
      <c r="BY196" s="2" t="s">
        <v>112</v>
      </c>
      <c r="BZ196" s="2" t="s">
        <v>100</v>
      </c>
    </row>
    <row r="197">
      <c r="A197" s="2" t="s">
        <v>928</v>
      </c>
      <c r="B197" s="2" t="s">
        <v>87</v>
      </c>
      <c r="C197" s="2" t="s">
        <v>785</v>
      </c>
      <c r="D197" s="2" t="s">
        <v>89</v>
      </c>
      <c r="E197" s="2" t="s">
        <v>786</v>
      </c>
      <c r="F197" s="2" t="s">
        <v>840</v>
      </c>
      <c r="G197" s="2" t="s">
        <v>841</v>
      </c>
      <c r="H197" s="2" t="s">
        <v>842</v>
      </c>
      <c r="I197" s="2" t="s">
        <v>843</v>
      </c>
      <c r="J197" s="2" t="s">
        <v>157</v>
      </c>
      <c r="K197" s="2" t="s">
        <v>923</v>
      </c>
      <c r="L197" s="3">
        <v>25.23</v>
      </c>
      <c r="M197" s="3">
        <v>26.49</v>
      </c>
      <c r="N197" s="3">
        <v>49.99</v>
      </c>
      <c r="O197" s="2" t="s">
        <v>97</v>
      </c>
      <c r="P197" s="2" t="s">
        <v>483</v>
      </c>
      <c r="Q197" s="2" t="s">
        <v>99</v>
      </c>
      <c r="R197" s="2" t="s">
        <v>100</v>
      </c>
      <c r="S197" s="2" t="s">
        <v>924</v>
      </c>
      <c r="T197" s="2" t="s">
        <v>231</v>
      </c>
      <c r="U197" s="2" t="s">
        <v>432</v>
      </c>
      <c r="V197" s="2" t="s">
        <v>427</v>
      </c>
      <c r="W197" s="2" t="s">
        <v>428</v>
      </c>
      <c r="X197" s="2" t="s">
        <v>636</v>
      </c>
      <c r="Y197" s="2" t="s">
        <v>929</v>
      </c>
      <c r="Z197" s="4">
        <v>493</v>
      </c>
      <c r="AA197" s="4">
        <f>=ROUNDDOWN(21.528384279476,0)</f>
      </c>
      <c r="AB197" s="5">
        <v>22.9</v>
      </c>
      <c r="AC197" s="2" t="s">
        <v>436</v>
      </c>
      <c r="AD197" s="4">
        <v>138</v>
      </c>
      <c r="AE197" s="4">
        <v>318</v>
      </c>
      <c r="AF197" s="6">
        <v>63</v>
      </c>
      <c r="AG197" s="6">
        <v>46</v>
      </c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100</v>
      </c>
      <c r="AW197" s="8" t="s">
        <v>100</v>
      </c>
      <c r="AX197" s="4" t="s">
        <v>100</v>
      </c>
      <c r="AY197" s="8" t="s">
        <v>100</v>
      </c>
      <c r="AZ197" s="7" t="s">
        <v>100</v>
      </c>
      <c r="BA197" s="7" t="s">
        <v>100</v>
      </c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 t="s">
        <v>100</v>
      </c>
      <c r="BJ197" s="4">
        <v>94</v>
      </c>
      <c r="BK197" s="8">
        <v>2324.54</v>
      </c>
      <c r="BL197" s="2" t="s">
        <v>930</v>
      </c>
      <c r="BM197" s="7"/>
      <c r="BN197" s="7"/>
      <c r="BO197" s="4"/>
      <c r="BP197" s="8"/>
      <c r="BQ197" s="4"/>
      <c r="BR197" s="8"/>
      <c r="BS197" s="7"/>
      <c r="BT197" s="7"/>
      <c r="BU197" s="2" t="s">
        <v>109</v>
      </c>
      <c r="BV197" s="2" t="s">
        <v>97</v>
      </c>
      <c r="BW197" s="2" t="s">
        <v>879</v>
      </c>
      <c r="BX197" s="2" t="s">
        <v>100</v>
      </c>
      <c r="BY197" s="2" t="s">
        <v>112</v>
      </c>
      <c r="BZ197" s="2" t="s">
        <v>100</v>
      </c>
    </row>
    <row r="198">
      <c r="A198" s="2" t="s">
        <v>931</v>
      </c>
      <c r="B198" s="2" t="s">
        <v>87</v>
      </c>
      <c r="C198" s="2" t="s">
        <v>785</v>
      </c>
      <c r="D198" s="2" t="s">
        <v>89</v>
      </c>
      <c r="E198" s="2" t="s">
        <v>786</v>
      </c>
      <c r="F198" s="2" t="s">
        <v>840</v>
      </c>
      <c r="G198" s="2" t="s">
        <v>841</v>
      </c>
      <c r="H198" s="2" t="s">
        <v>842</v>
      </c>
      <c r="I198" s="2" t="s">
        <v>843</v>
      </c>
      <c r="J198" s="2" t="s">
        <v>95</v>
      </c>
      <c r="K198" s="2" t="s">
        <v>923</v>
      </c>
      <c r="L198" s="3">
        <v>26.19</v>
      </c>
      <c r="M198" s="3">
        <v>27.5</v>
      </c>
      <c r="N198" s="3">
        <v>49.99</v>
      </c>
      <c r="O198" s="2" t="s">
        <v>97</v>
      </c>
      <c r="P198" s="2" t="s">
        <v>483</v>
      </c>
      <c r="Q198" s="2" t="s">
        <v>99</v>
      </c>
      <c r="R198" s="2" t="s">
        <v>100</v>
      </c>
      <c r="S198" s="2" t="s">
        <v>924</v>
      </c>
      <c r="T198" s="2" t="s">
        <v>231</v>
      </c>
      <c r="U198" s="2" t="s">
        <v>432</v>
      </c>
      <c r="V198" s="2" t="s">
        <v>427</v>
      </c>
      <c r="W198" s="2" t="s">
        <v>428</v>
      </c>
      <c r="X198" s="2" t="s">
        <v>636</v>
      </c>
      <c r="Y198" s="2" t="s">
        <v>925</v>
      </c>
      <c r="Z198" s="4">
        <v>130</v>
      </c>
      <c r="AA198" s="4">
        <f>=ROUNDDOWN(0.984102952308857,0)</f>
      </c>
      <c r="AB198" s="5">
        <v>132.1</v>
      </c>
      <c r="AC198" s="2" t="s">
        <v>184</v>
      </c>
      <c r="AD198" s="4">
        <v>243</v>
      </c>
      <c r="AE198" s="4">
        <v>1713</v>
      </c>
      <c r="AF198" s="6">
        <v>63</v>
      </c>
      <c r="AG198" s="6">
        <v>46</v>
      </c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/>
      <c r="AP198" s="4">
        <v>3</v>
      </c>
      <c r="AQ198" s="8">
        <v>89.1</v>
      </c>
      <c r="AR198" s="4"/>
      <c r="AS198" s="8"/>
      <c r="AT198" s="7"/>
      <c r="AU198" s="7"/>
      <c r="AV198" s="4" t="s">
        <v>100</v>
      </c>
      <c r="AW198" s="8" t="s">
        <v>100</v>
      </c>
      <c r="AX198" s="4" t="s">
        <v>100</v>
      </c>
      <c r="AY198" s="8" t="s">
        <v>100</v>
      </c>
      <c r="AZ198" s="7" t="s">
        <v>100</v>
      </c>
      <c r="BA198" s="7" t="s">
        <v>100</v>
      </c>
      <c r="BB198" s="7">
        <v>0.3438</v>
      </c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 t="s">
        <v>100</v>
      </c>
      <c r="BJ198" s="4">
        <v>561</v>
      </c>
      <c r="BK198" s="8">
        <v>15339.23</v>
      </c>
      <c r="BL198" s="2" t="s">
        <v>932</v>
      </c>
      <c r="BM198" s="7">
        <v>0.0053</v>
      </c>
      <c r="BN198" s="7">
        <v>0.0058</v>
      </c>
      <c r="BO198" s="4">
        <v>3</v>
      </c>
      <c r="BP198" s="8">
        <v>89.1</v>
      </c>
      <c r="BQ198" s="4"/>
      <c r="BR198" s="8"/>
      <c r="BS198" s="7"/>
      <c r="BT198" s="7"/>
      <c r="BU198" s="2" t="s">
        <v>109</v>
      </c>
      <c r="BV198" s="2" t="s">
        <v>97</v>
      </c>
      <c r="BW198" s="2" t="s">
        <v>927</v>
      </c>
      <c r="BX198" s="2" t="s">
        <v>893</v>
      </c>
      <c r="BY198" s="2" t="s">
        <v>112</v>
      </c>
      <c r="BZ198" s="2" t="s">
        <v>100</v>
      </c>
    </row>
    <row r="199">
      <c r="A199" s="2" t="s">
        <v>933</v>
      </c>
      <c r="B199" s="2" t="s">
        <v>87</v>
      </c>
      <c r="C199" s="2" t="s">
        <v>785</v>
      </c>
      <c r="D199" s="2" t="s">
        <v>89</v>
      </c>
      <c r="E199" s="2" t="s">
        <v>786</v>
      </c>
      <c r="F199" s="2" t="s">
        <v>840</v>
      </c>
      <c r="G199" s="2" t="s">
        <v>841</v>
      </c>
      <c r="H199" s="2" t="s">
        <v>842</v>
      </c>
      <c r="I199" s="2" t="s">
        <v>843</v>
      </c>
      <c r="J199" s="2" t="s">
        <v>114</v>
      </c>
      <c r="K199" s="2" t="s">
        <v>923</v>
      </c>
      <c r="L199" s="3">
        <v>28.57</v>
      </c>
      <c r="M199" s="3">
        <v>30</v>
      </c>
      <c r="N199" s="3">
        <v>54.99</v>
      </c>
      <c r="O199" s="2" t="s">
        <v>97</v>
      </c>
      <c r="P199" s="2" t="s">
        <v>483</v>
      </c>
      <c r="Q199" s="2" t="s">
        <v>99</v>
      </c>
      <c r="R199" s="2" t="s">
        <v>100</v>
      </c>
      <c r="S199" s="2" t="s">
        <v>924</v>
      </c>
      <c r="T199" s="2" t="s">
        <v>231</v>
      </c>
      <c r="U199" s="2" t="s">
        <v>432</v>
      </c>
      <c r="V199" s="2" t="s">
        <v>427</v>
      </c>
      <c r="W199" s="2" t="s">
        <v>428</v>
      </c>
      <c r="X199" s="2" t="s">
        <v>636</v>
      </c>
      <c r="Y199" s="2" t="s">
        <v>925</v>
      </c>
      <c r="Z199" s="4">
        <v>718</v>
      </c>
      <c r="AA199" s="4">
        <f>=ROUNDDOWN(5.84690553745928,0)</f>
      </c>
      <c r="AB199" s="5">
        <v>122.8</v>
      </c>
      <c r="AC199" s="2" t="s">
        <v>184</v>
      </c>
      <c r="AD199" s="4">
        <v>168</v>
      </c>
      <c r="AE199" s="4">
        <v>1068</v>
      </c>
      <c r="AF199" s="6">
        <v>63</v>
      </c>
      <c r="AG199" s="6">
        <v>46</v>
      </c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/>
      <c r="AP199" s="4">
        <v>2</v>
      </c>
      <c r="AQ199" s="8">
        <v>64.8</v>
      </c>
      <c r="AR199" s="4"/>
      <c r="AS199" s="8"/>
      <c r="AT199" s="7"/>
      <c r="AU199" s="7"/>
      <c r="AV199" s="4" t="s">
        <v>100</v>
      </c>
      <c r="AW199" s="8" t="s">
        <v>100</v>
      </c>
      <c r="AX199" s="4" t="s">
        <v>100</v>
      </c>
      <c r="AY199" s="8" t="s">
        <v>100</v>
      </c>
      <c r="AZ199" s="7" t="s">
        <v>100</v>
      </c>
      <c r="BA199" s="7" t="s">
        <v>100</v>
      </c>
      <c r="BB199" s="7">
        <v>0.25</v>
      </c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 t="s">
        <v>100</v>
      </c>
      <c r="BJ199" s="4">
        <v>503</v>
      </c>
      <c r="BK199" s="8">
        <v>15919.55</v>
      </c>
      <c r="BL199" s="2" t="s">
        <v>932</v>
      </c>
      <c r="BM199" s="7">
        <v>0.004</v>
      </c>
      <c r="BN199" s="7">
        <v>0.0041</v>
      </c>
      <c r="BO199" s="4">
        <v>2</v>
      </c>
      <c r="BP199" s="8">
        <v>64.8</v>
      </c>
      <c r="BQ199" s="4"/>
      <c r="BR199" s="8"/>
      <c r="BS199" s="7"/>
      <c r="BT199" s="7"/>
      <c r="BU199" s="2" t="s">
        <v>109</v>
      </c>
      <c r="BV199" s="2" t="s">
        <v>97</v>
      </c>
      <c r="BW199" s="2" t="s">
        <v>927</v>
      </c>
      <c r="BX199" s="2" t="s">
        <v>487</v>
      </c>
      <c r="BY199" s="2" t="s">
        <v>112</v>
      </c>
      <c r="BZ199" s="2" t="s">
        <v>100</v>
      </c>
    </row>
    <row r="200">
      <c r="A200" s="2" t="s">
        <v>934</v>
      </c>
      <c r="B200" s="2" t="s">
        <v>87</v>
      </c>
      <c r="C200" s="2" t="s">
        <v>785</v>
      </c>
      <c r="D200" s="2" t="s">
        <v>89</v>
      </c>
      <c r="E200" s="2" t="s">
        <v>786</v>
      </c>
      <c r="F200" s="2" t="s">
        <v>840</v>
      </c>
      <c r="G200" s="2" t="s">
        <v>841</v>
      </c>
      <c r="H200" s="2" t="s">
        <v>842</v>
      </c>
      <c r="I200" s="2" t="s">
        <v>843</v>
      </c>
      <c r="J200" s="2" t="s">
        <v>120</v>
      </c>
      <c r="K200" s="2" t="s">
        <v>923</v>
      </c>
      <c r="L200" s="3">
        <v>30.95</v>
      </c>
      <c r="M200" s="3">
        <v>32.5</v>
      </c>
      <c r="N200" s="3">
        <v>54.99</v>
      </c>
      <c r="O200" s="2" t="s">
        <v>97</v>
      </c>
      <c r="P200" s="2" t="s">
        <v>483</v>
      </c>
      <c r="Q200" s="2" t="s">
        <v>99</v>
      </c>
      <c r="R200" s="2" t="s">
        <v>100</v>
      </c>
      <c r="S200" s="2" t="s">
        <v>924</v>
      </c>
      <c r="T200" s="2" t="s">
        <v>231</v>
      </c>
      <c r="U200" s="2" t="s">
        <v>432</v>
      </c>
      <c r="V200" s="2" t="s">
        <v>427</v>
      </c>
      <c r="W200" s="2" t="s">
        <v>428</v>
      </c>
      <c r="X200" s="2" t="s">
        <v>636</v>
      </c>
      <c r="Y200" s="2" t="s">
        <v>935</v>
      </c>
      <c r="Z200" s="4">
        <v>827</v>
      </c>
      <c r="AA200" s="4">
        <f>=ROUNDDOWN(18.215859030837,0)</f>
      </c>
      <c r="AB200" s="5">
        <v>45.4</v>
      </c>
      <c r="AC200" s="2" t="s">
        <v>642</v>
      </c>
      <c r="AD200" s="4">
        <v>300</v>
      </c>
      <c r="AE200" s="4">
        <v>600</v>
      </c>
      <c r="AF200" s="6">
        <v>63</v>
      </c>
      <c r="AG200" s="6">
        <v>46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/>
      <c r="AP200" s="4">
        <v>3</v>
      </c>
      <c r="AQ200" s="8">
        <v>105.3</v>
      </c>
      <c r="AR200" s="4"/>
      <c r="AS200" s="8"/>
      <c r="AT200" s="7"/>
      <c r="AU200" s="7"/>
      <c r="AV200" s="4" t="s">
        <v>100</v>
      </c>
      <c r="AW200" s="8" t="s">
        <v>100</v>
      </c>
      <c r="AX200" s="4" t="s">
        <v>100</v>
      </c>
      <c r="AY200" s="8" t="s">
        <v>100</v>
      </c>
      <c r="AZ200" s="7" t="s">
        <v>100</v>
      </c>
      <c r="BA200" s="7" t="s">
        <v>100</v>
      </c>
      <c r="BB200" s="7">
        <v>0.4062</v>
      </c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 t="s">
        <v>100</v>
      </c>
      <c r="BJ200" s="4">
        <v>142</v>
      </c>
      <c r="BK200" s="8">
        <v>4892.04</v>
      </c>
      <c r="BL200" s="2" t="s">
        <v>936</v>
      </c>
      <c r="BM200" s="7">
        <v>0.0211</v>
      </c>
      <c r="BN200" s="7">
        <v>0.0215</v>
      </c>
      <c r="BO200" s="4">
        <v>3</v>
      </c>
      <c r="BP200" s="8">
        <v>105.3</v>
      </c>
      <c r="BQ200" s="4"/>
      <c r="BR200" s="8"/>
      <c r="BS200" s="7"/>
      <c r="BT200" s="7"/>
      <c r="BU200" s="2" t="s">
        <v>109</v>
      </c>
      <c r="BV200" s="2" t="s">
        <v>97</v>
      </c>
      <c r="BW200" s="2" t="s">
        <v>929</v>
      </c>
      <c r="BX200" s="2" t="s">
        <v>937</v>
      </c>
      <c r="BY200" s="2" t="s">
        <v>112</v>
      </c>
      <c r="BZ200" s="2" t="s">
        <v>100</v>
      </c>
    </row>
    <row r="201">
      <c r="A201" s="2" t="s">
        <v>938</v>
      </c>
      <c r="B201" s="2" t="s">
        <v>87</v>
      </c>
      <c r="C201" s="2" t="s">
        <v>785</v>
      </c>
      <c r="D201" s="2" t="s">
        <v>89</v>
      </c>
      <c r="E201" s="2" t="s">
        <v>786</v>
      </c>
      <c r="F201" s="2" t="s">
        <v>840</v>
      </c>
      <c r="G201" s="2" t="s">
        <v>841</v>
      </c>
      <c r="H201" s="2" t="s">
        <v>842</v>
      </c>
      <c r="I201" s="2" t="s">
        <v>843</v>
      </c>
      <c r="J201" s="2" t="s">
        <v>791</v>
      </c>
      <c r="K201" s="2" t="s">
        <v>140</v>
      </c>
      <c r="L201" s="3">
        <v>21.42</v>
      </c>
      <c r="M201" s="3">
        <v>22.49</v>
      </c>
      <c r="N201" s="3">
        <v>39.99</v>
      </c>
      <c r="O201" s="2" t="s">
        <v>97</v>
      </c>
      <c r="P201" s="2" t="s">
        <v>483</v>
      </c>
      <c r="Q201" s="2" t="s">
        <v>99</v>
      </c>
      <c r="R201" s="2" t="s">
        <v>100</v>
      </c>
      <c r="S201" s="2" t="s">
        <v>939</v>
      </c>
      <c r="T201" s="2" t="s">
        <v>231</v>
      </c>
      <c r="U201" s="2" t="s">
        <v>426</v>
      </c>
      <c r="V201" s="2" t="s">
        <v>427</v>
      </c>
      <c r="W201" s="2" t="s">
        <v>428</v>
      </c>
      <c r="X201" s="2" t="s">
        <v>636</v>
      </c>
      <c r="Y201" s="2" t="s">
        <v>940</v>
      </c>
      <c r="Z201" s="4">
        <v>167</v>
      </c>
      <c r="AA201" s="4">
        <f>=ROUNDDOWN(6.49805447470817,0)</f>
      </c>
      <c r="AB201" s="5">
        <v>25.7</v>
      </c>
      <c r="AC201" s="2" t="s">
        <v>184</v>
      </c>
      <c r="AD201" s="4">
        <v>54</v>
      </c>
      <c r="AE201" s="4">
        <v>294</v>
      </c>
      <c r="AF201" s="6">
        <v>63</v>
      </c>
      <c r="AG201" s="6">
        <v>46</v>
      </c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>
        <v>8</v>
      </c>
      <c r="AW201" s="8">
        <v>248.4</v>
      </c>
      <c r="AX201" s="4" t="s">
        <v>100</v>
      </c>
      <c r="AY201" s="8" t="s">
        <v>100</v>
      </c>
      <c r="AZ201" s="7" t="s">
        <v>100</v>
      </c>
      <c r="BA201" s="7" t="s">
        <v>100</v>
      </c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>
        <v>0.0609</v>
      </c>
      <c r="BJ201" s="4">
        <v>95</v>
      </c>
      <c r="BK201" s="8">
        <v>2001.83</v>
      </c>
      <c r="BL201" s="2" t="s">
        <v>941</v>
      </c>
      <c r="BM201" s="7"/>
      <c r="BN201" s="7"/>
      <c r="BO201" s="4"/>
      <c r="BP201" s="8"/>
      <c r="BQ201" s="4"/>
      <c r="BR201" s="8"/>
      <c r="BS201" s="7"/>
      <c r="BT201" s="7"/>
      <c r="BU201" s="2" t="s">
        <v>109</v>
      </c>
      <c r="BV201" s="2" t="s">
        <v>97</v>
      </c>
      <c r="BW201" s="2" t="s">
        <v>927</v>
      </c>
      <c r="BX201" s="2" t="s">
        <v>942</v>
      </c>
      <c r="BY201" s="2" t="s">
        <v>112</v>
      </c>
      <c r="BZ201" s="2" t="s">
        <v>100</v>
      </c>
    </row>
    <row r="202">
      <c r="A202" s="2" t="s">
        <v>943</v>
      </c>
      <c r="B202" s="2" t="s">
        <v>87</v>
      </c>
      <c r="C202" s="2" t="s">
        <v>785</v>
      </c>
      <c r="D202" s="2" t="s">
        <v>89</v>
      </c>
      <c r="E202" s="2" t="s">
        <v>786</v>
      </c>
      <c r="F202" s="2" t="s">
        <v>840</v>
      </c>
      <c r="G202" s="2" t="s">
        <v>841</v>
      </c>
      <c r="H202" s="2" t="s">
        <v>842</v>
      </c>
      <c r="I202" s="2" t="s">
        <v>843</v>
      </c>
      <c r="J202" s="2" t="s">
        <v>157</v>
      </c>
      <c r="K202" s="2" t="s">
        <v>140</v>
      </c>
      <c r="L202" s="3">
        <v>25.23</v>
      </c>
      <c r="M202" s="3">
        <v>26.49</v>
      </c>
      <c r="N202" s="3">
        <v>49.99</v>
      </c>
      <c r="O202" s="2" t="s">
        <v>97</v>
      </c>
      <c r="P202" s="2" t="s">
        <v>483</v>
      </c>
      <c r="Q202" s="2" t="s">
        <v>99</v>
      </c>
      <c r="R202" s="2" t="s">
        <v>100</v>
      </c>
      <c r="S202" s="2" t="s">
        <v>939</v>
      </c>
      <c r="T202" s="2" t="s">
        <v>231</v>
      </c>
      <c r="U202" s="2" t="s">
        <v>432</v>
      </c>
      <c r="V202" s="2" t="s">
        <v>427</v>
      </c>
      <c r="W202" s="2" t="s">
        <v>428</v>
      </c>
      <c r="X202" s="2" t="s">
        <v>636</v>
      </c>
      <c r="Y202" s="2" t="s">
        <v>929</v>
      </c>
      <c r="Z202" s="4">
        <v>535</v>
      </c>
      <c r="AA202" s="4">
        <f>=ROUNDDOWN(28.7634408602151,0)</f>
      </c>
      <c r="AB202" s="5">
        <v>18.6</v>
      </c>
      <c r="AC202" s="2" t="s">
        <v>436</v>
      </c>
      <c r="AD202" s="4">
        <v>138</v>
      </c>
      <c r="AE202" s="4">
        <v>138</v>
      </c>
      <c r="AF202" s="6">
        <v>63</v>
      </c>
      <c r="AG202" s="6">
        <v>46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100</v>
      </c>
      <c r="AW202" s="8" t="s">
        <v>100</v>
      </c>
      <c r="AX202" s="4" t="s">
        <v>100</v>
      </c>
      <c r="AY202" s="8" t="s">
        <v>100</v>
      </c>
      <c r="AZ202" s="7" t="s">
        <v>100</v>
      </c>
      <c r="BA202" s="7" t="s">
        <v>100</v>
      </c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 t="s">
        <v>100</v>
      </c>
      <c r="BJ202" s="4">
        <v>72</v>
      </c>
      <c r="BK202" s="8">
        <v>1815.68</v>
      </c>
      <c r="BL202" s="2" t="s">
        <v>944</v>
      </c>
      <c r="BM202" s="7"/>
      <c r="BN202" s="7"/>
      <c r="BO202" s="4"/>
      <c r="BP202" s="8"/>
      <c r="BQ202" s="4"/>
      <c r="BR202" s="8"/>
      <c r="BS202" s="7"/>
      <c r="BT202" s="7"/>
      <c r="BU202" s="2" t="s">
        <v>109</v>
      </c>
      <c r="BV202" s="2" t="s">
        <v>97</v>
      </c>
      <c r="BW202" s="2" t="s">
        <v>879</v>
      </c>
      <c r="BX202" s="2" t="s">
        <v>100</v>
      </c>
      <c r="BY202" s="2" t="s">
        <v>112</v>
      </c>
      <c r="BZ202" s="2" t="s">
        <v>100</v>
      </c>
    </row>
    <row r="203">
      <c r="A203" s="2" t="s">
        <v>945</v>
      </c>
      <c r="B203" s="2" t="s">
        <v>87</v>
      </c>
      <c r="C203" s="2" t="s">
        <v>785</v>
      </c>
      <c r="D203" s="2" t="s">
        <v>89</v>
      </c>
      <c r="E203" s="2" t="s">
        <v>786</v>
      </c>
      <c r="F203" s="2" t="s">
        <v>840</v>
      </c>
      <c r="G203" s="2" t="s">
        <v>841</v>
      </c>
      <c r="H203" s="2" t="s">
        <v>842</v>
      </c>
      <c r="I203" s="2" t="s">
        <v>843</v>
      </c>
      <c r="J203" s="2" t="s">
        <v>95</v>
      </c>
      <c r="K203" s="2" t="s">
        <v>140</v>
      </c>
      <c r="L203" s="3">
        <v>26.19</v>
      </c>
      <c r="M203" s="3">
        <v>27.5</v>
      </c>
      <c r="N203" s="3">
        <v>49.99</v>
      </c>
      <c r="O203" s="2" t="s">
        <v>97</v>
      </c>
      <c r="P203" s="2" t="s">
        <v>483</v>
      </c>
      <c r="Q203" s="2" t="s">
        <v>99</v>
      </c>
      <c r="R203" s="2" t="s">
        <v>100</v>
      </c>
      <c r="S203" s="2" t="s">
        <v>939</v>
      </c>
      <c r="T203" s="2" t="s">
        <v>231</v>
      </c>
      <c r="U203" s="2" t="s">
        <v>432</v>
      </c>
      <c r="V203" s="2" t="s">
        <v>427</v>
      </c>
      <c r="W203" s="2" t="s">
        <v>428</v>
      </c>
      <c r="X203" s="2" t="s">
        <v>636</v>
      </c>
      <c r="Y203" s="2" t="s">
        <v>940</v>
      </c>
      <c r="Z203" s="4">
        <v>522</v>
      </c>
      <c r="AA203" s="4">
        <f>=ROUNDDOWN(6.71814671814672,0)</f>
      </c>
      <c r="AB203" s="5">
        <v>77.7</v>
      </c>
      <c r="AC203" s="2" t="s">
        <v>184</v>
      </c>
      <c r="AD203" s="4">
        <v>135</v>
      </c>
      <c r="AE203" s="4">
        <v>915</v>
      </c>
      <c r="AF203" s="6">
        <v>63</v>
      </c>
      <c r="AG203" s="6">
        <v>46</v>
      </c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/>
      <c r="AP203" s="4">
        <v>5</v>
      </c>
      <c r="AQ203" s="8">
        <v>148.5</v>
      </c>
      <c r="AR203" s="4"/>
      <c r="AS203" s="8"/>
      <c r="AT203" s="7"/>
      <c r="AU203" s="7"/>
      <c r="AV203" s="4" t="s">
        <v>100</v>
      </c>
      <c r="AW203" s="8" t="s">
        <v>100</v>
      </c>
      <c r="AX203" s="4" t="s">
        <v>100</v>
      </c>
      <c r="AY203" s="8" t="s">
        <v>100</v>
      </c>
      <c r="AZ203" s="7" t="s">
        <v>100</v>
      </c>
      <c r="BA203" s="7" t="s">
        <v>100</v>
      </c>
      <c r="BB203" s="7">
        <v>0.5978</v>
      </c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 t="s">
        <v>100</v>
      </c>
      <c r="BJ203" s="4">
        <v>322</v>
      </c>
      <c r="BK203" s="8">
        <v>8646.93</v>
      </c>
      <c r="BL203" s="2" t="s">
        <v>946</v>
      </c>
      <c r="BM203" s="7">
        <v>0.0155</v>
      </c>
      <c r="BN203" s="7">
        <v>0.0172</v>
      </c>
      <c r="BO203" s="4">
        <v>5</v>
      </c>
      <c r="BP203" s="8">
        <v>148.5</v>
      </c>
      <c r="BQ203" s="4"/>
      <c r="BR203" s="8"/>
      <c r="BS203" s="7"/>
      <c r="BT203" s="7"/>
      <c r="BU203" s="2" t="s">
        <v>109</v>
      </c>
      <c r="BV203" s="2" t="s">
        <v>97</v>
      </c>
      <c r="BW203" s="2" t="s">
        <v>927</v>
      </c>
      <c r="BX203" s="2" t="s">
        <v>849</v>
      </c>
      <c r="BY203" s="2" t="s">
        <v>112</v>
      </c>
      <c r="BZ203" s="2" t="s">
        <v>100</v>
      </c>
    </row>
    <row r="204">
      <c r="A204" s="2" t="s">
        <v>947</v>
      </c>
      <c r="B204" s="2" t="s">
        <v>87</v>
      </c>
      <c r="C204" s="2" t="s">
        <v>785</v>
      </c>
      <c r="D204" s="2" t="s">
        <v>89</v>
      </c>
      <c r="E204" s="2" t="s">
        <v>786</v>
      </c>
      <c r="F204" s="2" t="s">
        <v>840</v>
      </c>
      <c r="G204" s="2" t="s">
        <v>841</v>
      </c>
      <c r="H204" s="2" t="s">
        <v>842</v>
      </c>
      <c r="I204" s="2" t="s">
        <v>843</v>
      </c>
      <c r="J204" s="2" t="s">
        <v>114</v>
      </c>
      <c r="K204" s="2" t="s">
        <v>140</v>
      </c>
      <c r="L204" s="3">
        <v>28.57</v>
      </c>
      <c r="M204" s="3">
        <v>30</v>
      </c>
      <c r="N204" s="3">
        <v>54.99</v>
      </c>
      <c r="O204" s="2" t="s">
        <v>97</v>
      </c>
      <c r="P204" s="2" t="s">
        <v>483</v>
      </c>
      <c r="Q204" s="2" t="s">
        <v>99</v>
      </c>
      <c r="R204" s="2" t="s">
        <v>100</v>
      </c>
      <c r="S204" s="2" t="s">
        <v>939</v>
      </c>
      <c r="T204" s="2" t="s">
        <v>231</v>
      </c>
      <c r="U204" s="2" t="s">
        <v>432</v>
      </c>
      <c r="V204" s="2" t="s">
        <v>427</v>
      </c>
      <c r="W204" s="2" t="s">
        <v>428</v>
      </c>
      <c r="X204" s="2" t="s">
        <v>636</v>
      </c>
      <c r="Y204" s="2" t="s">
        <v>940</v>
      </c>
      <c r="Z204" s="4">
        <v>1127</v>
      </c>
      <c r="AA204" s="4">
        <f>=ROUNDDOWN(16.795827123696,0)</f>
      </c>
      <c r="AB204" s="5">
        <v>67.1</v>
      </c>
      <c r="AC204" s="2" t="s">
        <v>948</v>
      </c>
      <c r="AD204" s="4">
        <v>324</v>
      </c>
      <c r="AE204" s="4">
        <v>384</v>
      </c>
      <c r="AF204" s="6">
        <v>63</v>
      </c>
      <c r="AG204" s="6">
        <v>46</v>
      </c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/>
      <c r="AP204" s="4">
        <v>2</v>
      </c>
      <c r="AQ204" s="8">
        <v>64.8</v>
      </c>
      <c r="AR204" s="4"/>
      <c r="AS204" s="8"/>
      <c r="AT204" s="7"/>
      <c r="AU204" s="7"/>
      <c r="AV204" s="4" t="s">
        <v>100</v>
      </c>
      <c r="AW204" s="8" t="s">
        <v>100</v>
      </c>
      <c r="AX204" s="4" t="s">
        <v>100</v>
      </c>
      <c r="AY204" s="8" t="s">
        <v>100</v>
      </c>
      <c r="AZ204" s="7" t="s">
        <v>100</v>
      </c>
      <c r="BA204" s="7" t="s">
        <v>100</v>
      </c>
      <c r="BB204" s="7">
        <v>0.2609</v>
      </c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 t="s">
        <v>100</v>
      </c>
      <c r="BJ204" s="4">
        <v>245</v>
      </c>
      <c r="BK204" s="8">
        <v>7542.08</v>
      </c>
      <c r="BL204" s="2" t="s">
        <v>949</v>
      </c>
      <c r="BM204" s="7">
        <v>0.0082</v>
      </c>
      <c r="BN204" s="7">
        <v>0.0086</v>
      </c>
      <c r="BO204" s="4">
        <v>2</v>
      </c>
      <c r="BP204" s="8">
        <v>64.8</v>
      </c>
      <c r="BQ204" s="4"/>
      <c r="BR204" s="8"/>
      <c r="BS204" s="7"/>
      <c r="BT204" s="7"/>
      <c r="BU204" s="2" t="s">
        <v>109</v>
      </c>
      <c r="BV204" s="2" t="s">
        <v>97</v>
      </c>
      <c r="BW204" s="2" t="s">
        <v>927</v>
      </c>
      <c r="BX204" s="2" t="s">
        <v>487</v>
      </c>
      <c r="BY204" s="2" t="s">
        <v>112</v>
      </c>
      <c r="BZ204" s="2" t="s">
        <v>100</v>
      </c>
    </row>
    <row r="205">
      <c r="A205" s="2" t="s">
        <v>950</v>
      </c>
      <c r="B205" s="2" t="s">
        <v>87</v>
      </c>
      <c r="C205" s="2" t="s">
        <v>785</v>
      </c>
      <c r="D205" s="2" t="s">
        <v>89</v>
      </c>
      <c r="E205" s="2" t="s">
        <v>786</v>
      </c>
      <c r="F205" s="2" t="s">
        <v>840</v>
      </c>
      <c r="G205" s="2" t="s">
        <v>841</v>
      </c>
      <c r="H205" s="2" t="s">
        <v>842</v>
      </c>
      <c r="I205" s="2" t="s">
        <v>843</v>
      </c>
      <c r="J205" s="2" t="s">
        <v>120</v>
      </c>
      <c r="K205" s="2" t="s">
        <v>140</v>
      </c>
      <c r="L205" s="3">
        <v>30.95</v>
      </c>
      <c r="M205" s="3">
        <v>32.5</v>
      </c>
      <c r="N205" s="3">
        <v>54.99</v>
      </c>
      <c r="O205" s="2" t="s">
        <v>97</v>
      </c>
      <c r="P205" s="2" t="s">
        <v>483</v>
      </c>
      <c r="Q205" s="2" t="s">
        <v>99</v>
      </c>
      <c r="R205" s="2" t="s">
        <v>100</v>
      </c>
      <c r="S205" s="2" t="s">
        <v>939</v>
      </c>
      <c r="T205" s="2" t="s">
        <v>231</v>
      </c>
      <c r="U205" s="2" t="s">
        <v>432</v>
      </c>
      <c r="V205" s="2" t="s">
        <v>427</v>
      </c>
      <c r="W205" s="2" t="s">
        <v>428</v>
      </c>
      <c r="X205" s="2" t="s">
        <v>636</v>
      </c>
      <c r="Y205" s="2" t="s">
        <v>935</v>
      </c>
      <c r="Z205" s="4">
        <v>935</v>
      </c>
      <c r="AA205" s="4">
        <f>=ROUNDDOWN(36.6666666666667,0)</f>
      </c>
      <c r="AB205" s="5">
        <v>25.5</v>
      </c>
      <c r="AC205" s="2" t="s">
        <v>100</v>
      </c>
      <c r="AD205" s="4"/>
      <c r="AE205" s="4"/>
      <c r="AF205" s="6">
        <v>63</v>
      </c>
      <c r="AG205" s="6">
        <v>46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/>
      <c r="AP205" s="4">
        <v>1</v>
      </c>
      <c r="AQ205" s="8">
        <v>35.1</v>
      </c>
      <c r="AR205" s="4"/>
      <c r="AS205" s="8"/>
      <c r="AT205" s="7"/>
      <c r="AU205" s="7"/>
      <c r="AV205" s="4" t="s">
        <v>100</v>
      </c>
      <c r="AW205" s="8" t="s">
        <v>100</v>
      </c>
      <c r="AX205" s="4" t="s">
        <v>100</v>
      </c>
      <c r="AY205" s="8" t="s">
        <v>100</v>
      </c>
      <c r="AZ205" s="7" t="s">
        <v>100</v>
      </c>
      <c r="BA205" s="7" t="s">
        <v>100</v>
      </c>
      <c r="BB205" s="7">
        <v>0.1413</v>
      </c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 t="s">
        <v>100</v>
      </c>
      <c r="BJ205" s="4">
        <v>96</v>
      </c>
      <c r="BK205" s="8">
        <v>3283.16</v>
      </c>
      <c r="BL205" s="2" t="s">
        <v>951</v>
      </c>
      <c r="BM205" s="7">
        <v>0.0104</v>
      </c>
      <c r="BN205" s="7">
        <v>0.0107</v>
      </c>
      <c r="BO205" s="4">
        <v>1</v>
      </c>
      <c r="BP205" s="8">
        <v>35.1</v>
      </c>
      <c r="BQ205" s="4"/>
      <c r="BR205" s="8"/>
      <c r="BS205" s="7"/>
      <c r="BT205" s="7"/>
      <c r="BU205" s="2" t="s">
        <v>109</v>
      </c>
      <c r="BV205" s="2" t="s">
        <v>97</v>
      </c>
      <c r="BW205" s="2" t="s">
        <v>879</v>
      </c>
      <c r="BX205" s="2" t="s">
        <v>942</v>
      </c>
      <c r="BY205" s="2" t="s">
        <v>112</v>
      </c>
      <c r="BZ205" s="2" t="s">
        <v>100</v>
      </c>
    </row>
    <row r="206">
      <c r="A206" s="2" t="s">
        <v>952</v>
      </c>
      <c r="B206" s="2" t="s">
        <v>87</v>
      </c>
      <c r="C206" s="2" t="s">
        <v>785</v>
      </c>
      <c r="D206" s="2" t="s">
        <v>89</v>
      </c>
      <c r="E206" s="2" t="s">
        <v>786</v>
      </c>
      <c r="F206" s="2" t="s">
        <v>840</v>
      </c>
      <c r="G206" s="2" t="s">
        <v>841</v>
      </c>
      <c r="H206" s="2" t="s">
        <v>842</v>
      </c>
      <c r="I206" s="2" t="s">
        <v>843</v>
      </c>
      <c r="J206" s="2" t="s">
        <v>791</v>
      </c>
      <c r="K206" s="2" t="s">
        <v>492</v>
      </c>
      <c r="L206" s="3">
        <v>21.42</v>
      </c>
      <c r="M206" s="3">
        <v>22.49</v>
      </c>
      <c r="N206" s="3">
        <v>39.99</v>
      </c>
      <c r="O206" s="2" t="s">
        <v>97</v>
      </c>
      <c r="P206" s="2" t="s">
        <v>483</v>
      </c>
      <c r="Q206" s="2" t="s">
        <v>99</v>
      </c>
      <c r="R206" s="2" t="s">
        <v>100</v>
      </c>
      <c r="S206" s="2" t="s">
        <v>953</v>
      </c>
      <c r="T206" s="2" t="s">
        <v>231</v>
      </c>
      <c r="U206" s="2" t="s">
        <v>426</v>
      </c>
      <c r="V206" s="2" t="s">
        <v>427</v>
      </c>
      <c r="W206" s="2" t="s">
        <v>428</v>
      </c>
      <c r="X206" s="2" t="s">
        <v>636</v>
      </c>
      <c r="Y206" s="2" t="s">
        <v>954</v>
      </c>
      <c r="Z206" s="4">
        <v>253</v>
      </c>
      <c r="AA206" s="4">
        <f>=ROUNDDOWN(13.6021505376344,0)</f>
      </c>
      <c r="AB206" s="5">
        <v>18.6</v>
      </c>
      <c r="AC206" s="2" t="s">
        <v>184</v>
      </c>
      <c r="AD206" s="4">
        <v>48</v>
      </c>
      <c r="AE206" s="4">
        <v>108</v>
      </c>
      <c r="AF206" s="6">
        <v>63</v>
      </c>
      <c r="AG206" s="6">
        <v>46</v>
      </c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>
        <v>7</v>
      </c>
      <c r="AW206" s="8">
        <v>221.4</v>
      </c>
      <c r="AX206" s="4" t="s">
        <v>100</v>
      </c>
      <c r="AY206" s="8" t="s">
        <v>100</v>
      </c>
      <c r="AZ206" s="7" t="s">
        <v>100</v>
      </c>
      <c r="BA206" s="7" t="s">
        <v>100</v>
      </c>
      <c r="BB206" s="7"/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0.0542</v>
      </c>
      <c r="BJ206" s="4">
        <v>60</v>
      </c>
      <c r="BK206" s="8">
        <v>1306.67</v>
      </c>
      <c r="BL206" s="2" t="s">
        <v>955</v>
      </c>
      <c r="BM206" s="7"/>
      <c r="BN206" s="7"/>
      <c r="BO206" s="4"/>
      <c r="BP206" s="8"/>
      <c r="BQ206" s="4"/>
      <c r="BR206" s="8"/>
      <c r="BS206" s="7"/>
      <c r="BT206" s="7"/>
      <c r="BU206" s="2" t="s">
        <v>109</v>
      </c>
      <c r="BV206" s="2" t="s">
        <v>97</v>
      </c>
      <c r="BW206" s="2" t="s">
        <v>927</v>
      </c>
      <c r="BX206" s="2" t="s">
        <v>100</v>
      </c>
      <c r="BY206" s="2" t="s">
        <v>112</v>
      </c>
      <c r="BZ206" s="2" t="s">
        <v>100</v>
      </c>
    </row>
    <row r="207">
      <c r="A207" s="2" t="s">
        <v>956</v>
      </c>
      <c r="B207" s="2" t="s">
        <v>87</v>
      </c>
      <c r="C207" s="2" t="s">
        <v>785</v>
      </c>
      <c r="D207" s="2" t="s">
        <v>89</v>
      </c>
      <c r="E207" s="2" t="s">
        <v>786</v>
      </c>
      <c r="F207" s="2" t="s">
        <v>840</v>
      </c>
      <c r="G207" s="2" t="s">
        <v>841</v>
      </c>
      <c r="H207" s="2" t="s">
        <v>842</v>
      </c>
      <c r="I207" s="2" t="s">
        <v>843</v>
      </c>
      <c r="J207" s="2" t="s">
        <v>157</v>
      </c>
      <c r="K207" s="2" t="s">
        <v>492</v>
      </c>
      <c r="L207" s="3">
        <v>25.23</v>
      </c>
      <c r="M207" s="3">
        <v>26.49</v>
      </c>
      <c r="N207" s="3">
        <v>49.99</v>
      </c>
      <c r="O207" s="2" t="s">
        <v>97</v>
      </c>
      <c r="P207" s="2" t="s">
        <v>483</v>
      </c>
      <c r="Q207" s="2" t="s">
        <v>99</v>
      </c>
      <c r="R207" s="2" t="s">
        <v>100</v>
      </c>
      <c r="S207" s="2" t="s">
        <v>953</v>
      </c>
      <c r="T207" s="2" t="s">
        <v>231</v>
      </c>
      <c r="U207" s="2" t="s">
        <v>432</v>
      </c>
      <c r="V207" s="2" t="s">
        <v>427</v>
      </c>
      <c r="W207" s="2" t="s">
        <v>428</v>
      </c>
      <c r="X207" s="2" t="s">
        <v>636</v>
      </c>
      <c r="Y207" s="2" t="s">
        <v>935</v>
      </c>
      <c r="Z207" s="4">
        <v>489</v>
      </c>
      <c r="AA207" s="4">
        <f>=ROUNDDOWN(28.9349112426036,0)</f>
      </c>
      <c r="AB207" s="5">
        <v>16.9</v>
      </c>
      <c r="AC207" s="2" t="s">
        <v>436</v>
      </c>
      <c r="AD207" s="4">
        <v>189</v>
      </c>
      <c r="AE207" s="4">
        <v>189</v>
      </c>
      <c r="AF207" s="6">
        <v>63</v>
      </c>
      <c r="AG207" s="6">
        <v>46</v>
      </c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100</v>
      </c>
      <c r="AW207" s="8" t="s">
        <v>100</v>
      </c>
      <c r="AX207" s="4" t="s">
        <v>100</v>
      </c>
      <c r="AY207" s="8" t="s">
        <v>100</v>
      </c>
      <c r="AZ207" s="7" t="s">
        <v>100</v>
      </c>
      <c r="BA207" s="7" t="s">
        <v>100</v>
      </c>
      <c r="BB207" s="7"/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 t="s">
        <v>100</v>
      </c>
      <c r="BJ207" s="4">
        <v>96</v>
      </c>
      <c r="BK207" s="8">
        <v>2464.2</v>
      </c>
      <c r="BL207" s="2" t="s">
        <v>957</v>
      </c>
      <c r="BM207" s="7"/>
      <c r="BN207" s="7"/>
      <c r="BO207" s="4"/>
      <c r="BP207" s="8"/>
      <c r="BQ207" s="4"/>
      <c r="BR207" s="8"/>
      <c r="BS207" s="7"/>
      <c r="BT207" s="7"/>
      <c r="BU207" s="2" t="s">
        <v>109</v>
      </c>
      <c r="BV207" s="2" t="s">
        <v>97</v>
      </c>
      <c r="BW207" s="2" t="s">
        <v>929</v>
      </c>
      <c r="BX207" s="2" t="s">
        <v>100</v>
      </c>
      <c r="BY207" s="2" t="s">
        <v>112</v>
      </c>
      <c r="BZ207" s="2" t="s">
        <v>100</v>
      </c>
    </row>
    <row r="208">
      <c r="A208" s="2" t="s">
        <v>958</v>
      </c>
      <c r="B208" s="2" t="s">
        <v>87</v>
      </c>
      <c r="C208" s="2" t="s">
        <v>785</v>
      </c>
      <c r="D208" s="2" t="s">
        <v>89</v>
      </c>
      <c r="E208" s="2" t="s">
        <v>786</v>
      </c>
      <c r="F208" s="2" t="s">
        <v>840</v>
      </c>
      <c r="G208" s="2" t="s">
        <v>841</v>
      </c>
      <c r="H208" s="2" t="s">
        <v>842</v>
      </c>
      <c r="I208" s="2" t="s">
        <v>843</v>
      </c>
      <c r="J208" s="2" t="s">
        <v>95</v>
      </c>
      <c r="K208" s="2" t="s">
        <v>492</v>
      </c>
      <c r="L208" s="3">
        <v>26.19</v>
      </c>
      <c r="M208" s="3">
        <v>27.5</v>
      </c>
      <c r="N208" s="3">
        <v>49.99</v>
      </c>
      <c r="O208" s="2" t="s">
        <v>97</v>
      </c>
      <c r="P208" s="2" t="s">
        <v>483</v>
      </c>
      <c r="Q208" s="2" t="s">
        <v>99</v>
      </c>
      <c r="R208" s="2" t="s">
        <v>100</v>
      </c>
      <c r="S208" s="2" t="s">
        <v>953</v>
      </c>
      <c r="T208" s="2" t="s">
        <v>231</v>
      </c>
      <c r="U208" s="2" t="s">
        <v>432</v>
      </c>
      <c r="V208" s="2" t="s">
        <v>427</v>
      </c>
      <c r="W208" s="2" t="s">
        <v>428</v>
      </c>
      <c r="X208" s="2" t="s">
        <v>636</v>
      </c>
      <c r="Y208" s="2" t="s">
        <v>954</v>
      </c>
      <c r="Z208" s="4">
        <v>460</v>
      </c>
      <c r="AA208" s="4">
        <f>=ROUNDDOWN(4.10714285714286,0)</f>
      </c>
      <c r="AB208" s="5">
        <v>112</v>
      </c>
      <c r="AC208" s="2" t="s">
        <v>184</v>
      </c>
      <c r="AD208" s="4">
        <v>273</v>
      </c>
      <c r="AE208" s="4">
        <v>1203</v>
      </c>
      <c r="AF208" s="6">
        <v>63</v>
      </c>
      <c r="AG208" s="6">
        <v>46</v>
      </c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/>
      <c r="AP208" s="4">
        <v>4</v>
      </c>
      <c r="AQ208" s="8">
        <v>118.8</v>
      </c>
      <c r="AR208" s="4"/>
      <c r="AS208" s="8"/>
      <c r="AT208" s="7"/>
      <c r="AU208" s="7"/>
      <c r="AV208" s="4" t="s">
        <v>100</v>
      </c>
      <c r="AW208" s="8" t="s">
        <v>100</v>
      </c>
      <c r="AX208" s="4" t="s">
        <v>100</v>
      </c>
      <c r="AY208" s="8" t="s">
        <v>100</v>
      </c>
      <c r="AZ208" s="7" t="s">
        <v>100</v>
      </c>
      <c r="BA208" s="7" t="s">
        <v>100</v>
      </c>
      <c r="BB208" s="7">
        <v>0.5366</v>
      </c>
      <c r="BC208" s="4" t="s">
        <v>100</v>
      </c>
      <c r="BD208" s="8" t="s">
        <v>100</v>
      </c>
      <c r="BE208" s="4" t="s">
        <v>100</v>
      </c>
      <c r="BF208" s="8" t="s">
        <v>100</v>
      </c>
      <c r="BG208" s="7" t="s">
        <v>100</v>
      </c>
      <c r="BH208" s="7" t="s">
        <v>100</v>
      </c>
      <c r="BI208" s="7" t="s">
        <v>100</v>
      </c>
      <c r="BJ208" s="4">
        <v>442</v>
      </c>
      <c r="BK208" s="8">
        <v>12115.25</v>
      </c>
      <c r="BL208" s="2" t="s">
        <v>959</v>
      </c>
      <c r="BM208" s="7">
        <v>0.009</v>
      </c>
      <c r="BN208" s="7">
        <v>0.0098</v>
      </c>
      <c r="BO208" s="4">
        <v>4</v>
      </c>
      <c r="BP208" s="8">
        <v>118.8</v>
      </c>
      <c r="BQ208" s="4"/>
      <c r="BR208" s="8"/>
      <c r="BS208" s="7"/>
      <c r="BT208" s="7"/>
      <c r="BU208" s="2" t="s">
        <v>109</v>
      </c>
      <c r="BV208" s="2" t="s">
        <v>97</v>
      </c>
      <c r="BW208" s="2" t="s">
        <v>927</v>
      </c>
      <c r="BX208" s="2" t="s">
        <v>871</v>
      </c>
      <c r="BY208" s="2" t="s">
        <v>112</v>
      </c>
      <c r="BZ208" s="2" t="s">
        <v>100</v>
      </c>
    </row>
    <row r="209">
      <c r="A209" s="2" t="s">
        <v>960</v>
      </c>
      <c r="B209" s="2" t="s">
        <v>87</v>
      </c>
      <c r="C209" s="2" t="s">
        <v>785</v>
      </c>
      <c r="D209" s="2" t="s">
        <v>89</v>
      </c>
      <c r="E209" s="2" t="s">
        <v>786</v>
      </c>
      <c r="F209" s="2" t="s">
        <v>840</v>
      </c>
      <c r="G209" s="2" t="s">
        <v>841</v>
      </c>
      <c r="H209" s="2" t="s">
        <v>842</v>
      </c>
      <c r="I209" s="2" t="s">
        <v>843</v>
      </c>
      <c r="J209" s="2" t="s">
        <v>114</v>
      </c>
      <c r="K209" s="2" t="s">
        <v>492</v>
      </c>
      <c r="L209" s="3">
        <v>28.57</v>
      </c>
      <c r="M209" s="3">
        <v>30</v>
      </c>
      <c r="N209" s="3">
        <v>54.99</v>
      </c>
      <c r="O209" s="2" t="s">
        <v>97</v>
      </c>
      <c r="P209" s="2" t="s">
        <v>483</v>
      </c>
      <c r="Q209" s="2" t="s">
        <v>99</v>
      </c>
      <c r="R209" s="2" t="s">
        <v>100</v>
      </c>
      <c r="S209" s="2" t="s">
        <v>953</v>
      </c>
      <c r="T209" s="2" t="s">
        <v>231</v>
      </c>
      <c r="U209" s="2" t="s">
        <v>432</v>
      </c>
      <c r="V209" s="2" t="s">
        <v>427</v>
      </c>
      <c r="W209" s="2" t="s">
        <v>428</v>
      </c>
      <c r="X209" s="2" t="s">
        <v>636</v>
      </c>
      <c r="Y209" s="2" t="s">
        <v>961</v>
      </c>
      <c r="Z209" s="4">
        <v>881</v>
      </c>
      <c r="AA209" s="4">
        <f>=ROUNDDOWN(6.34269258459323,0)</f>
      </c>
      <c r="AB209" s="5">
        <v>138.9</v>
      </c>
      <c r="AC209" s="2" t="s">
        <v>184</v>
      </c>
      <c r="AD209" s="4">
        <v>219</v>
      </c>
      <c r="AE209" s="4">
        <v>1029</v>
      </c>
      <c r="AF209" s="6">
        <v>63</v>
      </c>
      <c r="AG209" s="6">
        <v>46</v>
      </c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/>
      <c r="AP209" s="4">
        <v>1</v>
      </c>
      <c r="AQ209" s="8">
        <v>32.4</v>
      </c>
      <c r="AR209" s="4"/>
      <c r="AS209" s="8"/>
      <c r="AT209" s="7"/>
      <c r="AU209" s="7"/>
      <c r="AV209" s="4" t="s">
        <v>100</v>
      </c>
      <c r="AW209" s="8" t="s">
        <v>100</v>
      </c>
      <c r="AX209" s="4" t="s">
        <v>100</v>
      </c>
      <c r="AY209" s="8" t="s">
        <v>100</v>
      </c>
      <c r="AZ209" s="7" t="s">
        <v>100</v>
      </c>
      <c r="BA209" s="7" t="s">
        <v>100</v>
      </c>
      <c r="BB209" s="7">
        <v>0.1463</v>
      </c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 t="s">
        <v>100</v>
      </c>
      <c r="BJ209" s="4">
        <v>510</v>
      </c>
      <c r="BK209" s="8">
        <v>16240.52</v>
      </c>
      <c r="BL209" s="2" t="s">
        <v>962</v>
      </c>
      <c r="BM209" s="7">
        <v>0.002</v>
      </c>
      <c r="BN209" s="7">
        <v>0.002</v>
      </c>
      <c r="BO209" s="4">
        <v>1</v>
      </c>
      <c r="BP209" s="8">
        <v>32.4</v>
      </c>
      <c r="BQ209" s="4"/>
      <c r="BR209" s="8"/>
      <c r="BS209" s="7"/>
      <c r="BT209" s="7"/>
      <c r="BU209" s="2" t="s">
        <v>109</v>
      </c>
      <c r="BV209" s="2" t="s">
        <v>97</v>
      </c>
      <c r="BW209" s="2" t="s">
        <v>927</v>
      </c>
      <c r="BX209" s="2" t="s">
        <v>963</v>
      </c>
      <c r="BY209" s="2" t="s">
        <v>112</v>
      </c>
      <c r="BZ209" s="2" t="s">
        <v>100</v>
      </c>
    </row>
    <row r="210">
      <c r="A210" s="2" t="s">
        <v>964</v>
      </c>
      <c r="B210" s="2" t="s">
        <v>87</v>
      </c>
      <c r="C210" s="2" t="s">
        <v>785</v>
      </c>
      <c r="D210" s="2" t="s">
        <v>89</v>
      </c>
      <c r="E210" s="2" t="s">
        <v>786</v>
      </c>
      <c r="F210" s="2" t="s">
        <v>840</v>
      </c>
      <c r="G210" s="2" t="s">
        <v>841</v>
      </c>
      <c r="H210" s="2" t="s">
        <v>842</v>
      </c>
      <c r="I210" s="2" t="s">
        <v>843</v>
      </c>
      <c r="J210" s="2" t="s">
        <v>120</v>
      </c>
      <c r="K210" s="2" t="s">
        <v>492</v>
      </c>
      <c r="L210" s="3">
        <v>30.95</v>
      </c>
      <c r="M210" s="3">
        <v>32.5</v>
      </c>
      <c r="N210" s="3">
        <v>54.99</v>
      </c>
      <c r="O210" s="2" t="s">
        <v>97</v>
      </c>
      <c r="P210" s="2" t="s">
        <v>483</v>
      </c>
      <c r="Q210" s="2" t="s">
        <v>99</v>
      </c>
      <c r="R210" s="2" t="s">
        <v>100</v>
      </c>
      <c r="S210" s="2" t="s">
        <v>953</v>
      </c>
      <c r="T210" s="2" t="s">
        <v>231</v>
      </c>
      <c r="U210" s="2" t="s">
        <v>432</v>
      </c>
      <c r="V210" s="2" t="s">
        <v>427</v>
      </c>
      <c r="W210" s="2" t="s">
        <v>428</v>
      </c>
      <c r="X210" s="2" t="s">
        <v>636</v>
      </c>
      <c r="Y210" s="2" t="s">
        <v>935</v>
      </c>
      <c r="Z210" s="4">
        <v>689</v>
      </c>
      <c r="AA210" s="4">
        <f>=ROUNDDOWN(16.4439140811456,0)</f>
      </c>
      <c r="AB210" s="5">
        <v>41.9</v>
      </c>
      <c r="AC210" s="2" t="s">
        <v>642</v>
      </c>
      <c r="AD210" s="4">
        <v>300</v>
      </c>
      <c r="AE210" s="4">
        <v>600</v>
      </c>
      <c r="AF210" s="6">
        <v>63</v>
      </c>
      <c r="AG210" s="6">
        <v>46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/>
      <c r="AP210" s="4">
        <v>2</v>
      </c>
      <c r="AQ210" s="8">
        <v>70.2</v>
      </c>
      <c r="AR210" s="4"/>
      <c r="AS210" s="8"/>
      <c r="AT210" s="7"/>
      <c r="AU210" s="7"/>
      <c r="AV210" s="4" t="s">
        <v>100</v>
      </c>
      <c r="AW210" s="8" t="s">
        <v>100</v>
      </c>
      <c r="AX210" s="4" t="s">
        <v>100</v>
      </c>
      <c r="AY210" s="8" t="s">
        <v>100</v>
      </c>
      <c r="AZ210" s="7" t="s">
        <v>100</v>
      </c>
      <c r="BA210" s="7" t="s">
        <v>100</v>
      </c>
      <c r="BB210" s="7">
        <v>0.3171</v>
      </c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 t="s">
        <v>100</v>
      </c>
      <c r="BJ210" s="4">
        <v>168</v>
      </c>
      <c r="BK210" s="8">
        <v>5696.38</v>
      </c>
      <c r="BL210" s="2" t="s">
        <v>965</v>
      </c>
      <c r="BM210" s="7">
        <v>0.0119</v>
      </c>
      <c r="BN210" s="7">
        <v>0.0123</v>
      </c>
      <c r="BO210" s="4">
        <v>2</v>
      </c>
      <c r="BP210" s="8">
        <v>70.2</v>
      </c>
      <c r="BQ210" s="4"/>
      <c r="BR210" s="8"/>
      <c r="BS210" s="7"/>
      <c r="BT210" s="7"/>
      <c r="BU210" s="2" t="s">
        <v>109</v>
      </c>
      <c r="BV210" s="2" t="s">
        <v>97</v>
      </c>
      <c r="BW210" s="2" t="s">
        <v>929</v>
      </c>
      <c r="BX210" s="2" t="s">
        <v>966</v>
      </c>
      <c r="BY210" s="2" t="s">
        <v>112</v>
      </c>
      <c r="BZ210" s="2" t="s">
        <v>100</v>
      </c>
    </row>
    <row r="211">
      <c r="A211" s="2" t="s">
        <v>967</v>
      </c>
      <c r="B211" s="2" t="s">
        <v>87</v>
      </c>
      <c r="C211" s="2" t="s">
        <v>785</v>
      </c>
      <c r="D211" s="2" t="s">
        <v>89</v>
      </c>
      <c r="E211" s="2" t="s">
        <v>786</v>
      </c>
      <c r="F211" s="2" t="s">
        <v>840</v>
      </c>
      <c r="G211" s="2" t="s">
        <v>841</v>
      </c>
      <c r="H211" s="2" t="s">
        <v>842</v>
      </c>
      <c r="I211" s="2" t="s">
        <v>843</v>
      </c>
      <c r="J211" s="2" t="s">
        <v>791</v>
      </c>
      <c r="K211" s="2" t="s">
        <v>968</v>
      </c>
      <c r="L211" s="3">
        <v>21.42</v>
      </c>
      <c r="M211" s="3">
        <v>22.49</v>
      </c>
      <c r="N211" s="3">
        <v>44.99</v>
      </c>
      <c r="O211" s="2" t="s">
        <v>97</v>
      </c>
      <c r="P211" s="2" t="s">
        <v>576</v>
      </c>
      <c r="Q211" s="2" t="s">
        <v>99</v>
      </c>
      <c r="R211" s="2" t="s">
        <v>100</v>
      </c>
      <c r="S211" s="2" t="s">
        <v>969</v>
      </c>
      <c r="T211" s="2" t="s">
        <v>231</v>
      </c>
      <c r="U211" s="2" t="s">
        <v>426</v>
      </c>
      <c r="V211" s="2" t="s">
        <v>427</v>
      </c>
      <c r="W211" s="2" t="s">
        <v>428</v>
      </c>
      <c r="X211" s="2" t="s">
        <v>636</v>
      </c>
      <c r="Y211" s="2" t="s">
        <v>874</v>
      </c>
      <c r="Z211" s="4">
        <v>675</v>
      </c>
      <c r="AA211" s="4">
        <f>=ROUNDDOWN(45,0)</f>
      </c>
      <c r="AB211" s="5">
        <v>15</v>
      </c>
      <c r="AC211" s="2" t="s">
        <v>897</v>
      </c>
      <c r="AD211" s="4">
        <v>990</v>
      </c>
      <c r="AE211" s="4">
        <v>990</v>
      </c>
      <c r="AF211" s="6">
        <v>63</v>
      </c>
      <c r="AG211" s="6">
        <v>46</v>
      </c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/>
      <c r="AP211" s="4">
        <v>5</v>
      </c>
      <c r="AQ211" s="8">
        <v>121.45</v>
      </c>
      <c r="AR211" s="4"/>
      <c r="AS211" s="8"/>
      <c r="AT211" s="7"/>
      <c r="AU211" s="7"/>
      <c r="AV211" s="4">
        <v>8</v>
      </c>
      <c r="AW211" s="8">
        <v>215.95</v>
      </c>
      <c r="AX211" s="4" t="s">
        <v>100</v>
      </c>
      <c r="AY211" s="8" t="s">
        <v>100</v>
      </c>
      <c r="AZ211" s="7" t="s">
        <v>100</v>
      </c>
      <c r="BA211" s="7" t="s">
        <v>100</v>
      </c>
      <c r="BB211" s="7">
        <v>0.5624</v>
      </c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>
        <v>0.0529</v>
      </c>
      <c r="BJ211" s="4">
        <v>59</v>
      </c>
      <c r="BK211" s="8">
        <v>1241.55</v>
      </c>
      <c r="BL211" s="2" t="s">
        <v>970</v>
      </c>
      <c r="BM211" s="7">
        <v>0.0847</v>
      </c>
      <c r="BN211" s="7">
        <v>0.0978</v>
      </c>
      <c r="BO211" s="4">
        <v>5</v>
      </c>
      <c r="BP211" s="8">
        <v>121.45</v>
      </c>
      <c r="BQ211" s="4"/>
      <c r="BR211" s="8"/>
      <c r="BS211" s="7"/>
      <c r="BT211" s="7"/>
      <c r="BU211" s="2" t="s">
        <v>109</v>
      </c>
      <c r="BV211" s="2" t="s">
        <v>97</v>
      </c>
      <c r="BW211" s="2" t="s">
        <v>876</v>
      </c>
      <c r="BX211" s="2" t="s">
        <v>971</v>
      </c>
      <c r="BY211" s="2" t="s">
        <v>112</v>
      </c>
      <c r="BZ211" s="2" t="s">
        <v>100</v>
      </c>
    </row>
    <row r="212">
      <c r="A212" s="2" t="s">
        <v>972</v>
      </c>
      <c r="B212" s="2" t="s">
        <v>87</v>
      </c>
      <c r="C212" s="2" t="s">
        <v>785</v>
      </c>
      <c r="D212" s="2" t="s">
        <v>89</v>
      </c>
      <c r="E212" s="2" t="s">
        <v>786</v>
      </c>
      <c r="F212" s="2" t="s">
        <v>840</v>
      </c>
      <c r="G212" s="2" t="s">
        <v>841</v>
      </c>
      <c r="H212" s="2" t="s">
        <v>842</v>
      </c>
      <c r="I212" s="2" t="s">
        <v>843</v>
      </c>
      <c r="J212" s="2" t="s">
        <v>157</v>
      </c>
      <c r="K212" s="2" t="s">
        <v>968</v>
      </c>
      <c r="L212" s="3">
        <v>25.23</v>
      </c>
      <c r="M212" s="3">
        <v>26.49</v>
      </c>
      <c r="N212" s="3">
        <v>49.99</v>
      </c>
      <c r="O212" s="2" t="s">
        <v>97</v>
      </c>
      <c r="P212" s="2" t="s">
        <v>483</v>
      </c>
      <c r="Q212" s="2" t="s">
        <v>99</v>
      </c>
      <c r="R212" s="2" t="s">
        <v>100</v>
      </c>
      <c r="S212" s="2" t="s">
        <v>969</v>
      </c>
      <c r="T212" s="2" t="s">
        <v>231</v>
      </c>
      <c r="U212" s="2" t="s">
        <v>432</v>
      </c>
      <c r="V212" s="2" t="s">
        <v>427</v>
      </c>
      <c r="W212" s="2" t="s">
        <v>428</v>
      </c>
      <c r="X212" s="2" t="s">
        <v>636</v>
      </c>
      <c r="Y212" s="2" t="s">
        <v>935</v>
      </c>
      <c r="Z212" s="4">
        <v>587</v>
      </c>
      <c r="AA212" s="4">
        <f>=ROUNDDOWN(58.7,0)</f>
      </c>
      <c r="AB212" s="5">
        <v>10</v>
      </c>
      <c r="AC212" s="2" t="s">
        <v>184</v>
      </c>
      <c r="AD212" s="4">
        <v>15</v>
      </c>
      <c r="AE212" s="4">
        <v>15</v>
      </c>
      <c r="AF212" s="6">
        <v>63</v>
      </c>
      <c r="AG212" s="6">
        <v>46</v>
      </c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100</v>
      </c>
      <c r="AW212" s="8" t="s">
        <v>100</v>
      </c>
      <c r="AX212" s="4" t="s">
        <v>100</v>
      </c>
      <c r="AY212" s="8" t="s">
        <v>100</v>
      </c>
      <c r="AZ212" s="7" t="s">
        <v>100</v>
      </c>
      <c r="BA212" s="7" t="s">
        <v>100</v>
      </c>
      <c r="BB212" s="7"/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 t="s">
        <v>100</v>
      </c>
      <c r="BJ212" s="4">
        <v>51</v>
      </c>
      <c r="BK212" s="8">
        <v>1315.12</v>
      </c>
      <c r="BL212" s="2" t="s">
        <v>973</v>
      </c>
      <c r="BM212" s="7"/>
      <c r="BN212" s="7"/>
      <c r="BO212" s="4"/>
      <c r="BP212" s="8"/>
      <c r="BQ212" s="4"/>
      <c r="BR212" s="8"/>
      <c r="BS212" s="7"/>
      <c r="BT212" s="7"/>
      <c r="BU212" s="2" t="s">
        <v>109</v>
      </c>
      <c r="BV212" s="2" t="s">
        <v>97</v>
      </c>
      <c r="BW212" s="2" t="s">
        <v>929</v>
      </c>
      <c r="BX212" s="2" t="s">
        <v>100</v>
      </c>
      <c r="BY212" s="2" t="s">
        <v>112</v>
      </c>
      <c r="BZ212" s="2" t="s">
        <v>100</v>
      </c>
    </row>
    <row r="213">
      <c r="A213" s="2" t="s">
        <v>974</v>
      </c>
      <c r="B213" s="2" t="s">
        <v>87</v>
      </c>
      <c r="C213" s="2" t="s">
        <v>785</v>
      </c>
      <c r="D213" s="2" t="s">
        <v>89</v>
      </c>
      <c r="E213" s="2" t="s">
        <v>786</v>
      </c>
      <c r="F213" s="2" t="s">
        <v>840</v>
      </c>
      <c r="G213" s="2" t="s">
        <v>841</v>
      </c>
      <c r="H213" s="2" t="s">
        <v>842</v>
      </c>
      <c r="I213" s="2" t="s">
        <v>843</v>
      </c>
      <c r="J213" s="2" t="s">
        <v>95</v>
      </c>
      <c r="K213" s="2" t="s">
        <v>968</v>
      </c>
      <c r="L213" s="3">
        <v>26.19</v>
      </c>
      <c r="M213" s="3">
        <v>27.5</v>
      </c>
      <c r="N213" s="3">
        <v>54.99</v>
      </c>
      <c r="O213" s="2" t="s">
        <v>97</v>
      </c>
      <c r="P213" s="2" t="s">
        <v>576</v>
      </c>
      <c r="Q213" s="2" t="s">
        <v>99</v>
      </c>
      <c r="R213" s="2" t="s">
        <v>100</v>
      </c>
      <c r="S213" s="2" t="s">
        <v>969</v>
      </c>
      <c r="T213" s="2" t="s">
        <v>231</v>
      </c>
      <c r="U213" s="2" t="s">
        <v>432</v>
      </c>
      <c r="V213" s="2" t="s">
        <v>427</v>
      </c>
      <c r="W213" s="2" t="s">
        <v>428</v>
      </c>
      <c r="X213" s="2" t="s">
        <v>636</v>
      </c>
      <c r="Y213" s="2" t="s">
        <v>887</v>
      </c>
      <c r="Z213" s="4">
        <v>2861</v>
      </c>
      <c r="AA213" s="4">
        <f>=ROUNDDOWN(63.5777777777778,0)</f>
      </c>
      <c r="AB213" s="5">
        <v>45</v>
      </c>
      <c r="AC213" s="2" t="s">
        <v>162</v>
      </c>
      <c r="AD213" s="4">
        <v>600</v>
      </c>
      <c r="AE213" s="4">
        <v>1860</v>
      </c>
      <c r="AF213" s="6">
        <v>63</v>
      </c>
      <c r="AG213" s="6">
        <v>46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/>
      <c r="AP213" s="4">
        <v>2</v>
      </c>
      <c r="AQ213" s="8">
        <v>59.4</v>
      </c>
      <c r="AR213" s="4"/>
      <c r="AS213" s="8"/>
      <c r="AT213" s="7"/>
      <c r="AU213" s="7"/>
      <c r="AV213" s="4" t="s">
        <v>100</v>
      </c>
      <c r="AW213" s="8" t="s">
        <v>100</v>
      </c>
      <c r="AX213" s="4" t="s">
        <v>100</v>
      </c>
      <c r="AY213" s="8" t="s">
        <v>100</v>
      </c>
      <c r="AZ213" s="7" t="s">
        <v>100</v>
      </c>
      <c r="BA213" s="7" t="s">
        <v>100</v>
      </c>
      <c r="BB213" s="7">
        <v>0.2751</v>
      </c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 t="s">
        <v>100</v>
      </c>
      <c r="BJ213" s="4">
        <v>279</v>
      </c>
      <c r="BK213" s="8">
        <v>7096.25</v>
      </c>
      <c r="BL213" s="2" t="s">
        <v>975</v>
      </c>
      <c r="BM213" s="7">
        <v>0.0072</v>
      </c>
      <c r="BN213" s="7">
        <v>0.0084</v>
      </c>
      <c r="BO213" s="4">
        <v>2</v>
      </c>
      <c r="BP213" s="8">
        <v>59.4</v>
      </c>
      <c r="BQ213" s="4"/>
      <c r="BR213" s="8"/>
      <c r="BS213" s="7"/>
      <c r="BT213" s="7"/>
      <c r="BU213" s="2" t="s">
        <v>109</v>
      </c>
      <c r="BV213" s="2" t="s">
        <v>97</v>
      </c>
      <c r="BW213" s="2" t="s">
        <v>876</v>
      </c>
      <c r="BX213" s="2" t="s">
        <v>906</v>
      </c>
      <c r="BY213" s="2" t="s">
        <v>112</v>
      </c>
      <c r="BZ213" s="2" t="s">
        <v>100</v>
      </c>
    </row>
    <row r="214">
      <c r="A214" s="2" t="s">
        <v>976</v>
      </c>
      <c r="B214" s="2" t="s">
        <v>87</v>
      </c>
      <c r="C214" s="2" t="s">
        <v>785</v>
      </c>
      <c r="D214" s="2" t="s">
        <v>89</v>
      </c>
      <c r="E214" s="2" t="s">
        <v>786</v>
      </c>
      <c r="F214" s="2" t="s">
        <v>840</v>
      </c>
      <c r="G214" s="2" t="s">
        <v>841</v>
      </c>
      <c r="H214" s="2" t="s">
        <v>842</v>
      </c>
      <c r="I214" s="2" t="s">
        <v>843</v>
      </c>
      <c r="J214" s="2" t="s">
        <v>114</v>
      </c>
      <c r="K214" s="2" t="s">
        <v>968</v>
      </c>
      <c r="L214" s="3">
        <v>28.57</v>
      </c>
      <c r="M214" s="3">
        <v>30</v>
      </c>
      <c r="N214" s="3">
        <v>59.99</v>
      </c>
      <c r="O214" s="2" t="s">
        <v>97</v>
      </c>
      <c r="P214" s="2" t="s">
        <v>576</v>
      </c>
      <c r="Q214" s="2" t="s">
        <v>99</v>
      </c>
      <c r="R214" s="2" t="s">
        <v>100</v>
      </c>
      <c r="S214" s="2" t="s">
        <v>969</v>
      </c>
      <c r="T214" s="2" t="s">
        <v>231</v>
      </c>
      <c r="U214" s="2" t="s">
        <v>432</v>
      </c>
      <c r="V214" s="2" t="s">
        <v>427</v>
      </c>
      <c r="W214" s="2" t="s">
        <v>428</v>
      </c>
      <c r="X214" s="2" t="s">
        <v>636</v>
      </c>
      <c r="Y214" s="2" t="s">
        <v>874</v>
      </c>
      <c r="Z214" s="4">
        <v>3009</v>
      </c>
      <c r="AA214" s="4">
        <f>=ROUNDDOWN(103.758620689655,0)</f>
      </c>
      <c r="AB214" s="5">
        <v>29</v>
      </c>
      <c r="AC214" s="2" t="s">
        <v>162</v>
      </c>
      <c r="AD214" s="4">
        <v>600</v>
      </c>
      <c r="AE214" s="4">
        <v>1920</v>
      </c>
      <c r="AF214" s="6">
        <v>63</v>
      </c>
      <c r="AG214" s="6">
        <v>46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100</v>
      </c>
      <c r="AW214" s="8" t="s">
        <v>100</v>
      </c>
      <c r="AX214" s="4" t="s">
        <v>100</v>
      </c>
      <c r="AY214" s="8" t="s">
        <v>100</v>
      </c>
      <c r="AZ214" s="7" t="s">
        <v>100</v>
      </c>
      <c r="BA214" s="7" t="s">
        <v>100</v>
      </c>
      <c r="BB214" s="7"/>
      <c r="BC214" s="4" t="s">
        <v>100</v>
      </c>
      <c r="BD214" s="8" t="s">
        <v>100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 t="s">
        <v>100</v>
      </c>
      <c r="BJ214" s="4">
        <v>221</v>
      </c>
      <c r="BK214" s="8">
        <v>6138.22</v>
      </c>
      <c r="BL214" s="2" t="s">
        <v>977</v>
      </c>
      <c r="BM214" s="7"/>
      <c r="BN214" s="7"/>
      <c r="BO214" s="4"/>
      <c r="BP214" s="8"/>
      <c r="BQ214" s="4"/>
      <c r="BR214" s="8"/>
      <c r="BS214" s="7"/>
      <c r="BT214" s="7"/>
      <c r="BU214" s="2" t="s">
        <v>109</v>
      </c>
      <c r="BV214" s="2" t="s">
        <v>97</v>
      </c>
      <c r="BW214" s="2" t="s">
        <v>874</v>
      </c>
      <c r="BX214" s="2" t="s">
        <v>978</v>
      </c>
      <c r="BY214" s="2" t="s">
        <v>112</v>
      </c>
      <c r="BZ214" s="2" t="s">
        <v>100</v>
      </c>
    </row>
    <row r="215">
      <c r="A215" s="2" t="s">
        <v>979</v>
      </c>
      <c r="B215" s="2" t="s">
        <v>87</v>
      </c>
      <c r="C215" s="2" t="s">
        <v>785</v>
      </c>
      <c r="D215" s="2" t="s">
        <v>89</v>
      </c>
      <c r="E215" s="2" t="s">
        <v>786</v>
      </c>
      <c r="F215" s="2" t="s">
        <v>840</v>
      </c>
      <c r="G215" s="2" t="s">
        <v>841</v>
      </c>
      <c r="H215" s="2" t="s">
        <v>842</v>
      </c>
      <c r="I215" s="2" t="s">
        <v>843</v>
      </c>
      <c r="J215" s="2" t="s">
        <v>120</v>
      </c>
      <c r="K215" s="2" t="s">
        <v>968</v>
      </c>
      <c r="L215" s="3">
        <v>30.95</v>
      </c>
      <c r="M215" s="3">
        <v>32.5</v>
      </c>
      <c r="N215" s="3">
        <v>54.99</v>
      </c>
      <c r="O215" s="2" t="s">
        <v>97</v>
      </c>
      <c r="P215" s="2" t="s">
        <v>483</v>
      </c>
      <c r="Q215" s="2" t="s">
        <v>99</v>
      </c>
      <c r="R215" s="2" t="s">
        <v>100</v>
      </c>
      <c r="S215" s="2" t="s">
        <v>969</v>
      </c>
      <c r="T215" s="2" t="s">
        <v>231</v>
      </c>
      <c r="U215" s="2" t="s">
        <v>432</v>
      </c>
      <c r="V215" s="2" t="s">
        <v>427</v>
      </c>
      <c r="W215" s="2" t="s">
        <v>428</v>
      </c>
      <c r="X215" s="2" t="s">
        <v>636</v>
      </c>
      <c r="Y215" s="2" t="s">
        <v>879</v>
      </c>
      <c r="Z215" s="4">
        <v>975</v>
      </c>
      <c r="AA215" s="4">
        <f>=ROUNDDOWN(93.75,0)</f>
      </c>
      <c r="AB215" s="5">
        <v>10.4</v>
      </c>
      <c r="AC215" s="2" t="s">
        <v>184</v>
      </c>
      <c r="AD215" s="4">
        <v>81</v>
      </c>
      <c r="AE215" s="4">
        <v>81</v>
      </c>
      <c r="AF215" s="6">
        <v>63</v>
      </c>
      <c r="AG215" s="6">
        <v>46</v>
      </c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/>
      <c r="AP215" s="4">
        <v>1</v>
      </c>
      <c r="AQ215" s="8">
        <v>35.1</v>
      </c>
      <c r="AR215" s="4"/>
      <c r="AS215" s="8"/>
      <c r="AT215" s="7"/>
      <c r="AU215" s="7"/>
      <c r="AV215" s="4" t="s">
        <v>100</v>
      </c>
      <c r="AW215" s="8" t="s">
        <v>100</v>
      </c>
      <c r="AX215" s="4" t="s">
        <v>100</v>
      </c>
      <c r="AY215" s="8" t="s">
        <v>100</v>
      </c>
      <c r="AZ215" s="7" t="s">
        <v>100</v>
      </c>
      <c r="BA215" s="7" t="s">
        <v>100</v>
      </c>
      <c r="BB215" s="7">
        <v>0.1625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 t="s">
        <v>100</v>
      </c>
      <c r="BJ215" s="4">
        <v>47</v>
      </c>
      <c r="BK215" s="8">
        <v>1564.19</v>
      </c>
      <c r="BL215" s="2" t="s">
        <v>980</v>
      </c>
      <c r="BM215" s="7">
        <v>0.0213</v>
      </c>
      <c r="BN215" s="7">
        <v>0.0224</v>
      </c>
      <c r="BO215" s="4">
        <v>1</v>
      </c>
      <c r="BP215" s="8">
        <v>35.1</v>
      </c>
      <c r="BQ215" s="4"/>
      <c r="BR215" s="8"/>
      <c r="BS215" s="7"/>
      <c r="BT215" s="7"/>
      <c r="BU215" s="2" t="s">
        <v>109</v>
      </c>
      <c r="BV215" s="2" t="s">
        <v>97</v>
      </c>
      <c r="BW215" s="2" t="s">
        <v>881</v>
      </c>
      <c r="BX215" s="2" t="s">
        <v>882</v>
      </c>
      <c r="BY215" s="2" t="s">
        <v>112</v>
      </c>
      <c r="BZ215" s="2" t="s">
        <v>100</v>
      </c>
    </row>
    <row r="216">
      <c r="A216" s="2" t="s">
        <v>981</v>
      </c>
      <c r="B216" s="2" t="s">
        <v>87</v>
      </c>
      <c r="C216" s="2" t="s">
        <v>785</v>
      </c>
      <c r="D216" s="2" t="s">
        <v>89</v>
      </c>
      <c r="E216" s="2" t="s">
        <v>786</v>
      </c>
      <c r="F216" s="2" t="s">
        <v>840</v>
      </c>
      <c r="G216" s="2" t="s">
        <v>841</v>
      </c>
      <c r="H216" s="2" t="s">
        <v>842</v>
      </c>
      <c r="I216" s="2" t="s">
        <v>843</v>
      </c>
      <c r="J216" s="2" t="s">
        <v>791</v>
      </c>
      <c r="K216" s="2" t="s">
        <v>96</v>
      </c>
      <c r="L216" s="3">
        <v>21.42</v>
      </c>
      <c r="M216" s="3">
        <v>22.49</v>
      </c>
      <c r="N216" s="3">
        <v>39.99</v>
      </c>
      <c r="O216" s="2" t="s">
        <v>97</v>
      </c>
      <c r="P216" s="2" t="s">
        <v>483</v>
      </c>
      <c r="Q216" s="2" t="s">
        <v>99</v>
      </c>
      <c r="R216" s="2" t="s">
        <v>100</v>
      </c>
      <c r="S216" s="2" t="s">
        <v>982</v>
      </c>
      <c r="T216" s="2" t="s">
        <v>231</v>
      </c>
      <c r="U216" s="2" t="s">
        <v>426</v>
      </c>
      <c r="V216" s="2" t="s">
        <v>427</v>
      </c>
      <c r="W216" s="2" t="s">
        <v>428</v>
      </c>
      <c r="X216" s="2" t="s">
        <v>636</v>
      </c>
      <c r="Y216" s="2" t="s">
        <v>954</v>
      </c>
      <c r="Z216" s="4">
        <v>419</v>
      </c>
      <c r="AA216" s="4">
        <f>=ROUNDDOWN(11.6388888888889,0)</f>
      </c>
      <c r="AB216" s="5">
        <v>36</v>
      </c>
      <c r="AC216" s="2" t="s">
        <v>184</v>
      </c>
      <c r="AD216" s="4">
        <v>186</v>
      </c>
      <c r="AE216" s="4">
        <v>486</v>
      </c>
      <c r="AF216" s="6">
        <v>63</v>
      </c>
      <c r="AG216" s="6">
        <v>46</v>
      </c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/>
      <c r="AP216" s="4">
        <v>1</v>
      </c>
      <c r="AQ216" s="8">
        <v>24.29</v>
      </c>
      <c r="AR216" s="4"/>
      <c r="AS216" s="8"/>
      <c r="AT216" s="7"/>
      <c r="AU216" s="7"/>
      <c r="AV216" s="4">
        <v>5</v>
      </c>
      <c r="AW216" s="8">
        <v>152.8</v>
      </c>
      <c r="AX216" s="4" t="s">
        <v>100</v>
      </c>
      <c r="AY216" s="8" t="s">
        <v>100</v>
      </c>
      <c r="AZ216" s="7" t="s">
        <v>100</v>
      </c>
      <c r="BA216" s="7" t="s">
        <v>100</v>
      </c>
      <c r="BB216" s="7">
        <v>0.159</v>
      </c>
      <c r="BC216" s="4" t="s">
        <v>100</v>
      </c>
      <c r="BD216" s="8" t="s">
        <v>100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>
        <v>0.0374</v>
      </c>
      <c r="BJ216" s="4">
        <v>149</v>
      </c>
      <c r="BK216" s="8">
        <v>3166.43</v>
      </c>
      <c r="BL216" s="2" t="s">
        <v>983</v>
      </c>
      <c r="BM216" s="7">
        <v>0.0067</v>
      </c>
      <c r="BN216" s="7">
        <v>0.0077</v>
      </c>
      <c r="BO216" s="4">
        <v>1</v>
      </c>
      <c r="BP216" s="8">
        <v>24.29</v>
      </c>
      <c r="BQ216" s="4"/>
      <c r="BR216" s="8"/>
      <c r="BS216" s="7"/>
      <c r="BT216" s="7"/>
      <c r="BU216" s="2" t="s">
        <v>109</v>
      </c>
      <c r="BV216" s="2" t="s">
        <v>97</v>
      </c>
      <c r="BW216" s="2" t="s">
        <v>927</v>
      </c>
      <c r="BX216" s="2" t="s">
        <v>487</v>
      </c>
      <c r="BY216" s="2" t="s">
        <v>112</v>
      </c>
      <c r="BZ216" s="2" t="s">
        <v>100</v>
      </c>
    </row>
    <row r="217">
      <c r="A217" s="2" t="s">
        <v>984</v>
      </c>
      <c r="B217" s="2" t="s">
        <v>87</v>
      </c>
      <c r="C217" s="2" t="s">
        <v>785</v>
      </c>
      <c r="D217" s="2" t="s">
        <v>89</v>
      </c>
      <c r="E217" s="2" t="s">
        <v>786</v>
      </c>
      <c r="F217" s="2" t="s">
        <v>840</v>
      </c>
      <c r="G217" s="2" t="s">
        <v>841</v>
      </c>
      <c r="H217" s="2" t="s">
        <v>842</v>
      </c>
      <c r="I217" s="2" t="s">
        <v>843</v>
      </c>
      <c r="J217" s="2" t="s">
        <v>157</v>
      </c>
      <c r="K217" s="2" t="s">
        <v>96</v>
      </c>
      <c r="L217" s="3">
        <v>25.23</v>
      </c>
      <c r="M217" s="3">
        <v>26.49</v>
      </c>
      <c r="N217" s="3">
        <v>49.99</v>
      </c>
      <c r="O217" s="2" t="s">
        <v>97</v>
      </c>
      <c r="P217" s="2" t="s">
        <v>483</v>
      </c>
      <c r="Q217" s="2" t="s">
        <v>99</v>
      </c>
      <c r="R217" s="2" t="s">
        <v>100</v>
      </c>
      <c r="S217" s="2" t="s">
        <v>982</v>
      </c>
      <c r="T217" s="2" t="s">
        <v>231</v>
      </c>
      <c r="U217" s="2" t="s">
        <v>432</v>
      </c>
      <c r="V217" s="2" t="s">
        <v>427</v>
      </c>
      <c r="W217" s="2" t="s">
        <v>428</v>
      </c>
      <c r="X217" s="2" t="s">
        <v>636</v>
      </c>
      <c r="Y217" s="2" t="s">
        <v>935</v>
      </c>
      <c r="Z217" s="4">
        <v>922</v>
      </c>
      <c r="AA217" s="4">
        <f>=ROUNDDOWN(30.6312292358804,0)</f>
      </c>
      <c r="AB217" s="5">
        <v>30.1</v>
      </c>
      <c r="AC217" s="2" t="s">
        <v>436</v>
      </c>
      <c r="AD217" s="4">
        <v>468</v>
      </c>
      <c r="AE217" s="4">
        <v>468</v>
      </c>
      <c r="AF217" s="6">
        <v>63</v>
      </c>
      <c r="AG217" s="6">
        <v>46</v>
      </c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/>
      <c r="AP217" s="4">
        <v>1</v>
      </c>
      <c r="AQ217" s="8">
        <v>28.61</v>
      </c>
      <c r="AR217" s="4"/>
      <c r="AS217" s="8"/>
      <c r="AT217" s="7"/>
      <c r="AU217" s="7"/>
      <c r="AV217" s="4" t="s">
        <v>100</v>
      </c>
      <c r="AW217" s="8" t="s">
        <v>100</v>
      </c>
      <c r="AX217" s="4" t="s">
        <v>100</v>
      </c>
      <c r="AY217" s="8" t="s">
        <v>100</v>
      </c>
      <c r="AZ217" s="7" t="s">
        <v>100</v>
      </c>
      <c r="BA217" s="7" t="s">
        <v>100</v>
      </c>
      <c r="BB217" s="7">
        <v>0.1872</v>
      </c>
      <c r="BC217" s="4" t="s">
        <v>100</v>
      </c>
      <c r="BD217" s="8" t="s">
        <v>100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 t="s">
        <v>100</v>
      </c>
      <c r="BJ217" s="4">
        <v>144</v>
      </c>
      <c r="BK217" s="8">
        <v>3618.04</v>
      </c>
      <c r="BL217" s="2" t="s">
        <v>985</v>
      </c>
      <c r="BM217" s="7">
        <v>0.0069</v>
      </c>
      <c r="BN217" s="7">
        <v>0.0079</v>
      </c>
      <c r="BO217" s="4">
        <v>1</v>
      </c>
      <c r="BP217" s="8">
        <v>28.61</v>
      </c>
      <c r="BQ217" s="4"/>
      <c r="BR217" s="8"/>
      <c r="BS217" s="7"/>
      <c r="BT217" s="7"/>
      <c r="BU217" s="2" t="s">
        <v>109</v>
      </c>
      <c r="BV217" s="2" t="s">
        <v>97</v>
      </c>
      <c r="BW217" s="2" t="s">
        <v>879</v>
      </c>
      <c r="BX217" s="2" t="s">
        <v>986</v>
      </c>
      <c r="BY217" s="2" t="s">
        <v>112</v>
      </c>
      <c r="BZ217" s="2" t="s">
        <v>100</v>
      </c>
    </row>
    <row r="218">
      <c r="A218" s="2" t="s">
        <v>987</v>
      </c>
      <c r="B218" s="2" t="s">
        <v>87</v>
      </c>
      <c r="C218" s="2" t="s">
        <v>785</v>
      </c>
      <c r="D218" s="2" t="s">
        <v>89</v>
      </c>
      <c r="E218" s="2" t="s">
        <v>786</v>
      </c>
      <c r="F218" s="2" t="s">
        <v>840</v>
      </c>
      <c r="G218" s="2" t="s">
        <v>841</v>
      </c>
      <c r="H218" s="2" t="s">
        <v>842</v>
      </c>
      <c r="I218" s="2" t="s">
        <v>843</v>
      </c>
      <c r="J218" s="2" t="s">
        <v>95</v>
      </c>
      <c r="K218" s="2" t="s">
        <v>96</v>
      </c>
      <c r="L218" s="3">
        <v>26.19</v>
      </c>
      <c r="M218" s="3">
        <v>27.5</v>
      </c>
      <c r="N218" s="3">
        <v>49.99</v>
      </c>
      <c r="O218" s="2" t="s">
        <v>97</v>
      </c>
      <c r="P218" s="2" t="s">
        <v>483</v>
      </c>
      <c r="Q218" s="2" t="s">
        <v>99</v>
      </c>
      <c r="R218" s="2" t="s">
        <v>100</v>
      </c>
      <c r="S218" s="2" t="s">
        <v>982</v>
      </c>
      <c r="T218" s="2" t="s">
        <v>231</v>
      </c>
      <c r="U218" s="2" t="s">
        <v>432</v>
      </c>
      <c r="V218" s="2" t="s">
        <v>427</v>
      </c>
      <c r="W218" s="2" t="s">
        <v>428</v>
      </c>
      <c r="X218" s="2" t="s">
        <v>636</v>
      </c>
      <c r="Y218" s="2" t="s">
        <v>988</v>
      </c>
      <c r="Z218" s="4">
        <v>1023</v>
      </c>
      <c r="AA218" s="4">
        <f>=ROUNDDOWN(7.12395543175488,0)</f>
      </c>
      <c r="AB218" s="5">
        <v>143.6</v>
      </c>
      <c r="AC218" s="2" t="s">
        <v>184</v>
      </c>
      <c r="AD218" s="4">
        <v>1059</v>
      </c>
      <c r="AE218" s="4">
        <v>1809</v>
      </c>
      <c r="AF218" s="6">
        <v>63</v>
      </c>
      <c r="AG218" s="6">
        <v>46</v>
      </c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100</v>
      </c>
      <c r="AW218" s="8" t="s">
        <v>100</v>
      </c>
      <c r="AX218" s="4" t="s">
        <v>100</v>
      </c>
      <c r="AY218" s="8" t="s">
        <v>100</v>
      </c>
      <c r="AZ218" s="7" t="s">
        <v>100</v>
      </c>
      <c r="BA218" s="7" t="s">
        <v>100</v>
      </c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 t="s">
        <v>100</v>
      </c>
      <c r="BJ218" s="4">
        <v>637</v>
      </c>
      <c r="BK218" s="8">
        <v>17191.84</v>
      </c>
      <c r="BL218" s="2" t="s">
        <v>989</v>
      </c>
      <c r="BM218" s="7"/>
      <c r="BN218" s="7"/>
      <c r="BO218" s="4"/>
      <c r="BP218" s="8"/>
      <c r="BQ218" s="4"/>
      <c r="BR218" s="8"/>
      <c r="BS218" s="7"/>
      <c r="BT218" s="7"/>
      <c r="BU218" s="2" t="s">
        <v>109</v>
      </c>
      <c r="BV218" s="2" t="s">
        <v>97</v>
      </c>
      <c r="BW218" s="2" t="s">
        <v>927</v>
      </c>
      <c r="BX218" s="2" t="s">
        <v>860</v>
      </c>
      <c r="BY218" s="2" t="s">
        <v>112</v>
      </c>
      <c r="BZ218" s="2" t="s">
        <v>100</v>
      </c>
    </row>
    <row r="219">
      <c r="A219" s="2" t="s">
        <v>990</v>
      </c>
      <c r="B219" s="2" t="s">
        <v>87</v>
      </c>
      <c r="C219" s="2" t="s">
        <v>785</v>
      </c>
      <c r="D219" s="2" t="s">
        <v>89</v>
      </c>
      <c r="E219" s="2" t="s">
        <v>786</v>
      </c>
      <c r="F219" s="2" t="s">
        <v>840</v>
      </c>
      <c r="G219" s="2" t="s">
        <v>841</v>
      </c>
      <c r="H219" s="2" t="s">
        <v>842</v>
      </c>
      <c r="I219" s="2" t="s">
        <v>843</v>
      </c>
      <c r="J219" s="2" t="s">
        <v>114</v>
      </c>
      <c r="K219" s="2" t="s">
        <v>96</v>
      </c>
      <c r="L219" s="3">
        <v>28.57</v>
      </c>
      <c r="M219" s="3">
        <v>30</v>
      </c>
      <c r="N219" s="3">
        <v>54.99</v>
      </c>
      <c r="O219" s="2" t="s">
        <v>97</v>
      </c>
      <c r="P219" s="2" t="s">
        <v>483</v>
      </c>
      <c r="Q219" s="2" t="s">
        <v>99</v>
      </c>
      <c r="R219" s="2" t="s">
        <v>100</v>
      </c>
      <c r="S219" s="2" t="s">
        <v>982</v>
      </c>
      <c r="T219" s="2" t="s">
        <v>231</v>
      </c>
      <c r="U219" s="2" t="s">
        <v>432</v>
      </c>
      <c r="V219" s="2" t="s">
        <v>427</v>
      </c>
      <c r="W219" s="2" t="s">
        <v>428</v>
      </c>
      <c r="X219" s="2" t="s">
        <v>636</v>
      </c>
      <c r="Y219" s="2" t="s">
        <v>954</v>
      </c>
      <c r="Z219" s="4">
        <v>1657</v>
      </c>
      <c r="AA219" s="4">
        <f>=ROUNDDOWN(11.7019774011299,0)</f>
      </c>
      <c r="AB219" s="5">
        <v>141.6</v>
      </c>
      <c r="AC219" s="2" t="s">
        <v>184</v>
      </c>
      <c r="AD219" s="4">
        <v>798</v>
      </c>
      <c r="AE219" s="4">
        <v>1308</v>
      </c>
      <c r="AF219" s="6">
        <v>63</v>
      </c>
      <c r="AG219" s="6">
        <v>46</v>
      </c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/>
      <c r="AP219" s="4">
        <v>2</v>
      </c>
      <c r="AQ219" s="8">
        <v>64.8</v>
      </c>
      <c r="AR219" s="4"/>
      <c r="AS219" s="8"/>
      <c r="AT219" s="7"/>
      <c r="AU219" s="7"/>
      <c r="AV219" s="4" t="s">
        <v>100</v>
      </c>
      <c r="AW219" s="8" t="s">
        <v>100</v>
      </c>
      <c r="AX219" s="4" t="s">
        <v>100</v>
      </c>
      <c r="AY219" s="8" t="s">
        <v>100</v>
      </c>
      <c r="AZ219" s="7" t="s">
        <v>100</v>
      </c>
      <c r="BA219" s="7" t="s">
        <v>100</v>
      </c>
      <c r="BB219" s="7">
        <v>0.4241</v>
      </c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 t="s">
        <v>100</v>
      </c>
      <c r="BJ219" s="4">
        <v>540</v>
      </c>
      <c r="BK219" s="8">
        <v>16793.79</v>
      </c>
      <c r="BL219" s="2" t="s">
        <v>932</v>
      </c>
      <c r="BM219" s="7">
        <v>0.0037</v>
      </c>
      <c r="BN219" s="7">
        <v>0.0039</v>
      </c>
      <c r="BO219" s="4">
        <v>2</v>
      </c>
      <c r="BP219" s="8">
        <v>64.8</v>
      </c>
      <c r="BQ219" s="4"/>
      <c r="BR219" s="8"/>
      <c r="BS219" s="7"/>
      <c r="BT219" s="7"/>
      <c r="BU219" s="2" t="s">
        <v>109</v>
      </c>
      <c r="BV219" s="2" t="s">
        <v>97</v>
      </c>
      <c r="BW219" s="2" t="s">
        <v>927</v>
      </c>
      <c r="BX219" s="2" t="s">
        <v>849</v>
      </c>
      <c r="BY219" s="2" t="s">
        <v>112</v>
      </c>
      <c r="BZ219" s="2" t="s">
        <v>100</v>
      </c>
    </row>
    <row r="220">
      <c r="A220" s="2" t="s">
        <v>991</v>
      </c>
      <c r="B220" s="2" t="s">
        <v>87</v>
      </c>
      <c r="C220" s="2" t="s">
        <v>785</v>
      </c>
      <c r="D220" s="2" t="s">
        <v>89</v>
      </c>
      <c r="E220" s="2" t="s">
        <v>786</v>
      </c>
      <c r="F220" s="2" t="s">
        <v>840</v>
      </c>
      <c r="G220" s="2" t="s">
        <v>841</v>
      </c>
      <c r="H220" s="2" t="s">
        <v>842</v>
      </c>
      <c r="I220" s="2" t="s">
        <v>843</v>
      </c>
      <c r="J220" s="2" t="s">
        <v>120</v>
      </c>
      <c r="K220" s="2" t="s">
        <v>96</v>
      </c>
      <c r="L220" s="3">
        <v>30.95</v>
      </c>
      <c r="M220" s="3">
        <v>32.5</v>
      </c>
      <c r="N220" s="3">
        <v>54.99</v>
      </c>
      <c r="O220" s="2" t="s">
        <v>97</v>
      </c>
      <c r="P220" s="2" t="s">
        <v>483</v>
      </c>
      <c r="Q220" s="2" t="s">
        <v>99</v>
      </c>
      <c r="R220" s="2" t="s">
        <v>100</v>
      </c>
      <c r="S220" s="2" t="s">
        <v>982</v>
      </c>
      <c r="T220" s="2" t="s">
        <v>231</v>
      </c>
      <c r="U220" s="2" t="s">
        <v>432</v>
      </c>
      <c r="V220" s="2" t="s">
        <v>427</v>
      </c>
      <c r="W220" s="2" t="s">
        <v>428</v>
      </c>
      <c r="X220" s="2" t="s">
        <v>636</v>
      </c>
      <c r="Y220" s="2" t="s">
        <v>935</v>
      </c>
      <c r="Z220" s="4">
        <v>774</v>
      </c>
      <c r="AA220" s="4">
        <f>=ROUNDDOWN(16.5738758029979,0)</f>
      </c>
      <c r="AB220" s="5">
        <v>46.7</v>
      </c>
      <c r="AC220" s="2" t="s">
        <v>436</v>
      </c>
      <c r="AD220" s="4">
        <v>567</v>
      </c>
      <c r="AE220" s="4">
        <v>567</v>
      </c>
      <c r="AF220" s="6">
        <v>63</v>
      </c>
      <c r="AG220" s="6">
        <v>46</v>
      </c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/>
      <c r="AP220" s="4">
        <v>1</v>
      </c>
      <c r="AQ220" s="8">
        <v>35.1</v>
      </c>
      <c r="AR220" s="4"/>
      <c r="AS220" s="8"/>
      <c r="AT220" s="7"/>
      <c r="AU220" s="7"/>
      <c r="AV220" s="4" t="s">
        <v>100</v>
      </c>
      <c r="AW220" s="8" t="s">
        <v>100</v>
      </c>
      <c r="AX220" s="4" t="s">
        <v>100</v>
      </c>
      <c r="AY220" s="8" t="s">
        <v>100</v>
      </c>
      <c r="AZ220" s="7" t="s">
        <v>100</v>
      </c>
      <c r="BA220" s="7" t="s">
        <v>100</v>
      </c>
      <c r="BB220" s="7">
        <v>0.2297</v>
      </c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 t="s">
        <v>100</v>
      </c>
      <c r="BJ220" s="4">
        <v>175</v>
      </c>
      <c r="BK220" s="8">
        <v>6043.86</v>
      </c>
      <c r="BL220" s="2" t="s">
        <v>992</v>
      </c>
      <c r="BM220" s="7">
        <v>0.0057</v>
      </c>
      <c r="BN220" s="7">
        <v>0.0058</v>
      </c>
      <c r="BO220" s="4">
        <v>1</v>
      </c>
      <c r="BP220" s="8">
        <v>35.1</v>
      </c>
      <c r="BQ220" s="4"/>
      <c r="BR220" s="8"/>
      <c r="BS220" s="7"/>
      <c r="BT220" s="7"/>
      <c r="BU220" s="2" t="s">
        <v>109</v>
      </c>
      <c r="BV220" s="2" t="s">
        <v>97</v>
      </c>
      <c r="BW220" s="2" t="s">
        <v>879</v>
      </c>
      <c r="BX220" s="2" t="s">
        <v>993</v>
      </c>
      <c r="BY220" s="2" t="s">
        <v>112</v>
      </c>
      <c r="BZ220" s="2" t="s">
        <v>100</v>
      </c>
    </row>
    <row r="221">
      <c r="A221" s="2" t="s">
        <v>994</v>
      </c>
      <c r="B221" s="2" t="s">
        <v>87</v>
      </c>
      <c r="C221" s="2" t="s">
        <v>785</v>
      </c>
      <c r="D221" s="2" t="s">
        <v>89</v>
      </c>
      <c r="E221" s="2" t="s">
        <v>786</v>
      </c>
      <c r="F221" s="2" t="s">
        <v>840</v>
      </c>
      <c r="G221" s="2" t="s">
        <v>841</v>
      </c>
      <c r="H221" s="2" t="s">
        <v>842</v>
      </c>
      <c r="I221" s="2" t="s">
        <v>843</v>
      </c>
      <c r="J221" s="2" t="s">
        <v>791</v>
      </c>
      <c r="K221" s="2" t="s">
        <v>764</v>
      </c>
      <c r="L221" s="3">
        <v>21.42</v>
      </c>
      <c r="M221" s="3">
        <v>22.49</v>
      </c>
      <c r="N221" s="3">
        <v>44.99</v>
      </c>
      <c r="O221" s="2" t="s">
        <v>97</v>
      </c>
      <c r="P221" s="2" t="s">
        <v>576</v>
      </c>
      <c r="Q221" s="2" t="s">
        <v>99</v>
      </c>
      <c r="R221" s="2" t="s">
        <v>100</v>
      </c>
      <c r="S221" s="2" t="s">
        <v>995</v>
      </c>
      <c r="T221" s="2" t="s">
        <v>231</v>
      </c>
      <c r="U221" s="2" t="s">
        <v>426</v>
      </c>
      <c r="V221" s="2" t="s">
        <v>427</v>
      </c>
      <c r="W221" s="2" t="s">
        <v>428</v>
      </c>
      <c r="X221" s="2" t="s">
        <v>636</v>
      </c>
      <c r="Y221" s="2" t="s">
        <v>887</v>
      </c>
      <c r="Z221" s="4">
        <v>262</v>
      </c>
      <c r="AA221" s="4">
        <f>=ROUNDDOWN(21.8333333333333,0)</f>
      </c>
      <c r="AB221" s="5">
        <v>12</v>
      </c>
      <c r="AC221" s="2" t="s">
        <v>162</v>
      </c>
      <c r="AD221" s="4">
        <v>90</v>
      </c>
      <c r="AE221" s="4">
        <v>210</v>
      </c>
      <c r="AF221" s="6">
        <v>63</v>
      </c>
      <c r="AG221" s="6">
        <v>46</v>
      </c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/>
      <c r="AP221" s="4">
        <v>1</v>
      </c>
      <c r="AQ221" s="8">
        <v>24.29</v>
      </c>
      <c r="AR221" s="4"/>
      <c r="AS221" s="8"/>
      <c r="AT221" s="7"/>
      <c r="AU221" s="7"/>
      <c r="AV221" s="4">
        <v>4</v>
      </c>
      <c r="AW221" s="8">
        <v>113.39</v>
      </c>
      <c r="AX221" s="4" t="s">
        <v>100</v>
      </c>
      <c r="AY221" s="8" t="s">
        <v>100</v>
      </c>
      <c r="AZ221" s="7" t="s">
        <v>100</v>
      </c>
      <c r="BA221" s="7" t="s">
        <v>100</v>
      </c>
      <c r="BB221" s="7">
        <v>0.2142</v>
      </c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>
        <v>0.0278</v>
      </c>
      <c r="BJ221" s="4">
        <v>64</v>
      </c>
      <c r="BK221" s="8">
        <v>1458.31</v>
      </c>
      <c r="BL221" s="2" t="s">
        <v>996</v>
      </c>
      <c r="BM221" s="7">
        <v>0.0156</v>
      </c>
      <c r="BN221" s="7">
        <v>0.0167</v>
      </c>
      <c r="BO221" s="4">
        <v>1</v>
      </c>
      <c r="BP221" s="8">
        <v>24.29</v>
      </c>
      <c r="BQ221" s="4"/>
      <c r="BR221" s="8"/>
      <c r="BS221" s="7"/>
      <c r="BT221" s="7"/>
      <c r="BU221" s="2" t="s">
        <v>109</v>
      </c>
      <c r="BV221" s="2" t="s">
        <v>97</v>
      </c>
      <c r="BW221" s="2" t="s">
        <v>876</v>
      </c>
      <c r="BX221" s="2" t="s">
        <v>997</v>
      </c>
      <c r="BY221" s="2" t="s">
        <v>112</v>
      </c>
      <c r="BZ221" s="2" t="s">
        <v>100</v>
      </c>
    </row>
    <row r="222">
      <c r="A222" s="2" t="s">
        <v>998</v>
      </c>
      <c r="B222" s="2" t="s">
        <v>87</v>
      </c>
      <c r="C222" s="2" t="s">
        <v>785</v>
      </c>
      <c r="D222" s="2" t="s">
        <v>89</v>
      </c>
      <c r="E222" s="2" t="s">
        <v>786</v>
      </c>
      <c r="F222" s="2" t="s">
        <v>840</v>
      </c>
      <c r="G222" s="2" t="s">
        <v>841</v>
      </c>
      <c r="H222" s="2" t="s">
        <v>842</v>
      </c>
      <c r="I222" s="2" t="s">
        <v>843</v>
      </c>
      <c r="J222" s="2" t="s">
        <v>157</v>
      </c>
      <c r="K222" s="2" t="s">
        <v>764</v>
      </c>
      <c r="L222" s="3">
        <v>25.23</v>
      </c>
      <c r="M222" s="3">
        <v>26.49</v>
      </c>
      <c r="N222" s="3">
        <v>49.99</v>
      </c>
      <c r="O222" s="2" t="s">
        <v>97</v>
      </c>
      <c r="P222" s="2" t="s">
        <v>483</v>
      </c>
      <c r="Q222" s="2" t="s">
        <v>99</v>
      </c>
      <c r="R222" s="2" t="s">
        <v>100</v>
      </c>
      <c r="S222" s="2" t="s">
        <v>995</v>
      </c>
      <c r="T222" s="2" t="s">
        <v>231</v>
      </c>
      <c r="U222" s="2" t="s">
        <v>432</v>
      </c>
      <c r="V222" s="2" t="s">
        <v>427</v>
      </c>
      <c r="W222" s="2" t="s">
        <v>428</v>
      </c>
      <c r="X222" s="2" t="s">
        <v>636</v>
      </c>
      <c r="Y222" s="2" t="s">
        <v>935</v>
      </c>
      <c r="Z222" s="4">
        <v>443</v>
      </c>
      <c r="AA222" s="4">
        <f>=ROUNDDOWN(39.5535714285714,0)</f>
      </c>
      <c r="AB222" s="5">
        <v>11.2</v>
      </c>
      <c r="AC222" s="2" t="s">
        <v>184</v>
      </c>
      <c r="AD222" s="4">
        <v>18</v>
      </c>
      <c r="AE222" s="4">
        <v>18</v>
      </c>
      <c r="AF222" s="6">
        <v>63</v>
      </c>
      <c r="AG222" s="6">
        <v>46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100</v>
      </c>
      <c r="AW222" s="8" t="s">
        <v>100</v>
      </c>
      <c r="AX222" s="4" t="s">
        <v>100</v>
      </c>
      <c r="AY222" s="8" t="s">
        <v>100</v>
      </c>
      <c r="AZ222" s="7" t="s">
        <v>100</v>
      </c>
      <c r="BA222" s="7" t="s">
        <v>100</v>
      </c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 t="s">
        <v>100</v>
      </c>
      <c r="BJ222" s="4">
        <v>57</v>
      </c>
      <c r="BK222" s="8">
        <v>1458.87</v>
      </c>
      <c r="BL222" s="2" t="s">
        <v>930</v>
      </c>
      <c r="BM222" s="7"/>
      <c r="BN222" s="7"/>
      <c r="BO222" s="4"/>
      <c r="BP222" s="8"/>
      <c r="BQ222" s="4"/>
      <c r="BR222" s="8"/>
      <c r="BS222" s="7"/>
      <c r="BT222" s="7"/>
      <c r="BU222" s="2" t="s">
        <v>109</v>
      </c>
      <c r="BV222" s="2" t="s">
        <v>97</v>
      </c>
      <c r="BW222" s="2" t="s">
        <v>879</v>
      </c>
      <c r="BX222" s="2" t="s">
        <v>100</v>
      </c>
      <c r="BY222" s="2" t="s">
        <v>112</v>
      </c>
      <c r="BZ222" s="2" t="s">
        <v>100</v>
      </c>
    </row>
    <row r="223">
      <c r="A223" s="2" t="s">
        <v>999</v>
      </c>
      <c r="B223" s="2" t="s">
        <v>87</v>
      </c>
      <c r="C223" s="2" t="s">
        <v>785</v>
      </c>
      <c r="D223" s="2" t="s">
        <v>89</v>
      </c>
      <c r="E223" s="2" t="s">
        <v>786</v>
      </c>
      <c r="F223" s="2" t="s">
        <v>840</v>
      </c>
      <c r="G223" s="2" t="s">
        <v>841</v>
      </c>
      <c r="H223" s="2" t="s">
        <v>842</v>
      </c>
      <c r="I223" s="2" t="s">
        <v>843</v>
      </c>
      <c r="J223" s="2" t="s">
        <v>95</v>
      </c>
      <c r="K223" s="2" t="s">
        <v>764</v>
      </c>
      <c r="L223" s="3">
        <v>26.19</v>
      </c>
      <c r="M223" s="3">
        <v>27.5</v>
      </c>
      <c r="N223" s="3">
        <v>54.99</v>
      </c>
      <c r="O223" s="2" t="s">
        <v>97</v>
      </c>
      <c r="P223" s="2" t="s">
        <v>576</v>
      </c>
      <c r="Q223" s="2" t="s">
        <v>99</v>
      </c>
      <c r="R223" s="2" t="s">
        <v>100</v>
      </c>
      <c r="S223" s="2" t="s">
        <v>995</v>
      </c>
      <c r="T223" s="2" t="s">
        <v>231</v>
      </c>
      <c r="U223" s="2" t="s">
        <v>432</v>
      </c>
      <c r="V223" s="2" t="s">
        <v>427</v>
      </c>
      <c r="W223" s="2" t="s">
        <v>428</v>
      </c>
      <c r="X223" s="2" t="s">
        <v>636</v>
      </c>
      <c r="Y223" s="2" t="s">
        <v>874</v>
      </c>
      <c r="Z223" s="4">
        <v>1449</v>
      </c>
      <c r="AA223" s="4">
        <f>=ROUNDDOWN(34.5,0)</f>
      </c>
      <c r="AB223" s="5">
        <v>42</v>
      </c>
      <c r="AC223" s="2" t="s">
        <v>162</v>
      </c>
      <c r="AD223" s="4">
        <v>510</v>
      </c>
      <c r="AE223" s="4">
        <v>1410</v>
      </c>
      <c r="AF223" s="6">
        <v>63</v>
      </c>
      <c r="AG223" s="6">
        <v>46</v>
      </c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/>
      <c r="AP223" s="4">
        <v>3</v>
      </c>
      <c r="AQ223" s="8">
        <v>89.1</v>
      </c>
      <c r="AR223" s="4"/>
      <c r="AS223" s="8"/>
      <c r="AT223" s="7"/>
      <c r="AU223" s="7"/>
      <c r="AV223" s="4" t="s">
        <v>100</v>
      </c>
      <c r="AW223" s="8" t="s">
        <v>100</v>
      </c>
      <c r="AX223" s="4" t="s">
        <v>100</v>
      </c>
      <c r="AY223" s="8" t="s">
        <v>100</v>
      </c>
      <c r="AZ223" s="7" t="s">
        <v>100</v>
      </c>
      <c r="BA223" s="7" t="s">
        <v>100</v>
      </c>
      <c r="BB223" s="7">
        <v>0.7858</v>
      </c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 t="s">
        <v>100</v>
      </c>
      <c r="BJ223" s="4">
        <v>243</v>
      </c>
      <c r="BK223" s="8">
        <v>6005.27</v>
      </c>
      <c r="BL223" s="2" t="s">
        <v>1000</v>
      </c>
      <c r="BM223" s="7">
        <v>0.0123</v>
      </c>
      <c r="BN223" s="7">
        <v>0.0148</v>
      </c>
      <c r="BO223" s="4">
        <v>3</v>
      </c>
      <c r="BP223" s="8">
        <v>89.1</v>
      </c>
      <c r="BQ223" s="4"/>
      <c r="BR223" s="8"/>
      <c r="BS223" s="7"/>
      <c r="BT223" s="7"/>
      <c r="BU223" s="2" t="s">
        <v>109</v>
      </c>
      <c r="BV223" s="2" t="s">
        <v>97</v>
      </c>
      <c r="BW223" s="2" t="s">
        <v>876</v>
      </c>
      <c r="BX223" s="2" t="s">
        <v>903</v>
      </c>
      <c r="BY223" s="2" t="s">
        <v>112</v>
      </c>
      <c r="BZ223" s="2" t="s">
        <v>100</v>
      </c>
    </row>
    <row r="224">
      <c r="A224" s="2" t="s">
        <v>1001</v>
      </c>
      <c r="B224" s="2" t="s">
        <v>87</v>
      </c>
      <c r="C224" s="2" t="s">
        <v>785</v>
      </c>
      <c r="D224" s="2" t="s">
        <v>89</v>
      </c>
      <c r="E224" s="2" t="s">
        <v>786</v>
      </c>
      <c r="F224" s="2" t="s">
        <v>840</v>
      </c>
      <c r="G224" s="2" t="s">
        <v>841</v>
      </c>
      <c r="H224" s="2" t="s">
        <v>842</v>
      </c>
      <c r="I224" s="2" t="s">
        <v>843</v>
      </c>
      <c r="J224" s="2" t="s">
        <v>114</v>
      </c>
      <c r="K224" s="2" t="s">
        <v>764</v>
      </c>
      <c r="L224" s="3">
        <v>28.57</v>
      </c>
      <c r="M224" s="3">
        <v>30</v>
      </c>
      <c r="N224" s="3">
        <v>59.99</v>
      </c>
      <c r="O224" s="2" t="s">
        <v>97</v>
      </c>
      <c r="P224" s="2" t="s">
        <v>576</v>
      </c>
      <c r="Q224" s="2" t="s">
        <v>99</v>
      </c>
      <c r="R224" s="2" t="s">
        <v>100</v>
      </c>
      <c r="S224" s="2" t="s">
        <v>995</v>
      </c>
      <c r="T224" s="2" t="s">
        <v>231</v>
      </c>
      <c r="U224" s="2" t="s">
        <v>432</v>
      </c>
      <c r="V224" s="2" t="s">
        <v>427</v>
      </c>
      <c r="W224" s="2" t="s">
        <v>428</v>
      </c>
      <c r="X224" s="2" t="s">
        <v>636</v>
      </c>
      <c r="Y224" s="2" t="s">
        <v>887</v>
      </c>
      <c r="Z224" s="4">
        <v>2271</v>
      </c>
      <c r="AA224" s="4">
        <f>=ROUNDDOWN(87.3461538461538,0)</f>
      </c>
      <c r="AB224" s="5">
        <v>26</v>
      </c>
      <c r="AC224" s="2" t="s">
        <v>162</v>
      </c>
      <c r="AD224" s="4">
        <v>600</v>
      </c>
      <c r="AE224" s="4">
        <v>1800</v>
      </c>
      <c r="AF224" s="6">
        <v>63</v>
      </c>
      <c r="AG224" s="6">
        <v>46</v>
      </c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100</v>
      </c>
      <c r="AW224" s="8" t="s">
        <v>100</v>
      </c>
      <c r="AX224" s="4" t="s">
        <v>100</v>
      </c>
      <c r="AY224" s="8" t="s">
        <v>100</v>
      </c>
      <c r="AZ224" s="7" t="s">
        <v>100</v>
      </c>
      <c r="BA224" s="7" t="s">
        <v>100</v>
      </c>
      <c r="BB224" s="7"/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 t="s">
        <v>100</v>
      </c>
      <c r="BJ224" s="4">
        <v>105</v>
      </c>
      <c r="BK224" s="8">
        <v>2898.07</v>
      </c>
      <c r="BL224" s="2" t="s">
        <v>1002</v>
      </c>
      <c r="BM224" s="7"/>
      <c r="BN224" s="7"/>
      <c r="BO224" s="4"/>
      <c r="BP224" s="8"/>
      <c r="BQ224" s="4"/>
      <c r="BR224" s="8"/>
      <c r="BS224" s="7"/>
      <c r="BT224" s="7"/>
      <c r="BU224" s="2" t="s">
        <v>109</v>
      </c>
      <c r="BV224" s="2" t="s">
        <v>97</v>
      </c>
      <c r="BW224" s="2" t="s">
        <v>874</v>
      </c>
      <c r="BX224" s="2" t="s">
        <v>978</v>
      </c>
      <c r="BY224" s="2" t="s">
        <v>112</v>
      </c>
      <c r="BZ224" s="2" t="s">
        <v>100</v>
      </c>
    </row>
    <row r="225">
      <c r="A225" s="2" t="s">
        <v>1003</v>
      </c>
      <c r="B225" s="2" t="s">
        <v>87</v>
      </c>
      <c r="C225" s="2" t="s">
        <v>785</v>
      </c>
      <c r="D225" s="2" t="s">
        <v>89</v>
      </c>
      <c r="E225" s="2" t="s">
        <v>786</v>
      </c>
      <c r="F225" s="2" t="s">
        <v>840</v>
      </c>
      <c r="G225" s="2" t="s">
        <v>841</v>
      </c>
      <c r="H225" s="2" t="s">
        <v>842</v>
      </c>
      <c r="I225" s="2" t="s">
        <v>843</v>
      </c>
      <c r="J225" s="2" t="s">
        <v>120</v>
      </c>
      <c r="K225" s="2" t="s">
        <v>764</v>
      </c>
      <c r="L225" s="3">
        <v>30.95</v>
      </c>
      <c r="M225" s="3">
        <v>32.5</v>
      </c>
      <c r="N225" s="3">
        <v>54.99</v>
      </c>
      <c r="O225" s="2" t="s">
        <v>97</v>
      </c>
      <c r="P225" s="2" t="s">
        <v>483</v>
      </c>
      <c r="Q225" s="2" t="s">
        <v>99</v>
      </c>
      <c r="R225" s="2" t="s">
        <v>100</v>
      </c>
      <c r="S225" s="2" t="s">
        <v>995</v>
      </c>
      <c r="T225" s="2" t="s">
        <v>231</v>
      </c>
      <c r="U225" s="2" t="s">
        <v>432</v>
      </c>
      <c r="V225" s="2" t="s">
        <v>427</v>
      </c>
      <c r="W225" s="2" t="s">
        <v>428</v>
      </c>
      <c r="X225" s="2" t="s">
        <v>636</v>
      </c>
      <c r="Y225" s="2" t="s">
        <v>935</v>
      </c>
      <c r="Z225" s="4">
        <v>989</v>
      </c>
      <c r="AA225" s="4">
        <f>=ROUNDDOWN(87.5221238938053,0)</f>
      </c>
      <c r="AB225" s="5">
        <v>11.3</v>
      </c>
      <c r="AC225" s="2" t="s">
        <v>184</v>
      </c>
      <c r="AD225" s="4">
        <v>33</v>
      </c>
      <c r="AE225" s="4">
        <v>33</v>
      </c>
      <c r="AF225" s="6">
        <v>63</v>
      </c>
      <c r="AG225" s="6">
        <v>46</v>
      </c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100</v>
      </c>
      <c r="AW225" s="8" t="s">
        <v>100</v>
      </c>
      <c r="AX225" s="4" t="s">
        <v>100</v>
      </c>
      <c r="AY225" s="8" t="s">
        <v>100</v>
      </c>
      <c r="AZ225" s="7" t="s">
        <v>100</v>
      </c>
      <c r="BA225" s="7" t="s">
        <v>100</v>
      </c>
      <c r="BB225" s="7"/>
      <c r="BC225" s="4" t="s">
        <v>100</v>
      </c>
      <c r="BD225" s="8" t="s">
        <v>100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 t="s">
        <v>100</v>
      </c>
      <c r="BJ225" s="4">
        <v>47</v>
      </c>
      <c r="BK225" s="8">
        <v>1598.28</v>
      </c>
      <c r="BL225" s="2" t="s">
        <v>944</v>
      </c>
      <c r="BM225" s="7"/>
      <c r="BN225" s="7"/>
      <c r="BO225" s="4"/>
      <c r="BP225" s="8"/>
      <c r="BQ225" s="4"/>
      <c r="BR225" s="8"/>
      <c r="BS225" s="7"/>
      <c r="BT225" s="7"/>
      <c r="BU225" s="2" t="s">
        <v>109</v>
      </c>
      <c r="BV225" s="2" t="s">
        <v>97</v>
      </c>
      <c r="BW225" s="2" t="s">
        <v>879</v>
      </c>
      <c r="BX225" s="2" t="s">
        <v>100</v>
      </c>
      <c r="BY225" s="2" t="s">
        <v>112</v>
      </c>
      <c r="BZ225" s="2" t="s">
        <v>100</v>
      </c>
    </row>
    <row r="226">
      <c r="A226" s="2" t="s">
        <v>1004</v>
      </c>
      <c r="B226" s="2" t="s">
        <v>87</v>
      </c>
      <c r="C226" s="2" t="s">
        <v>785</v>
      </c>
      <c r="D226" s="2" t="s">
        <v>89</v>
      </c>
      <c r="E226" s="2" t="s">
        <v>786</v>
      </c>
      <c r="F226" s="2" t="s">
        <v>840</v>
      </c>
      <c r="G226" s="2" t="s">
        <v>841</v>
      </c>
      <c r="H226" s="2" t="s">
        <v>842</v>
      </c>
      <c r="I226" s="2" t="s">
        <v>843</v>
      </c>
      <c r="J226" s="2" t="s">
        <v>791</v>
      </c>
      <c r="K226" s="2" t="s">
        <v>1005</v>
      </c>
      <c r="L226" s="3">
        <v>21.42</v>
      </c>
      <c r="M226" s="3">
        <v>22.49</v>
      </c>
      <c r="N226" s="3">
        <v>39.99</v>
      </c>
      <c r="O226" s="2" t="s">
        <v>97</v>
      </c>
      <c r="P226" s="2" t="s">
        <v>483</v>
      </c>
      <c r="Q226" s="2" t="s">
        <v>99</v>
      </c>
      <c r="R226" s="2" t="s">
        <v>100</v>
      </c>
      <c r="S226" s="2" t="s">
        <v>1006</v>
      </c>
      <c r="T226" s="2" t="s">
        <v>231</v>
      </c>
      <c r="U226" s="2" t="s">
        <v>426</v>
      </c>
      <c r="V226" s="2" t="s">
        <v>427</v>
      </c>
      <c r="W226" s="2" t="s">
        <v>428</v>
      </c>
      <c r="X226" s="2" t="s">
        <v>636</v>
      </c>
      <c r="Y226" s="2" t="s">
        <v>925</v>
      </c>
      <c r="Z226" s="4">
        <v>145</v>
      </c>
      <c r="AA226" s="4">
        <f>=ROUNDDOWN(6.90476190476191,0)</f>
      </c>
      <c r="AB226" s="5">
        <v>21</v>
      </c>
      <c r="AC226" s="2" t="s">
        <v>184</v>
      </c>
      <c r="AD226" s="4">
        <v>42</v>
      </c>
      <c r="AE226" s="4">
        <v>312</v>
      </c>
      <c r="AF226" s="6">
        <v>63</v>
      </c>
      <c r="AG226" s="6">
        <v>46</v>
      </c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>
        <v>2</v>
      </c>
      <c r="AW226" s="8">
        <v>64.8</v>
      </c>
      <c r="AX226" s="4" t="s">
        <v>100</v>
      </c>
      <c r="AY226" s="8" t="s">
        <v>100</v>
      </c>
      <c r="AZ226" s="7" t="s">
        <v>100</v>
      </c>
      <c r="BA226" s="7" t="s">
        <v>100</v>
      </c>
      <c r="BB226" s="7"/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>
        <v>0.0159</v>
      </c>
      <c r="BJ226" s="4">
        <v>106</v>
      </c>
      <c r="BK226" s="8">
        <v>2235.3</v>
      </c>
      <c r="BL226" s="2" t="s">
        <v>1007</v>
      </c>
      <c r="BM226" s="7"/>
      <c r="BN226" s="7"/>
      <c r="BO226" s="4"/>
      <c r="BP226" s="8"/>
      <c r="BQ226" s="4"/>
      <c r="BR226" s="8"/>
      <c r="BS226" s="7"/>
      <c r="BT226" s="7"/>
      <c r="BU226" s="2" t="s">
        <v>109</v>
      </c>
      <c r="BV226" s="2" t="s">
        <v>97</v>
      </c>
      <c r="BW226" s="2" t="s">
        <v>927</v>
      </c>
      <c r="BX226" s="2" t="s">
        <v>921</v>
      </c>
      <c r="BY226" s="2" t="s">
        <v>112</v>
      </c>
      <c r="BZ226" s="2" t="s">
        <v>100</v>
      </c>
    </row>
    <row r="227">
      <c r="A227" s="2" t="s">
        <v>1008</v>
      </c>
      <c r="B227" s="2" t="s">
        <v>87</v>
      </c>
      <c r="C227" s="2" t="s">
        <v>785</v>
      </c>
      <c r="D227" s="2" t="s">
        <v>89</v>
      </c>
      <c r="E227" s="2" t="s">
        <v>786</v>
      </c>
      <c r="F227" s="2" t="s">
        <v>840</v>
      </c>
      <c r="G227" s="2" t="s">
        <v>841</v>
      </c>
      <c r="H227" s="2" t="s">
        <v>842</v>
      </c>
      <c r="I227" s="2" t="s">
        <v>843</v>
      </c>
      <c r="J227" s="2" t="s">
        <v>157</v>
      </c>
      <c r="K227" s="2" t="s">
        <v>1005</v>
      </c>
      <c r="L227" s="3">
        <v>25.23</v>
      </c>
      <c r="M227" s="3">
        <v>26.49</v>
      </c>
      <c r="N227" s="3">
        <v>49.99</v>
      </c>
      <c r="O227" s="2" t="s">
        <v>97</v>
      </c>
      <c r="P227" s="2" t="s">
        <v>483</v>
      </c>
      <c r="Q227" s="2" t="s">
        <v>99</v>
      </c>
      <c r="R227" s="2" t="s">
        <v>100</v>
      </c>
      <c r="S227" s="2" t="s">
        <v>1006</v>
      </c>
      <c r="T227" s="2" t="s">
        <v>231</v>
      </c>
      <c r="U227" s="2" t="s">
        <v>432</v>
      </c>
      <c r="V227" s="2" t="s">
        <v>427</v>
      </c>
      <c r="W227" s="2" t="s">
        <v>428</v>
      </c>
      <c r="X227" s="2" t="s">
        <v>636</v>
      </c>
      <c r="Y227" s="2" t="s">
        <v>929</v>
      </c>
      <c r="Z227" s="4">
        <v>503</v>
      </c>
      <c r="AA227" s="4">
        <f>=ROUNDDOWN(20.530612244898,0)</f>
      </c>
      <c r="AB227" s="5">
        <v>24.5</v>
      </c>
      <c r="AC227" s="2" t="s">
        <v>436</v>
      </c>
      <c r="AD227" s="4">
        <v>129</v>
      </c>
      <c r="AE227" s="4">
        <v>129</v>
      </c>
      <c r="AF227" s="6">
        <v>63</v>
      </c>
      <c r="AG227" s="6">
        <v>46</v>
      </c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100</v>
      </c>
      <c r="AW227" s="8" t="s">
        <v>100</v>
      </c>
      <c r="AX227" s="4" t="s">
        <v>100</v>
      </c>
      <c r="AY227" s="8" t="s">
        <v>100</v>
      </c>
      <c r="AZ227" s="7" t="s">
        <v>100</v>
      </c>
      <c r="BA227" s="7" t="s">
        <v>100</v>
      </c>
      <c r="BB227" s="7"/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 t="s">
        <v>100</v>
      </c>
      <c r="BJ227" s="4">
        <v>91</v>
      </c>
      <c r="BK227" s="8">
        <v>2268.55</v>
      </c>
      <c r="BL227" s="2" t="s">
        <v>1009</v>
      </c>
      <c r="BM227" s="7"/>
      <c r="BN227" s="7"/>
      <c r="BO227" s="4"/>
      <c r="BP227" s="8"/>
      <c r="BQ227" s="4"/>
      <c r="BR227" s="8"/>
      <c r="BS227" s="7"/>
      <c r="BT227" s="7"/>
      <c r="BU227" s="2" t="s">
        <v>109</v>
      </c>
      <c r="BV227" s="2" t="s">
        <v>97</v>
      </c>
      <c r="BW227" s="2" t="s">
        <v>879</v>
      </c>
      <c r="BX227" s="2" t="s">
        <v>893</v>
      </c>
      <c r="BY227" s="2" t="s">
        <v>112</v>
      </c>
      <c r="BZ227" s="2" t="s">
        <v>100</v>
      </c>
    </row>
    <row r="228">
      <c r="A228" s="2" t="s">
        <v>1010</v>
      </c>
      <c r="B228" s="2" t="s">
        <v>87</v>
      </c>
      <c r="C228" s="2" t="s">
        <v>785</v>
      </c>
      <c r="D228" s="2" t="s">
        <v>89</v>
      </c>
      <c r="E228" s="2" t="s">
        <v>786</v>
      </c>
      <c r="F228" s="2" t="s">
        <v>840</v>
      </c>
      <c r="G228" s="2" t="s">
        <v>841</v>
      </c>
      <c r="H228" s="2" t="s">
        <v>842</v>
      </c>
      <c r="I228" s="2" t="s">
        <v>843</v>
      </c>
      <c r="J228" s="2" t="s">
        <v>95</v>
      </c>
      <c r="K228" s="2" t="s">
        <v>1005</v>
      </c>
      <c r="L228" s="3">
        <v>26.19</v>
      </c>
      <c r="M228" s="3">
        <v>27.5</v>
      </c>
      <c r="N228" s="3">
        <v>49.99</v>
      </c>
      <c r="O228" s="2" t="s">
        <v>97</v>
      </c>
      <c r="P228" s="2" t="s">
        <v>483</v>
      </c>
      <c r="Q228" s="2" t="s">
        <v>99</v>
      </c>
      <c r="R228" s="2" t="s">
        <v>100</v>
      </c>
      <c r="S228" s="2" t="s">
        <v>1006</v>
      </c>
      <c r="T228" s="2" t="s">
        <v>231</v>
      </c>
      <c r="U228" s="2" t="s">
        <v>432</v>
      </c>
      <c r="V228" s="2" t="s">
        <v>427</v>
      </c>
      <c r="W228" s="2" t="s">
        <v>428</v>
      </c>
      <c r="X228" s="2" t="s">
        <v>636</v>
      </c>
      <c r="Y228" s="2" t="s">
        <v>925</v>
      </c>
      <c r="Z228" s="4"/>
      <c r="AA228" s="4">
        <f>=ROUNDDOWN({0},0)</f>
      </c>
      <c r="AB228" s="5">
        <v>140.5</v>
      </c>
      <c r="AC228" s="2" t="s">
        <v>184</v>
      </c>
      <c r="AD228" s="4">
        <v>264</v>
      </c>
      <c r="AE228" s="4">
        <v>2274</v>
      </c>
      <c r="AF228" s="6">
        <v>63</v>
      </c>
      <c r="AG228" s="6">
        <v>46</v>
      </c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/>
      <c r="AP228" s="4">
        <v>1</v>
      </c>
      <c r="AQ228" s="8">
        <v>29.7</v>
      </c>
      <c r="AR228" s="4"/>
      <c r="AS228" s="8"/>
      <c r="AT228" s="7"/>
      <c r="AU228" s="7"/>
      <c r="AV228" s="4" t="s">
        <v>100</v>
      </c>
      <c r="AW228" s="8" t="s">
        <v>100</v>
      </c>
      <c r="AX228" s="4" t="s">
        <v>100</v>
      </c>
      <c r="AY228" s="8" t="s">
        <v>100</v>
      </c>
      <c r="AZ228" s="7" t="s">
        <v>100</v>
      </c>
      <c r="BA228" s="7" t="s">
        <v>100</v>
      </c>
      <c r="BB228" s="7">
        <v>0.4583</v>
      </c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 t="s">
        <v>100</v>
      </c>
      <c r="BJ228" s="4">
        <v>475</v>
      </c>
      <c r="BK228" s="8">
        <v>12750.34</v>
      </c>
      <c r="BL228" s="2" t="s">
        <v>1011</v>
      </c>
      <c r="BM228" s="7">
        <v>0.0021</v>
      </c>
      <c r="BN228" s="7">
        <v>0.0023</v>
      </c>
      <c r="BO228" s="4">
        <v>1</v>
      </c>
      <c r="BP228" s="8">
        <v>29.7</v>
      </c>
      <c r="BQ228" s="4"/>
      <c r="BR228" s="8"/>
      <c r="BS228" s="7"/>
      <c r="BT228" s="7"/>
      <c r="BU228" s="2" t="s">
        <v>109</v>
      </c>
      <c r="BV228" s="2" t="s">
        <v>97</v>
      </c>
      <c r="BW228" s="2" t="s">
        <v>927</v>
      </c>
      <c r="BX228" s="2" t="s">
        <v>929</v>
      </c>
      <c r="BY228" s="2" t="s">
        <v>112</v>
      </c>
      <c r="BZ228" s="2" t="s">
        <v>100</v>
      </c>
    </row>
    <row r="229">
      <c r="A229" s="2" t="s">
        <v>1012</v>
      </c>
      <c r="B229" s="2" t="s">
        <v>87</v>
      </c>
      <c r="C229" s="2" t="s">
        <v>785</v>
      </c>
      <c r="D229" s="2" t="s">
        <v>89</v>
      </c>
      <c r="E229" s="2" t="s">
        <v>786</v>
      </c>
      <c r="F229" s="2" t="s">
        <v>840</v>
      </c>
      <c r="G229" s="2" t="s">
        <v>841</v>
      </c>
      <c r="H229" s="2" t="s">
        <v>842</v>
      </c>
      <c r="I229" s="2" t="s">
        <v>843</v>
      </c>
      <c r="J229" s="2" t="s">
        <v>114</v>
      </c>
      <c r="K229" s="2" t="s">
        <v>1005</v>
      </c>
      <c r="L229" s="3">
        <v>28.57</v>
      </c>
      <c r="M229" s="3">
        <v>30</v>
      </c>
      <c r="N229" s="3">
        <v>54.99</v>
      </c>
      <c r="O229" s="2" t="s">
        <v>97</v>
      </c>
      <c r="P229" s="2" t="s">
        <v>483</v>
      </c>
      <c r="Q229" s="2" t="s">
        <v>99</v>
      </c>
      <c r="R229" s="2" t="s">
        <v>100</v>
      </c>
      <c r="S229" s="2" t="s">
        <v>1006</v>
      </c>
      <c r="T229" s="2" t="s">
        <v>231</v>
      </c>
      <c r="U229" s="2" t="s">
        <v>432</v>
      </c>
      <c r="V229" s="2" t="s">
        <v>427</v>
      </c>
      <c r="W229" s="2" t="s">
        <v>428</v>
      </c>
      <c r="X229" s="2" t="s">
        <v>636</v>
      </c>
      <c r="Y229" s="2" t="s">
        <v>940</v>
      </c>
      <c r="Z229" s="4">
        <v>36</v>
      </c>
      <c r="AA229" s="4">
        <f>=ROUNDDOWN(0.201229737283399,0)</f>
      </c>
      <c r="AB229" s="5">
        <v>178.9</v>
      </c>
      <c r="AC229" s="2" t="s">
        <v>184</v>
      </c>
      <c r="AD229" s="4">
        <v>366</v>
      </c>
      <c r="AE229" s="4">
        <v>3096</v>
      </c>
      <c r="AF229" s="6">
        <v>63</v>
      </c>
      <c r="AG229" s="6">
        <v>46</v>
      </c>
      <c r="AH229" s="7">
        <v>0.7407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100</v>
      </c>
      <c r="AW229" s="8" t="s">
        <v>100</v>
      </c>
      <c r="AX229" s="4" t="s">
        <v>100</v>
      </c>
      <c r="AY229" s="8" t="s">
        <v>100</v>
      </c>
      <c r="AZ229" s="7" t="s">
        <v>100</v>
      </c>
      <c r="BA229" s="7" t="s">
        <v>100</v>
      </c>
      <c r="BB229" s="7"/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 t="s">
        <v>100</v>
      </c>
      <c r="BJ229" s="4">
        <v>876</v>
      </c>
      <c r="BK229" s="8">
        <v>26378.29</v>
      </c>
      <c r="BL229" s="2" t="s">
        <v>1013</v>
      </c>
      <c r="BM229" s="7"/>
      <c r="BN229" s="7"/>
      <c r="BO229" s="4"/>
      <c r="BP229" s="8"/>
      <c r="BQ229" s="4"/>
      <c r="BR229" s="8"/>
      <c r="BS229" s="7"/>
      <c r="BT229" s="7"/>
      <c r="BU229" s="2" t="s">
        <v>109</v>
      </c>
      <c r="BV229" s="2" t="s">
        <v>97</v>
      </c>
      <c r="BW229" s="2" t="s">
        <v>927</v>
      </c>
      <c r="BX229" s="2" t="s">
        <v>1014</v>
      </c>
      <c r="BY229" s="2" t="s">
        <v>112</v>
      </c>
      <c r="BZ229" s="2" t="s">
        <v>100</v>
      </c>
    </row>
    <row r="230">
      <c r="A230" s="2" t="s">
        <v>1015</v>
      </c>
      <c r="B230" s="2" t="s">
        <v>87</v>
      </c>
      <c r="C230" s="2" t="s">
        <v>785</v>
      </c>
      <c r="D230" s="2" t="s">
        <v>89</v>
      </c>
      <c r="E230" s="2" t="s">
        <v>786</v>
      </c>
      <c r="F230" s="2" t="s">
        <v>840</v>
      </c>
      <c r="G230" s="2" t="s">
        <v>841</v>
      </c>
      <c r="H230" s="2" t="s">
        <v>842</v>
      </c>
      <c r="I230" s="2" t="s">
        <v>843</v>
      </c>
      <c r="J230" s="2" t="s">
        <v>120</v>
      </c>
      <c r="K230" s="2" t="s">
        <v>1005</v>
      </c>
      <c r="L230" s="3">
        <v>30.95</v>
      </c>
      <c r="M230" s="3">
        <v>32.5</v>
      </c>
      <c r="N230" s="3">
        <v>54.99</v>
      </c>
      <c r="O230" s="2" t="s">
        <v>97</v>
      </c>
      <c r="P230" s="2" t="s">
        <v>483</v>
      </c>
      <c r="Q230" s="2" t="s">
        <v>99</v>
      </c>
      <c r="R230" s="2" t="s">
        <v>100</v>
      </c>
      <c r="S230" s="2" t="s">
        <v>1006</v>
      </c>
      <c r="T230" s="2" t="s">
        <v>231</v>
      </c>
      <c r="U230" s="2" t="s">
        <v>432</v>
      </c>
      <c r="V230" s="2" t="s">
        <v>427</v>
      </c>
      <c r="W230" s="2" t="s">
        <v>428</v>
      </c>
      <c r="X230" s="2" t="s">
        <v>636</v>
      </c>
      <c r="Y230" s="2" t="s">
        <v>935</v>
      </c>
      <c r="Z230" s="4">
        <v>519</v>
      </c>
      <c r="AA230" s="4">
        <f>=ROUNDDOWN(6.42326732673267,0)</f>
      </c>
      <c r="AB230" s="5">
        <v>80.8</v>
      </c>
      <c r="AC230" s="2" t="s">
        <v>642</v>
      </c>
      <c r="AD230" s="4">
        <v>450</v>
      </c>
      <c r="AE230" s="4">
        <v>600</v>
      </c>
      <c r="AF230" s="6">
        <v>63</v>
      </c>
      <c r="AG230" s="6">
        <v>46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/>
      <c r="AP230" s="4">
        <v>1</v>
      </c>
      <c r="AQ230" s="8">
        <v>35.1</v>
      </c>
      <c r="AR230" s="4"/>
      <c r="AS230" s="8"/>
      <c r="AT230" s="7"/>
      <c r="AU230" s="7"/>
      <c r="AV230" s="4" t="s">
        <v>100</v>
      </c>
      <c r="AW230" s="8" t="s">
        <v>100</v>
      </c>
      <c r="AX230" s="4" t="s">
        <v>100</v>
      </c>
      <c r="AY230" s="8" t="s">
        <v>100</v>
      </c>
      <c r="AZ230" s="7" t="s">
        <v>100</v>
      </c>
      <c r="BA230" s="7" t="s">
        <v>100</v>
      </c>
      <c r="BB230" s="7">
        <v>0.5417</v>
      </c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 t="s">
        <v>100</v>
      </c>
      <c r="BJ230" s="4">
        <v>342</v>
      </c>
      <c r="BK230" s="8">
        <v>11547.18</v>
      </c>
      <c r="BL230" s="2" t="s">
        <v>992</v>
      </c>
      <c r="BM230" s="7">
        <v>0.0029</v>
      </c>
      <c r="BN230" s="7">
        <v>0.003</v>
      </c>
      <c r="BO230" s="4">
        <v>1</v>
      </c>
      <c r="BP230" s="8">
        <v>35.1</v>
      </c>
      <c r="BQ230" s="4"/>
      <c r="BR230" s="8"/>
      <c r="BS230" s="7"/>
      <c r="BT230" s="7"/>
      <c r="BU230" s="2" t="s">
        <v>109</v>
      </c>
      <c r="BV230" s="2" t="s">
        <v>97</v>
      </c>
      <c r="BW230" s="2" t="s">
        <v>879</v>
      </c>
      <c r="BX230" s="2" t="s">
        <v>1016</v>
      </c>
      <c r="BY230" s="2" t="s">
        <v>112</v>
      </c>
      <c r="BZ230" s="2" t="s">
        <v>100</v>
      </c>
    </row>
    <row r="231">
      <c r="A231" s="2" t="s">
        <v>1017</v>
      </c>
      <c r="B231" s="2" t="s">
        <v>87</v>
      </c>
      <c r="C231" s="2" t="s">
        <v>785</v>
      </c>
      <c r="D231" s="2" t="s">
        <v>89</v>
      </c>
      <c r="E231" s="2" t="s">
        <v>786</v>
      </c>
      <c r="F231" s="2" t="s">
        <v>840</v>
      </c>
      <c r="G231" s="2" t="s">
        <v>841</v>
      </c>
      <c r="H231" s="2" t="s">
        <v>842</v>
      </c>
      <c r="I231" s="2" t="s">
        <v>843</v>
      </c>
      <c r="J231" s="2" t="s">
        <v>791</v>
      </c>
      <c r="K231" s="2" t="s">
        <v>1018</v>
      </c>
      <c r="L231" s="3">
        <v>21.42</v>
      </c>
      <c r="M231" s="3">
        <v>22.49</v>
      </c>
      <c r="N231" s="3">
        <v>39.99</v>
      </c>
      <c r="O231" s="2" t="s">
        <v>97</v>
      </c>
      <c r="P231" s="2" t="s">
        <v>483</v>
      </c>
      <c r="Q231" s="2" t="s">
        <v>99</v>
      </c>
      <c r="R231" s="2" t="s">
        <v>100</v>
      </c>
      <c r="S231" s="2" t="s">
        <v>1019</v>
      </c>
      <c r="T231" s="2" t="s">
        <v>231</v>
      </c>
      <c r="U231" s="2" t="s">
        <v>426</v>
      </c>
      <c r="V231" s="2" t="s">
        <v>427</v>
      </c>
      <c r="W231" s="2" t="s">
        <v>428</v>
      </c>
      <c r="X231" s="2" t="s">
        <v>636</v>
      </c>
      <c r="Y231" s="2" t="s">
        <v>954</v>
      </c>
      <c r="Z231" s="4">
        <v>360</v>
      </c>
      <c r="AA231" s="4">
        <f>=ROUNDDOWN(48,0)</f>
      </c>
      <c r="AB231" s="5">
        <v>7.5</v>
      </c>
      <c r="AC231" s="2" t="s">
        <v>948</v>
      </c>
      <c r="AD231" s="4">
        <v>66</v>
      </c>
      <c r="AE231" s="4">
        <v>66</v>
      </c>
      <c r="AF231" s="6">
        <v>63</v>
      </c>
      <c r="AG231" s="6">
        <v>46</v>
      </c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>
        <v>1</v>
      </c>
      <c r="AW231" s="8">
        <v>32.4</v>
      </c>
      <c r="AX231" s="4" t="s">
        <v>100</v>
      </c>
      <c r="AY231" s="8" t="s">
        <v>100</v>
      </c>
      <c r="AZ231" s="7" t="s">
        <v>100</v>
      </c>
      <c r="BA231" s="7" t="s">
        <v>100</v>
      </c>
      <c r="BB231" s="7"/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>
        <v>0.0079</v>
      </c>
      <c r="BJ231" s="4">
        <v>24</v>
      </c>
      <c r="BK231" s="8">
        <v>495.44</v>
      </c>
      <c r="BL231" s="2" t="s">
        <v>1020</v>
      </c>
      <c r="BM231" s="7"/>
      <c r="BN231" s="7"/>
      <c r="BO231" s="4"/>
      <c r="BP231" s="8"/>
      <c r="BQ231" s="4"/>
      <c r="BR231" s="8"/>
      <c r="BS231" s="7"/>
      <c r="BT231" s="7"/>
      <c r="BU231" s="2" t="s">
        <v>109</v>
      </c>
      <c r="BV231" s="2" t="s">
        <v>97</v>
      </c>
      <c r="BW231" s="2" t="s">
        <v>927</v>
      </c>
      <c r="BX231" s="2" t="s">
        <v>100</v>
      </c>
      <c r="BY231" s="2" t="s">
        <v>112</v>
      </c>
      <c r="BZ231" s="2" t="s">
        <v>100</v>
      </c>
    </row>
    <row r="232">
      <c r="A232" s="2" t="s">
        <v>1021</v>
      </c>
      <c r="B232" s="2" t="s">
        <v>87</v>
      </c>
      <c r="C232" s="2" t="s">
        <v>785</v>
      </c>
      <c r="D232" s="2" t="s">
        <v>89</v>
      </c>
      <c r="E232" s="2" t="s">
        <v>786</v>
      </c>
      <c r="F232" s="2" t="s">
        <v>840</v>
      </c>
      <c r="G232" s="2" t="s">
        <v>841</v>
      </c>
      <c r="H232" s="2" t="s">
        <v>842</v>
      </c>
      <c r="I232" s="2" t="s">
        <v>843</v>
      </c>
      <c r="J232" s="2" t="s">
        <v>157</v>
      </c>
      <c r="K232" s="2" t="s">
        <v>1018</v>
      </c>
      <c r="L232" s="3">
        <v>25.23</v>
      </c>
      <c r="M232" s="3">
        <v>26.49</v>
      </c>
      <c r="N232" s="3">
        <v>49.99</v>
      </c>
      <c r="O232" s="2" t="s">
        <v>97</v>
      </c>
      <c r="P232" s="2" t="s">
        <v>483</v>
      </c>
      <c r="Q232" s="2" t="s">
        <v>99</v>
      </c>
      <c r="R232" s="2" t="s">
        <v>100</v>
      </c>
      <c r="S232" s="2" t="s">
        <v>1019</v>
      </c>
      <c r="T232" s="2" t="s">
        <v>231</v>
      </c>
      <c r="U232" s="2" t="s">
        <v>432</v>
      </c>
      <c r="V232" s="2" t="s">
        <v>427</v>
      </c>
      <c r="W232" s="2" t="s">
        <v>428</v>
      </c>
      <c r="X232" s="2" t="s">
        <v>636</v>
      </c>
      <c r="Y232" s="2" t="s">
        <v>935</v>
      </c>
      <c r="Z232" s="4">
        <v>601</v>
      </c>
      <c r="AA232" s="4">
        <f>=ROUNDDOWN(71.5476190476191,0)</f>
      </c>
      <c r="AB232" s="5">
        <v>8.4</v>
      </c>
      <c r="AC232" s="2" t="s">
        <v>436</v>
      </c>
      <c r="AD232" s="4">
        <v>147</v>
      </c>
      <c r="AE232" s="4">
        <v>147</v>
      </c>
      <c r="AF232" s="6">
        <v>63</v>
      </c>
      <c r="AG232" s="6">
        <v>46</v>
      </c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100</v>
      </c>
      <c r="AW232" s="8" t="s">
        <v>100</v>
      </c>
      <c r="AX232" s="4" t="s">
        <v>100</v>
      </c>
      <c r="AY232" s="8" t="s">
        <v>100</v>
      </c>
      <c r="AZ232" s="7" t="s">
        <v>100</v>
      </c>
      <c r="BA232" s="7" t="s">
        <v>100</v>
      </c>
      <c r="BB232" s="7"/>
      <c r="BC232" s="4" t="s">
        <v>100</v>
      </c>
      <c r="BD232" s="8" t="s">
        <v>100</v>
      </c>
      <c r="BE232" s="4" t="s">
        <v>100</v>
      </c>
      <c r="BF232" s="8" t="s">
        <v>100</v>
      </c>
      <c r="BG232" s="7" t="s">
        <v>100</v>
      </c>
      <c r="BH232" s="7" t="s">
        <v>100</v>
      </c>
      <c r="BI232" s="7" t="s">
        <v>100</v>
      </c>
      <c r="BJ232" s="4">
        <v>34</v>
      </c>
      <c r="BK232" s="8">
        <v>868.4</v>
      </c>
      <c r="BL232" s="2" t="s">
        <v>1022</v>
      </c>
      <c r="BM232" s="7"/>
      <c r="BN232" s="7"/>
      <c r="BO232" s="4"/>
      <c r="BP232" s="8"/>
      <c r="BQ232" s="4"/>
      <c r="BR232" s="8"/>
      <c r="BS232" s="7"/>
      <c r="BT232" s="7"/>
      <c r="BU232" s="2" t="s">
        <v>109</v>
      </c>
      <c r="BV232" s="2" t="s">
        <v>97</v>
      </c>
      <c r="BW232" s="2" t="s">
        <v>929</v>
      </c>
      <c r="BX232" s="2" t="s">
        <v>100</v>
      </c>
      <c r="BY232" s="2" t="s">
        <v>112</v>
      </c>
      <c r="BZ232" s="2" t="s">
        <v>100</v>
      </c>
    </row>
    <row r="233">
      <c r="A233" s="2" t="s">
        <v>1023</v>
      </c>
      <c r="B233" s="2" t="s">
        <v>87</v>
      </c>
      <c r="C233" s="2" t="s">
        <v>785</v>
      </c>
      <c r="D233" s="2" t="s">
        <v>89</v>
      </c>
      <c r="E233" s="2" t="s">
        <v>786</v>
      </c>
      <c r="F233" s="2" t="s">
        <v>840</v>
      </c>
      <c r="G233" s="2" t="s">
        <v>841</v>
      </c>
      <c r="H233" s="2" t="s">
        <v>842</v>
      </c>
      <c r="I233" s="2" t="s">
        <v>843</v>
      </c>
      <c r="J233" s="2" t="s">
        <v>95</v>
      </c>
      <c r="K233" s="2" t="s">
        <v>1018</v>
      </c>
      <c r="L233" s="3">
        <v>26.19</v>
      </c>
      <c r="M233" s="3">
        <v>27.5</v>
      </c>
      <c r="N233" s="3">
        <v>49.99</v>
      </c>
      <c r="O233" s="2" t="s">
        <v>97</v>
      </c>
      <c r="P233" s="2" t="s">
        <v>483</v>
      </c>
      <c r="Q233" s="2" t="s">
        <v>99</v>
      </c>
      <c r="R233" s="2" t="s">
        <v>100</v>
      </c>
      <c r="S233" s="2" t="s">
        <v>1019</v>
      </c>
      <c r="T233" s="2" t="s">
        <v>231</v>
      </c>
      <c r="U233" s="2" t="s">
        <v>432</v>
      </c>
      <c r="V233" s="2" t="s">
        <v>427</v>
      </c>
      <c r="W233" s="2" t="s">
        <v>428</v>
      </c>
      <c r="X233" s="2" t="s">
        <v>636</v>
      </c>
      <c r="Y233" s="2" t="s">
        <v>954</v>
      </c>
      <c r="Z233" s="4">
        <v>1194</v>
      </c>
      <c r="AA233" s="4">
        <f>=ROUNDDOWN(28.2269503546099,0)</f>
      </c>
      <c r="AB233" s="5">
        <v>42.3</v>
      </c>
      <c r="AC233" s="2" t="s">
        <v>948</v>
      </c>
      <c r="AD233" s="4">
        <v>279</v>
      </c>
      <c r="AE233" s="4">
        <v>279</v>
      </c>
      <c r="AF233" s="6">
        <v>63</v>
      </c>
      <c r="AG233" s="6">
        <v>46</v>
      </c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100</v>
      </c>
      <c r="AW233" s="8" t="s">
        <v>100</v>
      </c>
      <c r="AX233" s="4" t="s">
        <v>100</v>
      </c>
      <c r="AY233" s="8" t="s">
        <v>100</v>
      </c>
      <c r="AZ233" s="7" t="s">
        <v>100</v>
      </c>
      <c r="BA233" s="7" t="s">
        <v>100</v>
      </c>
      <c r="BB233" s="7"/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 t="s">
        <v>100</v>
      </c>
      <c r="BJ233" s="4">
        <v>161</v>
      </c>
      <c r="BK233" s="8">
        <v>4567.57</v>
      </c>
      <c r="BL233" s="2" t="s">
        <v>1024</v>
      </c>
      <c r="BM233" s="7"/>
      <c r="BN233" s="7"/>
      <c r="BO233" s="4"/>
      <c r="BP233" s="8"/>
      <c r="BQ233" s="4"/>
      <c r="BR233" s="8"/>
      <c r="BS233" s="7"/>
      <c r="BT233" s="7"/>
      <c r="BU233" s="2" t="s">
        <v>109</v>
      </c>
      <c r="BV233" s="2" t="s">
        <v>97</v>
      </c>
      <c r="BW233" s="2" t="s">
        <v>927</v>
      </c>
      <c r="BX233" s="2" t="s">
        <v>100</v>
      </c>
      <c r="BY233" s="2" t="s">
        <v>112</v>
      </c>
      <c r="BZ233" s="2" t="s">
        <v>100</v>
      </c>
    </row>
    <row r="234">
      <c r="A234" s="2" t="s">
        <v>1025</v>
      </c>
      <c r="B234" s="2" t="s">
        <v>87</v>
      </c>
      <c r="C234" s="2" t="s">
        <v>785</v>
      </c>
      <c r="D234" s="2" t="s">
        <v>89</v>
      </c>
      <c r="E234" s="2" t="s">
        <v>786</v>
      </c>
      <c r="F234" s="2" t="s">
        <v>840</v>
      </c>
      <c r="G234" s="2" t="s">
        <v>841</v>
      </c>
      <c r="H234" s="2" t="s">
        <v>842</v>
      </c>
      <c r="I234" s="2" t="s">
        <v>843</v>
      </c>
      <c r="J234" s="2" t="s">
        <v>114</v>
      </c>
      <c r="K234" s="2" t="s">
        <v>1018</v>
      </c>
      <c r="L234" s="3">
        <v>28.57</v>
      </c>
      <c r="M234" s="3">
        <v>30</v>
      </c>
      <c r="N234" s="3">
        <v>54.99</v>
      </c>
      <c r="O234" s="2" t="s">
        <v>97</v>
      </c>
      <c r="P234" s="2" t="s">
        <v>483</v>
      </c>
      <c r="Q234" s="2" t="s">
        <v>99</v>
      </c>
      <c r="R234" s="2" t="s">
        <v>100</v>
      </c>
      <c r="S234" s="2" t="s">
        <v>1019</v>
      </c>
      <c r="T234" s="2" t="s">
        <v>231</v>
      </c>
      <c r="U234" s="2" t="s">
        <v>432</v>
      </c>
      <c r="V234" s="2" t="s">
        <v>427</v>
      </c>
      <c r="W234" s="2" t="s">
        <v>428</v>
      </c>
      <c r="X234" s="2" t="s">
        <v>636</v>
      </c>
      <c r="Y234" s="2" t="s">
        <v>925</v>
      </c>
      <c r="Z234" s="4">
        <v>1616</v>
      </c>
      <c r="AA234" s="4">
        <f>=ROUNDDOWN(28.9087656529517,0)</f>
      </c>
      <c r="AB234" s="5">
        <v>55.9</v>
      </c>
      <c r="AC234" s="2" t="s">
        <v>948</v>
      </c>
      <c r="AD234" s="4">
        <v>390</v>
      </c>
      <c r="AE234" s="4">
        <v>390</v>
      </c>
      <c r="AF234" s="6">
        <v>63</v>
      </c>
      <c r="AG234" s="6">
        <v>46</v>
      </c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/>
      <c r="AP234" s="4">
        <v>1</v>
      </c>
      <c r="AQ234" s="8">
        <v>32.4</v>
      </c>
      <c r="AR234" s="4"/>
      <c r="AS234" s="8"/>
      <c r="AT234" s="7"/>
      <c r="AU234" s="7"/>
      <c r="AV234" s="4" t="s">
        <v>100</v>
      </c>
      <c r="AW234" s="8" t="s">
        <v>100</v>
      </c>
      <c r="AX234" s="4" t="s">
        <v>100</v>
      </c>
      <c r="AY234" s="8" t="s">
        <v>100</v>
      </c>
      <c r="AZ234" s="7" t="s">
        <v>100</v>
      </c>
      <c r="BA234" s="7" t="s">
        <v>100</v>
      </c>
      <c r="BB234" s="7">
        <v>1</v>
      </c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 t="s">
        <v>100</v>
      </c>
      <c r="BJ234" s="4">
        <v>187</v>
      </c>
      <c r="BK234" s="8">
        <v>6154.31</v>
      </c>
      <c r="BL234" s="2" t="s">
        <v>1026</v>
      </c>
      <c r="BM234" s="7">
        <v>0.0053</v>
      </c>
      <c r="BN234" s="7">
        <v>0.0053</v>
      </c>
      <c r="BO234" s="4">
        <v>1</v>
      </c>
      <c r="BP234" s="8">
        <v>32.4</v>
      </c>
      <c r="BQ234" s="4"/>
      <c r="BR234" s="8"/>
      <c r="BS234" s="7"/>
      <c r="BT234" s="7"/>
      <c r="BU234" s="2" t="s">
        <v>109</v>
      </c>
      <c r="BV234" s="2" t="s">
        <v>97</v>
      </c>
      <c r="BW234" s="2" t="s">
        <v>927</v>
      </c>
      <c r="BX234" s="2" t="s">
        <v>592</v>
      </c>
      <c r="BY234" s="2" t="s">
        <v>112</v>
      </c>
      <c r="BZ234" s="2" t="s">
        <v>100</v>
      </c>
    </row>
    <row r="235">
      <c r="A235" s="2" t="s">
        <v>1027</v>
      </c>
      <c r="B235" s="2" t="s">
        <v>87</v>
      </c>
      <c r="C235" s="2" t="s">
        <v>785</v>
      </c>
      <c r="D235" s="2" t="s">
        <v>89</v>
      </c>
      <c r="E235" s="2" t="s">
        <v>786</v>
      </c>
      <c r="F235" s="2" t="s">
        <v>840</v>
      </c>
      <c r="G235" s="2" t="s">
        <v>841</v>
      </c>
      <c r="H235" s="2" t="s">
        <v>842</v>
      </c>
      <c r="I235" s="2" t="s">
        <v>843</v>
      </c>
      <c r="J235" s="2" t="s">
        <v>120</v>
      </c>
      <c r="K235" s="2" t="s">
        <v>1018</v>
      </c>
      <c r="L235" s="3">
        <v>30.95</v>
      </c>
      <c r="M235" s="3">
        <v>32.5</v>
      </c>
      <c r="N235" s="3">
        <v>54.99</v>
      </c>
      <c r="O235" s="2" t="s">
        <v>97</v>
      </c>
      <c r="P235" s="2" t="s">
        <v>483</v>
      </c>
      <c r="Q235" s="2" t="s">
        <v>99</v>
      </c>
      <c r="R235" s="2" t="s">
        <v>100</v>
      </c>
      <c r="S235" s="2" t="s">
        <v>1019</v>
      </c>
      <c r="T235" s="2" t="s">
        <v>231</v>
      </c>
      <c r="U235" s="2" t="s">
        <v>432</v>
      </c>
      <c r="V235" s="2" t="s">
        <v>427</v>
      </c>
      <c r="W235" s="2" t="s">
        <v>428</v>
      </c>
      <c r="X235" s="2" t="s">
        <v>636</v>
      </c>
      <c r="Y235" s="2" t="s">
        <v>935</v>
      </c>
      <c r="Z235" s="4">
        <v>844</v>
      </c>
      <c r="AA235" s="4">
        <f>=ROUNDDOWN(57.027027027027,0)</f>
      </c>
      <c r="AB235" s="5">
        <v>14.8</v>
      </c>
      <c r="AC235" s="2" t="s">
        <v>100</v>
      </c>
      <c r="AD235" s="4"/>
      <c r="AE235" s="4"/>
      <c r="AF235" s="6">
        <v>63</v>
      </c>
      <c r="AG235" s="6">
        <v>46</v>
      </c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100</v>
      </c>
      <c r="AW235" s="8" t="s">
        <v>100</v>
      </c>
      <c r="AX235" s="4" t="s">
        <v>100</v>
      </c>
      <c r="AY235" s="8" t="s">
        <v>100</v>
      </c>
      <c r="AZ235" s="7" t="s">
        <v>100</v>
      </c>
      <c r="BA235" s="7" t="s">
        <v>100</v>
      </c>
      <c r="BB235" s="7"/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 t="s">
        <v>100</v>
      </c>
      <c r="BJ235" s="4">
        <v>102</v>
      </c>
      <c r="BK235" s="8">
        <v>3370.05</v>
      </c>
      <c r="BL235" s="2" t="s">
        <v>1028</v>
      </c>
      <c r="BM235" s="7"/>
      <c r="BN235" s="7"/>
      <c r="BO235" s="4"/>
      <c r="BP235" s="8"/>
      <c r="BQ235" s="4"/>
      <c r="BR235" s="8"/>
      <c r="BS235" s="7"/>
      <c r="BT235" s="7"/>
      <c r="BU235" s="2" t="s">
        <v>109</v>
      </c>
      <c r="BV235" s="2" t="s">
        <v>97</v>
      </c>
      <c r="BW235" s="2" t="s">
        <v>929</v>
      </c>
      <c r="BX235" s="2" t="s">
        <v>100</v>
      </c>
      <c r="BY235" s="2" t="s">
        <v>112</v>
      </c>
      <c r="BZ235" s="2" t="s">
        <v>100</v>
      </c>
    </row>
    <row r="236">
      <c r="A236" s="2" t="s">
        <v>1029</v>
      </c>
      <c r="B236" s="2" t="s">
        <v>87</v>
      </c>
      <c r="C236" s="2" t="s">
        <v>785</v>
      </c>
      <c r="D236" s="2" t="s">
        <v>89</v>
      </c>
      <c r="E236" s="2" t="s">
        <v>786</v>
      </c>
      <c r="F236" s="2" t="s">
        <v>1030</v>
      </c>
      <c r="G236" s="2" t="s">
        <v>1031</v>
      </c>
      <c r="H236" s="2" t="s">
        <v>1032</v>
      </c>
      <c r="I236" s="2" t="s">
        <v>1033</v>
      </c>
      <c r="J236" s="2" t="s">
        <v>791</v>
      </c>
      <c r="K236" s="2" t="s">
        <v>216</v>
      </c>
      <c r="L236" s="3">
        <v>23.8</v>
      </c>
      <c r="M236" s="3">
        <v>24.99</v>
      </c>
      <c r="N236" s="3">
        <v>49.99</v>
      </c>
      <c r="O236" s="2" t="s">
        <v>97</v>
      </c>
      <c r="P236" s="2" t="s">
        <v>126</v>
      </c>
      <c r="Q236" s="2" t="s">
        <v>99</v>
      </c>
      <c r="R236" s="2" t="s">
        <v>100</v>
      </c>
      <c r="S236" s="2" t="s">
        <v>1034</v>
      </c>
      <c r="T236" s="2" t="s">
        <v>231</v>
      </c>
      <c r="U236" s="2" t="s">
        <v>426</v>
      </c>
      <c r="V236" s="2" t="s">
        <v>103</v>
      </c>
      <c r="W236" s="2" t="s">
        <v>636</v>
      </c>
      <c r="X236" s="2" t="s">
        <v>428</v>
      </c>
      <c r="Y236" s="2" t="s">
        <v>794</v>
      </c>
      <c r="Z236" s="4">
        <v>869</v>
      </c>
      <c r="AA236" s="4">
        <f>=ROUNDDOWN(43.45,0)</f>
      </c>
      <c r="AB236" s="5">
        <v>20</v>
      </c>
      <c r="AC236" s="2" t="s">
        <v>100</v>
      </c>
      <c r="AD236" s="4"/>
      <c r="AE236" s="4"/>
      <c r="AF236" s="6">
        <v>63</v>
      </c>
      <c r="AG236" s="6">
        <v>46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/>
      <c r="AP236" s="4">
        <v>3</v>
      </c>
      <c r="AQ236" s="8">
        <v>87.72</v>
      </c>
      <c r="AR236" s="4"/>
      <c r="AS236" s="8"/>
      <c r="AT236" s="7"/>
      <c r="AU236" s="7"/>
      <c r="AV236" s="4">
        <v>17</v>
      </c>
      <c r="AW236" s="8">
        <v>593.88</v>
      </c>
      <c r="AX236" s="4" t="s">
        <v>100</v>
      </c>
      <c r="AY236" s="8" t="s">
        <v>100</v>
      </c>
      <c r="AZ236" s="7" t="s">
        <v>100</v>
      </c>
      <c r="BA236" s="7" t="s">
        <v>100</v>
      </c>
      <c r="BB236" s="7">
        <v>0.1477</v>
      </c>
      <c r="BC236" s="4">
        <v>42</v>
      </c>
      <c r="BD236" s="8">
        <v>1485.28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>
        <v>0.3998</v>
      </c>
      <c r="BJ236" s="4">
        <v>167</v>
      </c>
      <c r="BK236" s="8">
        <v>4018.33</v>
      </c>
      <c r="BL236" s="2" t="s">
        <v>1035</v>
      </c>
      <c r="BM236" s="7">
        <v>0.018</v>
      </c>
      <c r="BN236" s="7">
        <v>0.0218</v>
      </c>
      <c r="BO236" s="4">
        <v>3</v>
      </c>
      <c r="BP236" s="8">
        <v>87.72</v>
      </c>
      <c r="BQ236" s="4"/>
      <c r="BR236" s="8"/>
      <c r="BS236" s="7"/>
      <c r="BT236" s="7"/>
      <c r="BU236" s="2" t="s">
        <v>109</v>
      </c>
      <c r="BV236" s="2" t="s">
        <v>97</v>
      </c>
      <c r="BW236" s="2" t="s">
        <v>856</v>
      </c>
      <c r="BX236" s="2" t="s">
        <v>1036</v>
      </c>
      <c r="BY236" s="2" t="s">
        <v>112</v>
      </c>
      <c r="BZ236" s="2" t="s">
        <v>100</v>
      </c>
    </row>
    <row r="237">
      <c r="A237" s="2" t="s">
        <v>1037</v>
      </c>
      <c r="B237" s="2" t="s">
        <v>87</v>
      </c>
      <c r="C237" s="2" t="s">
        <v>785</v>
      </c>
      <c r="D237" s="2" t="s">
        <v>89</v>
      </c>
      <c r="E237" s="2" t="s">
        <v>786</v>
      </c>
      <c r="F237" s="2" t="s">
        <v>1030</v>
      </c>
      <c r="G237" s="2" t="s">
        <v>1031</v>
      </c>
      <c r="H237" s="2" t="s">
        <v>1032</v>
      </c>
      <c r="I237" s="2" t="s">
        <v>1033</v>
      </c>
      <c r="J237" s="2" t="s">
        <v>558</v>
      </c>
      <c r="K237" s="2" t="s">
        <v>216</v>
      </c>
      <c r="L237" s="3">
        <v>30.95</v>
      </c>
      <c r="M237" s="3">
        <v>32.5</v>
      </c>
      <c r="N237" s="3">
        <v>64.99</v>
      </c>
      <c r="O237" s="2" t="s">
        <v>97</v>
      </c>
      <c r="P237" s="2" t="s">
        <v>126</v>
      </c>
      <c r="Q237" s="2" t="s">
        <v>99</v>
      </c>
      <c r="R237" s="2" t="s">
        <v>100</v>
      </c>
      <c r="S237" s="2" t="s">
        <v>1034</v>
      </c>
      <c r="T237" s="2" t="s">
        <v>231</v>
      </c>
      <c r="U237" s="2" t="s">
        <v>432</v>
      </c>
      <c r="V237" s="2" t="s">
        <v>103</v>
      </c>
      <c r="W237" s="2" t="s">
        <v>636</v>
      </c>
      <c r="X237" s="2" t="s">
        <v>428</v>
      </c>
      <c r="Y237" s="2" t="s">
        <v>794</v>
      </c>
      <c r="Z237" s="4">
        <v>3034</v>
      </c>
      <c r="AA237" s="4">
        <f>=ROUNDDOWN(51.4237288135593,0)</f>
      </c>
      <c r="AB237" s="5">
        <v>59</v>
      </c>
      <c r="AC237" s="2" t="s">
        <v>100</v>
      </c>
      <c r="AD237" s="4"/>
      <c r="AE237" s="4"/>
      <c r="AF237" s="6">
        <v>63</v>
      </c>
      <c r="AG237" s="6">
        <v>46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/>
      <c r="AP237" s="4">
        <v>10</v>
      </c>
      <c r="AQ237" s="8">
        <v>357.4</v>
      </c>
      <c r="AR237" s="4"/>
      <c r="AS237" s="8"/>
      <c r="AT237" s="7"/>
      <c r="AU237" s="7"/>
      <c r="AV237" s="4" t="s">
        <v>100</v>
      </c>
      <c r="AW237" s="8" t="s">
        <v>100</v>
      </c>
      <c r="AX237" s="4" t="s">
        <v>100</v>
      </c>
      <c r="AY237" s="8" t="s">
        <v>100</v>
      </c>
      <c r="AZ237" s="7" t="s">
        <v>100</v>
      </c>
      <c r="BA237" s="7" t="s">
        <v>100</v>
      </c>
      <c r="BB237" s="7">
        <v>0.6018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 t="s">
        <v>100</v>
      </c>
      <c r="BJ237" s="4">
        <v>334</v>
      </c>
      <c r="BK237" s="8">
        <v>11044.89</v>
      </c>
      <c r="BL237" s="2" t="s">
        <v>1038</v>
      </c>
      <c r="BM237" s="7">
        <v>0.0299</v>
      </c>
      <c r="BN237" s="7">
        <v>0.0324</v>
      </c>
      <c r="BO237" s="4">
        <v>10</v>
      </c>
      <c r="BP237" s="8">
        <v>357.4</v>
      </c>
      <c r="BQ237" s="4"/>
      <c r="BR237" s="8"/>
      <c r="BS237" s="7"/>
      <c r="BT237" s="7"/>
      <c r="BU237" s="2" t="s">
        <v>109</v>
      </c>
      <c r="BV237" s="2" t="s">
        <v>97</v>
      </c>
      <c r="BW237" s="2" t="s">
        <v>856</v>
      </c>
      <c r="BX237" s="2" t="s">
        <v>916</v>
      </c>
      <c r="BY237" s="2" t="s">
        <v>112</v>
      </c>
      <c r="BZ237" s="2" t="s">
        <v>100</v>
      </c>
    </row>
    <row r="238">
      <c r="A238" s="2" t="s">
        <v>1039</v>
      </c>
      <c r="B238" s="2" t="s">
        <v>87</v>
      </c>
      <c r="C238" s="2" t="s">
        <v>785</v>
      </c>
      <c r="D238" s="2" t="s">
        <v>89</v>
      </c>
      <c r="E238" s="2" t="s">
        <v>786</v>
      </c>
      <c r="F238" s="2" t="s">
        <v>1030</v>
      </c>
      <c r="G238" s="2" t="s">
        <v>1031</v>
      </c>
      <c r="H238" s="2" t="s">
        <v>1032</v>
      </c>
      <c r="I238" s="2" t="s">
        <v>1033</v>
      </c>
      <c r="J238" s="2" t="s">
        <v>563</v>
      </c>
      <c r="K238" s="2" t="s">
        <v>216</v>
      </c>
      <c r="L238" s="3">
        <v>33.33</v>
      </c>
      <c r="M238" s="3">
        <v>35</v>
      </c>
      <c r="N238" s="3">
        <v>69.99</v>
      </c>
      <c r="O238" s="2" t="s">
        <v>97</v>
      </c>
      <c r="P238" s="2" t="s">
        <v>126</v>
      </c>
      <c r="Q238" s="2" t="s">
        <v>99</v>
      </c>
      <c r="R238" s="2" t="s">
        <v>100</v>
      </c>
      <c r="S238" s="2" t="s">
        <v>1034</v>
      </c>
      <c r="T238" s="2" t="s">
        <v>231</v>
      </c>
      <c r="U238" s="2" t="s">
        <v>432</v>
      </c>
      <c r="V238" s="2" t="s">
        <v>103</v>
      </c>
      <c r="W238" s="2" t="s">
        <v>636</v>
      </c>
      <c r="X238" s="2" t="s">
        <v>428</v>
      </c>
      <c r="Y238" s="2" t="s">
        <v>1040</v>
      </c>
      <c r="Z238" s="4">
        <v>1738</v>
      </c>
      <c r="AA238" s="4">
        <f>=ROUNDDOWN(52.6666666666667,0)</f>
      </c>
      <c r="AB238" s="5">
        <v>33</v>
      </c>
      <c r="AC238" s="2" t="s">
        <v>100</v>
      </c>
      <c r="AD238" s="4"/>
      <c r="AE238" s="4"/>
      <c r="AF238" s="6">
        <v>63</v>
      </c>
      <c r="AG238" s="6">
        <v>46</v>
      </c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/>
      <c r="AP238" s="4">
        <v>4</v>
      </c>
      <c r="AQ238" s="8">
        <v>148.76</v>
      </c>
      <c r="AR238" s="4"/>
      <c r="AS238" s="8"/>
      <c r="AT238" s="7"/>
      <c r="AU238" s="7"/>
      <c r="AV238" s="4" t="s">
        <v>100</v>
      </c>
      <c r="AW238" s="8" t="s">
        <v>100</v>
      </c>
      <c r="AX238" s="4" t="s">
        <v>100</v>
      </c>
      <c r="AY238" s="8" t="s">
        <v>100</v>
      </c>
      <c r="AZ238" s="7" t="s">
        <v>100</v>
      </c>
      <c r="BA238" s="7" t="s">
        <v>100</v>
      </c>
      <c r="BB238" s="7">
        <v>0.2505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 t="s">
        <v>100</v>
      </c>
      <c r="BJ238" s="4">
        <v>229</v>
      </c>
      <c r="BK238" s="8">
        <v>8406.95</v>
      </c>
      <c r="BL238" s="2" t="s">
        <v>915</v>
      </c>
      <c r="BM238" s="7">
        <v>0.0175</v>
      </c>
      <c r="BN238" s="7">
        <v>0.0177</v>
      </c>
      <c r="BO238" s="4">
        <v>4</v>
      </c>
      <c r="BP238" s="8">
        <v>148.76</v>
      </c>
      <c r="BQ238" s="4"/>
      <c r="BR238" s="8"/>
      <c r="BS238" s="7"/>
      <c r="BT238" s="7"/>
      <c r="BU238" s="2" t="s">
        <v>109</v>
      </c>
      <c r="BV238" s="2" t="s">
        <v>97</v>
      </c>
      <c r="BW238" s="2" t="s">
        <v>825</v>
      </c>
      <c r="BX238" s="2" t="s">
        <v>804</v>
      </c>
      <c r="BY238" s="2" t="s">
        <v>112</v>
      </c>
      <c r="BZ238" s="2" t="s">
        <v>100</v>
      </c>
    </row>
    <row r="239">
      <c r="A239" s="2" t="s">
        <v>1041</v>
      </c>
      <c r="B239" s="2" t="s">
        <v>87</v>
      </c>
      <c r="C239" s="2" t="s">
        <v>785</v>
      </c>
      <c r="D239" s="2" t="s">
        <v>89</v>
      </c>
      <c r="E239" s="2" t="s">
        <v>786</v>
      </c>
      <c r="F239" s="2" t="s">
        <v>1030</v>
      </c>
      <c r="G239" s="2" t="s">
        <v>1031</v>
      </c>
      <c r="H239" s="2" t="s">
        <v>1032</v>
      </c>
      <c r="I239" s="2" t="s">
        <v>1033</v>
      </c>
      <c r="J239" s="2" t="s">
        <v>791</v>
      </c>
      <c r="K239" s="2" t="s">
        <v>349</v>
      </c>
      <c r="L239" s="3">
        <v>23.8</v>
      </c>
      <c r="M239" s="3">
        <v>24.99</v>
      </c>
      <c r="N239" s="3">
        <v>49.99</v>
      </c>
      <c r="O239" s="2" t="s">
        <v>97</v>
      </c>
      <c r="P239" s="2" t="s">
        <v>141</v>
      </c>
      <c r="Q239" s="2" t="s">
        <v>99</v>
      </c>
      <c r="R239" s="2" t="s">
        <v>100</v>
      </c>
      <c r="S239" s="2" t="s">
        <v>1042</v>
      </c>
      <c r="T239" s="2" t="s">
        <v>231</v>
      </c>
      <c r="U239" s="2" t="s">
        <v>426</v>
      </c>
      <c r="V239" s="2" t="s">
        <v>103</v>
      </c>
      <c r="W239" s="2" t="s">
        <v>636</v>
      </c>
      <c r="X239" s="2" t="s">
        <v>428</v>
      </c>
      <c r="Y239" s="2" t="s">
        <v>1043</v>
      </c>
      <c r="Z239" s="4">
        <v>339</v>
      </c>
      <c r="AA239" s="4">
        <f>=ROUNDDOWN(67.8,0)</f>
      </c>
      <c r="AB239" s="5">
        <v>5</v>
      </c>
      <c r="AC239" s="2" t="s">
        <v>100</v>
      </c>
      <c r="AD239" s="4"/>
      <c r="AE239" s="4"/>
      <c r="AF239" s="6">
        <v>63</v>
      </c>
      <c r="AG239" s="6">
        <v>46</v>
      </c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/>
      <c r="AP239" s="4">
        <v>1</v>
      </c>
      <c r="AQ239" s="8">
        <v>29.24</v>
      </c>
      <c r="AR239" s="4"/>
      <c r="AS239" s="8"/>
      <c r="AT239" s="7"/>
      <c r="AU239" s="7"/>
      <c r="AV239" s="4">
        <v>9</v>
      </c>
      <c r="AW239" s="8">
        <v>320.96</v>
      </c>
      <c r="AX239" s="4" t="s">
        <v>100</v>
      </c>
      <c r="AY239" s="8" t="s">
        <v>100</v>
      </c>
      <c r="AZ239" s="7" t="s">
        <v>100</v>
      </c>
      <c r="BA239" s="7" t="s">
        <v>100</v>
      </c>
      <c r="BB239" s="7">
        <v>0.0911</v>
      </c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0.2161</v>
      </c>
      <c r="BJ239" s="4">
        <v>24</v>
      </c>
      <c r="BK239" s="8">
        <v>661.92</v>
      </c>
      <c r="BL239" s="2" t="s">
        <v>1044</v>
      </c>
      <c r="BM239" s="7">
        <v>0.0417</v>
      </c>
      <c r="BN239" s="7">
        <v>0.0442</v>
      </c>
      <c r="BO239" s="4">
        <v>1</v>
      </c>
      <c r="BP239" s="8">
        <v>29.24</v>
      </c>
      <c r="BQ239" s="4"/>
      <c r="BR239" s="8"/>
      <c r="BS239" s="7"/>
      <c r="BT239" s="7"/>
      <c r="BU239" s="2" t="s">
        <v>109</v>
      </c>
      <c r="BV239" s="2" t="s">
        <v>97</v>
      </c>
      <c r="BW239" s="2" t="s">
        <v>1043</v>
      </c>
      <c r="BX239" s="2" t="s">
        <v>808</v>
      </c>
      <c r="BY239" s="2" t="s">
        <v>112</v>
      </c>
      <c r="BZ239" s="2" t="s">
        <v>100</v>
      </c>
    </row>
    <row r="240">
      <c r="A240" s="2" t="s">
        <v>1045</v>
      </c>
      <c r="B240" s="2" t="s">
        <v>87</v>
      </c>
      <c r="C240" s="2" t="s">
        <v>785</v>
      </c>
      <c r="D240" s="2" t="s">
        <v>89</v>
      </c>
      <c r="E240" s="2" t="s">
        <v>786</v>
      </c>
      <c r="F240" s="2" t="s">
        <v>1030</v>
      </c>
      <c r="G240" s="2" t="s">
        <v>1031</v>
      </c>
      <c r="H240" s="2" t="s">
        <v>1032</v>
      </c>
      <c r="I240" s="2" t="s">
        <v>1033</v>
      </c>
      <c r="J240" s="2" t="s">
        <v>558</v>
      </c>
      <c r="K240" s="2" t="s">
        <v>349</v>
      </c>
      <c r="L240" s="3">
        <v>30.95</v>
      </c>
      <c r="M240" s="3">
        <v>32.5</v>
      </c>
      <c r="N240" s="3">
        <v>64.99</v>
      </c>
      <c r="O240" s="2" t="s">
        <v>97</v>
      </c>
      <c r="P240" s="2" t="s">
        <v>141</v>
      </c>
      <c r="Q240" s="2" t="s">
        <v>99</v>
      </c>
      <c r="R240" s="2" t="s">
        <v>100</v>
      </c>
      <c r="S240" s="2" t="s">
        <v>1042</v>
      </c>
      <c r="T240" s="2" t="s">
        <v>231</v>
      </c>
      <c r="U240" s="2" t="s">
        <v>432</v>
      </c>
      <c r="V240" s="2" t="s">
        <v>103</v>
      </c>
      <c r="W240" s="2" t="s">
        <v>636</v>
      </c>
      <c r="X240" s="2" t="s">
        <v>428</v>
      </c>
      <c r="Y240" s="2" t="s">
        <v>1043</v>
      </c>
      <c r="Z240" s="4">
        <v>1036</v>
      </c>
      <c r="AA240" s="4">
        <f>=ROUNDDOWN(41.44,0)</f>
      </c>
      <c r="AB240" s="5">
        <v>25</v>
      </c>
      <c r="AC240" s="2" t="s">
        <v>100</v>
      </c>
      <c r="AD240" s="4"/>
      <c r="AE240" s="4"/>
      <c r="AF240" s="6">
        <v>63</v>
      </c>
      <c r="AG240" s="6">
        <v>46</v>
      </c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/>
      <c r="AP240" s="4">
        <v>4</v>
      </c>
      <c r="AQ240" s="8">
        <v>142.96</v>
      </c>
      <c r="AR240" s="4"/>
      <c r="AS240" s="8"/>
      <c r="AT240" s="7"/>
      <c r="AU240" s="7"/>
      <c r="AV240" s="4" t="s">
        <v>100</v>
      </c>
      <c r="AW240" s="8" t="s">
        <v>100</v>
      </c>
      <c r="AX240" s="4" t="s">
        <v>100</v>
      </c>
      <c r="AY240" s="8" t="s">
        <v>100</v>
      </c>
      <c r="AZ240" s="7" t="s">
        <v>100</v>
      </c>
      <c r="BA240" s="7" t="s">
        <v>100</v>
      </c>
      <c r="BB240" s="7">
        <v>0.4454</v>
      </c>
      <c r="BC240" s="4" t="s">
        <v>100</v>
      </c>
      <c r="BD240" s="8" t="s">
        <v>100</v>
      </c>
      <c r="BE240" s="4" t="s">
        <v>100</v>
      </c>
      <c r="BF240" s="8" t="s">
        <v>100</v>
      </c>
      <c r="BG240" s="7" t="s">
        <v>100</v>
      </c>
      <c r="BH240" s="7" t="s">
        <v>100</v>
      </c>
      <c r="BI240" s="7" t="s">
        <v>100</v>
      </c>
      <c r="BJ240" s="4">
        <v>169</v>
      </c>
      <c r="BK240" s="8">
        <v>5824.04</v>
      </c>
      <c r="BL240" s="2" t="s">
        <v>1046</v>
      </c>
      <c r="BM240" s="7">
        <v>0.0237</v>
      </c>
      <c r="BN240" s="7">
        <v>0.0245</v>
      </c>
      <c r="BO240" s="4">
        <v>4</v>
      </c>
      <c r="BP240" s="8">
        <v>142.96</v>
      </c>
      <c r="BQ240" s="4"/>
      <c r="BR240" s="8"/>
      <c r="BS240" s="7"/>
      <c r="BT240" s="7"/>
      <c r="BU240" s="2" t="s">
        <v>109</v>
      </c>
      <c r="BV240" s="2" t="s">
        <v>97</v>
      </c>
      <c r="BW240" s="2" t="s">
        <v>1043</v>
      </c>
      <c r="BX240" s="2" t="s">
        <v>1047</v>
      </c>
      <c r="BY240" s="2" t="s">
        <v>112</v>
      </c>
      <c r="BZ240" s="2" t="s">
        <v>100</v>
      </c>
    </row>
    <row r="241">
      <c r="A241" s="2" t="s">
        <v>1048</v>
      </c>
      <c r="B241" s="2" t="s">
        <v>87</v>
      </c>
      <c r="C241" s="2" t="s">
        <v>785</v>
      </c>
      <c r="D241" s="2" t="s">
        <v>89</v>
      </c>
      <c r="E241" s="2" t="s">
        <v>786</v>
      </c>
      <c r="F241" s="2" t="s">
        <v>1030</v>
      </c>
      <c r="G241" s="2" t="s">
        <v>1031</v>
      </c>
      <c r="H241" s="2" t="s">
        <v>1032</v>
      </c>
      <c r="I241" s="2" t="s">
        <v>1033</v>
      </c>
      <c r="J241" s="2" t="s">
        <v>563</v>
      </c>
      <c r="K241" s="2" t="s">
        <v>349</v>
      </c>
      <c r="L241" s="3">
        <v>33.33</v>
      </c>
      <c r="M241" s="3">
        <v>35</v>
      </c>
      <c r="N241" s="3">
        <v>69.99</v>
      </c>
      <c r="O241" s="2" t="s">
        <v>97</v>
      </c>
      <c r="P241" s="2" t="s">
        <v>141</v>
      </c>
      <c r="Q241" s="2" t="s">
        <v>99</v>
      </c>
      <c r="R241" s="2" t="s">
        <v>100</v>
      </c>
      <c r="S241" s="2" t="s">
        <v>1042</v>
      </c>
      <c r="T241" s="2" t="s">
        <v>231</v>
      </c>
      <c r="U241" s="2" t="s">
        <v>432</v>
      </c>
      <c r="V241" s="2" t="s">
        <v>103</v>
      </c>
      <c r="W241" s="2" t="s">
        <v>636</v>
      </c>
      <c r="X241" s="2" t="s">
        <v>428</v>
      </c>
      <c r="Y241" s="2" t="s">
        <v>1043</v>
      </c>
      <c r="Z241" s="4">
        <v>1439</v>
      </c>
      <c r="AA241" s="4">
        <f>=ROUNDDOWN(37.8684210526316,0)</f>
      </c>
      <c r="AB241" s="5">
        <v>38</v>
      </c>
      <c r="AC241" s="2" t="s">
        <v>100</v>
      </c>
      <c r="AD241" s="4"/>
      <c r="AE241" s="4"/>
      <c r="AF241" s="6">
        <v>63</v>
      </c>
      <c r="AG241" s="6">
        <v>46</v>
      </c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/>
      <c r="AP241" s="4">
        <v>4</v>
      </c>
      <c r="AQ241" s="8">
        <v>148.76</v>
      </c>
      <c r="AR241" s="4"/>
      <c r="AS241" s="8"/>
      <c r="AT241" s="7"/>
      <c r="AU241" s="7"/>
      <c r="AV241" s="4" t="s">
        <v>100</v>
      </c>
      <c r="AW241" s="8" t="s">
        <v>100</v>
      </c>
      <c r="AX241" s="4" t="s">
        <v>100</v>
      </c>
      <c r="AY241" s="8" t="s">
        <v>100</v>
      </c>
      <c r="AZ241" s="7" t="s">
        <v>100</v>
      </c>
      <c r="BA241" s="7" t="s">
        <v>100</v>
      </c>
      <c r="BB241" s="7">
        <v>0.4635</v>
      </c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 t="s">
        <v>100</v>
      </c>
      <c r="BJ241" s="4">
        <v>180</v>
      </c>
      <c r="BK241" s="8">
        <v>6833.14</v>
      </c>
      <c r="BL241" s="2" t="s">
        <v>1049</v>
      </c>
      <c r="BM241" s="7">
        <v>0.0222</v>
      </c>
      <c r="BN241" s="7">
        <v>0.0218</v>
      </c>
      <c r="BO241" s="4">
        <v>4</v>
      </c>
      <c r="BP241" s="8">
        <v>148.76</v>
      </c>
      <c r="BQ241" s="4"/>
      <c r="BR241" s="8"/>
      <c r="BS241" s="7"/>
      <c r="BT241" s="7"/>
      <c r="BU241" s="2" t="s">
        <v>109</v>
      </c>
      <c r="BV241" s="2" t="s">
        <v>97</v>
      </c>
      <c r="BW241" s="2" t="s">
        <v>1043</v>
      </c>
      <c r="BX241" s="2" t="s">
        <v>1050</v>
      </c>
      <c r="BY241" s="2" t="s">
        <v>112</v>
      </c>
      <c r="BZ241" s="2" t="s">
        <v>100</v>
      </c>
    </row>
    <row r="242">
      <c r="A242" s="2" t="s">
        <v>1051</v>
      </c>
      <c r="B242" s="2" t="s">
        <v>87</v>
      </c>
      <c r="C242" s="2" t="s">
        <v>785</v>
      </c>
      <c r="D242" s="2" t="s">
        <v>89</v>
      </c>
      <c r="E242" s="2" t="s">
        <v>786</v>
      </c>
      <c r="F242" s="2" t="s">
        <v>1030</v>
      </c>
      <c r="G242" s="2" t="s">
        <v>1031</v>
      </c>
      <c r="H242" s="2" t="s">
        <v>1032</v>
      </c>
      <c r="I242" s="2" t="s">
        <v>1033</v>
      </c>
      <c r="J242" s="2" t="s">
        <v>791</v>
      </c>
      <c r="K242" s="2" t="s">
        <v>229</v>
      </c>
      <c r="L242" s="3">
        <v>23.8</v>
      </c>
      <c r="M242" s="3">
        <v>24.99</v>
      </c>
      <c r="N242" s="3">
        <v>44.99</v>
      </c>
      <c r="O242" s="2" t="s">
        <v>97</v>
      </c>
      <c r="P242" s="2" t="s">
        <v>126</v>
      </c>
      <c r="Q242" s="2" t="s">
        <v>99</v>
      </c>
      <c r="R242" s="2" t="s">
        <v>100</v>
      </c>
      <c r="S242" s="2" t="s">
        <v>1052</v>
      </c>
      <c r="T242" s="2" t="s">
        <v>231</v>
      </c>
      <c r="U242" s="2" t="s">
        <v>426</v>
      </c>
      <c r="V242" s="2" t="s">
        <v>103</v>
      </c>
      <c r="W242" s="2" t="s">
        <v>636</v>
      </c>
      <c r="X242" s="2" t="s">
        <v>428</v>
      </c>
      <c r="Y242" s="2" t="s">
        <v>485</v>
      </c>
      <c r="Z242" s="4">
        <v>235</v>
      </c>
      <c r="AA242" s="4">
        <f>=ROUNDDOWN(13.8235294117647,0)</f>
      </c>
      <c r="AB242" s="5">
        <v>17</v>
      </c>
      <c r="AC242" s="2" t="s">
        <v>179</v>
      </c>
      <c r="AD242" s="4">
        <v>390</v>
      </c>
      <c r="AE242" s="4">
        <v>390</v>
      </c>
      <c r="AF242" s="6">
        <v>63</v>
      </c>
      <c r="AG242" s="6">
        <v>46</v>
      </c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>
        <v>8</v>
      </c>
      <c r="AW242" s="8">
        <v>296.07</v>
      </c>
      <c r="AX242" s="4" t="s">
        <v>100</v>
      </c>
      <c r="AY242" s="8" t="s">
        <v>100</v>
      </c>
      <c r="AZ242" s="7" t="s">
        <v>100</v>
      </c>
      <c r="BA242" s="7" t="s">
        <v>100</v>
      </c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>
        <v>0.1993</v>
      </c>
      <c r="BJ242" s="4">
        <v>34</v>
      </c>
      <c r="BK242" s="8">
        <v>850.82</v>
      </c>
      <c r="BL242" s="2" t="s">
        <v>1053</v>
      </c>
      <c r="BM242" s="7"/>
      <c r="BN242" s="7"/>
      <c r="BO242" s="4"/>
      <c r="BP242" s="8"/>
      <c r="BQ242" s="4"/>
      <c r="BR242" s="8"/>
      <c r="BS242" s="7"/>
      <c r="BT242" s="7"/>
      <c r="BU242" s="2" t="s">
        <v>109</v>
      </c>
      <c r="BV242" s="2" t="s">
        <v>97</v>
      </c>
      <c r="BW242" s="2" t="s">
        <v>485</v>
      </c>
      <c r="BX242" s="2" t="s">
        <v>1054</v>
      </c>
      <c r="BY242" s="2" t="s">
        <v>112</v>
      </c>
      <c r="BZ242" s="2" t="s">
        <v>100</v>
      </c>
    </row>
    <row r="243">
      <c r="A243" s="2" t="s">
        <v>1055</v>
      </c>
      <c r="B243" s="2" t="s">
        <v>87</v>
      </c>
      <c r="C243" s="2" t="s">
        <v>785</v>
      </c>
      <c r="D243" s="2" t="s">
        <v>89</v>
      </c>
      <c r="E243" s="2" t="s">
        <v>786</v>
      </c>
      <c r="F243" s="2" t="s">
        <v>1030</v>
      </c>
      <c r="G243" s="2" t="s">
        <v>1031</v>
      </c>
      <c r="H243" s="2" t="s">
        <v>1032</v>
      </c>
      <c r="I243" s="2" t="s">
        <v>1033</v>
      </c>
      <c r="J243" s="2" t="s">
        <v>558</v>
      </c>
      <c r="K243" s="2" t="s">
        <v>229</v>
      </c>
      <c r="L243" s="3">
        <v>30.95</v>
      </c>
      <c r="M243" s="3">
        <v>32.5</v>
      </c>
      <c r="N243" s="3">
        <v>54.99</v>
      </c>
      <c r="O243" s="2" t="s">
        <v>97</v>
      </c>
      <c r="P243" s="2" t="s">
        <v>126</v>
      </c>
      <c r="Q243" s="2" t="s">
        <v>99</v>
      </c>
      <c r="R243" s="2" t="s">
        <v>100</v>
      </c>
      <c r="S243" s="2" t="s">
        <v>1052</v>
      </c>
      <c r="T243" s="2" t="s">
        <v>231</v>
      </c>
      <c r="U243" s="2" t="s">
        <v>432</v>
      </c>
      <c r="V243" s="2" t="s">
        <v>103</v>
      </c>
      <c r="W243" s="2" t="s">
        <v>636</v>
      </c>
      <c r="X243" s="2" t="s">
        <v>428</v>
      </c>
      <c r="Y243" s="2" t="s">
        <v>485</v>
      </c>
      <c r="Z243" s="4">
        <v>1094</v>
      </c>
      <c r="AA243" s="4">
        <f>=ROUNDDOWN(23.7826086956522,0)</f>
      </c>
      <c r="AB243" s="5">
        <v>46</v>
      </c>
      <c r="AC243" s="2" t="s">
        <v>179</v>
      </c>
      <c r="AD243" s="4">
        <v>960</v>
      </c>
      <c r="AE243" s="4">
        <v>960</v>
      </c>
      <c r="AF243" s="6">
        <v>63</v>
      </c>
      <c r="AG243" s="6">
        <v>46</v>
      </c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/>
      <c r="AP243" s="4">
        <v>1</v>
      </c>
      <c r="AQ243" s="8">
        <v>35.74</v>
      </c>
      <c r="AR243" s="4"/>
      <c r="AS243" s="8"/>
      <c r="AT243" s="7"/>
      <c r="AU243" s="7"/>
      <c r="AV243" s="4" t="s">
        <v>100</v>
      </c>
      <c r="AW243" s="8" t="s">
        <v>100</v>
      </c>
      <c r="AX243" s="4" t="s">
        <v>100</v>
      </c>
      <c r="AY243" s="8" t="s">
        <v>100</v>
      </c>
      <c r="AZ243" s="7" t="s">
        <v>100</v>
      </c>
      <c r="BA243" s="7" t="s">
        <v>100</v>
      </c>
      <c r="BB243" s="7">
        <v>0.1207</v>
      </c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 t="s">
        <v>100</v>
      </c>
      <c r="BJ243" s="4">
        <v>167</v>
      </c>
      <c r="BK243" s="8">
        <v>5504.24</v>
      </c>
      <c r="BL243" s="2" t="s">
        <v>1056</v>
      </c>
      <c r="BM243" s="7">
        <v>0.006</v>
      </c>
      <c r="BN243" s="7">
        <v>0.0065</v>
      </c>
      <c r="BO243" s="4">
        <v>1</v>
      </c>
      <c r="BP243" s="8">
        <v>35.74</v>
      </c>
      <c r="BQ243" s="4"/>
      <c r="BR243" s="8"/>
      <c r="BS243" s="7"/>
      <c r="BT243" s="7"/>
      <c r="BU243" s="2" t="s">
        <v>109</v>
      </c>
      <c r="BV243" s="2" t="s">
        <v>97</v>
      </c>
      <c r="BW243" s="2" t="s">
        <v>485</v>
      </c>
      <c r="BX243" s="2" t="s">
        <v>1057</v>
      </c>
      <c r="BY243" s="2" t="s">
        <v>112</v>
      </c>
      <c r="BZ243" s="2" t="s">
        <v>100</v>
      </c>
    </row>
    <row r="244">
      <c r="A244" s="2" t="s">
        <v>1058</v>
      </c>
      <c r="B244" s="2" t="s">
        <v>87</v>
      </c>
      <c r="C244" s="2" t="s">
        <v>785</v>
      </c>
      <c r="D244" s="2" t="s">
        <v>89</v>
      </c>
      <c r="E244" s="2" t="s">
        <v>786</v>
      </c>
      <c r="F244" s="2" t="s">
        <v>1030</v>
      </c>
      <c r="G244" s="2" t="s">
        <v>1031</v>
      </c>
      <c r="H244" s="2" t="s">
        <v>1032</v>
      </c>
      <c r="I244" s="2" t="s">
        <v>1033</v>
      </c>
      <c r="J244" s="2" t="s">
        <v>563</v>
      </c>
      <c r="K244" s="2" t="s">
        <v>229</v>
      </c>
      <c r="L244" s="3">
        <v>33.33</v>
      </c>
      <c r="M244" s="3">
        <v>35</v>
      </c>
      <c r="N244" s="3">
        <v>59.99</v>
      </c>
      <c r="O244" s="2" t="s">
        <v>97</v>
      </c>
      <c r="P244" s="2" t="s">
        <v>126</v>
      </c>
      <c r="Q244" s="2" t="s">
        <v>99</v>
      </c>
      <c r="R244" s="2" t="s">
        <v>100</v>
      </c>
      <c r="S244" s="2" t="s">
        <v>1052</v>
      </c>
      <c r="T244" s="2" t="s">
        <v>231</v>
      </c>
      <c r="U244" s="2" t="s">
        <v>432</v>
      </c>
      <c r="V244" s="2" t="s">
        <v>103</v>
      </c>
      <c r="W244" s="2" t="s">
        <v>636</v>
      </c>
      <c r="X244" s="2" t="s">
        <v>428</v>
      </c>
      <c r="Y244" s="2" t="s">
        <v>485</v>
      </c>
      <c r="Z244" s="4">
        <v>847</v>
      </c>
      <c r="AA244" s="4">
        <f>=ROUNDDOWN(32.5769230769231,0)</f>
      </c>
      <c r="AB244" s="5">
        <v>26</v>
      </c>
      <c r="AC244" s="2" t="s">
        <v>179</v>
      </c>
      <c r="AD244" s="4">
        <v>630</v>
      </c>
      <c r="AE244" s="4">
        <v>630</v>
      </c>
      <c r="AF244" s="6">
        <v>63</v>
      </c>
      <c r="AG244" s="6">
        <v>46</v>
      </c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/>
      <c r="AP244" s="4">
        <v>7</v>
      </c>
      <c r="AQ244" s="8">
        <v>260.33</v>
      </c>
      <c r="AR244" s="4"/>
      <c r="AS244" s="8"/>
      <c r="AT244" s="7"/>
      <c r="AU244" s="7"/>
      <c r="AV244" s="4" t="s">
        <v>100</v>
      </c>
      <c r="AW244" s="8" t="s">
        <v>100</v>
      </c>
      <c r="AX244" s="4" t="s">
        <v>100</v>
      </c>
      <c r="AY244" s="8" t="s">
        <v>100</v>
      </c>
      <c r="AZ244" s="7" t="s">
        <v>100</v>
      </c>
      <c r="BA244" s="7" t="s">
        <v>100</v>
      </c>
      <c r="BB244" s="7">
        <v>0.8793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 t="s">
        <v>100</v>
      </c>
      <c r="BJ244" s="4">
        <v>143</v>
      </c>
      <c r="BK244" s="8">
        <v>5148.62</v>
      </c>
      <c r="BL244" s="2" t="s">
        <v>918</v>
      </c>
      <c r="BM244" s="7">
        <v>0.049</v>
      </c>
      <c r="BN244" s="7">
        <v>0.0506</v>
      </c>
      <c r="BO244" s="4">
        <v>7</v>
      </c>
      <c r="BP244" s="8">
        <v>260.33</v>
      </c>
      <c r="BQ244" s="4"/>
      <c r="BR244" s="8"/>
      <c r="BS244" s="7"/>
      <c r="BT244" s="7"/>
      <c r="BU244" s="2" t="s">
        <v>109</v>
      </c>
      <c r="BV244" s="2" t="s">
        <v>97</v>
      </c>
      <c r="BW244" s="2" t="s">
        <v>1059</v>
      </c>
      <c r="BX244" s="2" t="s">
        <v>1060</v>
      </c>
      <c r="BY244" s="2" t="s">
        <v>112</v>
      </c>
      <c r="BZ244" s="2" t="s">
        <v>100</v>
      </c>
    </row>
    <row r="245">
      <c r="A245" s="2" t="s">
        <v>1061</v>
      </c>
      <c r="B245" s="2" t="s">
        <v>87</v>
      </c>
      <c r="C245" s="2" t="s">
        <v>785</v>
      </c>
      <c r="D245" s="2" t="s">
        <v>89</v>
      </c>
      <c r="E245" s="2" t="s">
        <v>786</v>
      </c>
      <c r="F245" s="2" t="s">
        <v>1030</v>
      </c>
      <c r="G245" s="2" t="s">
        <v>1031</v>
      </c>
      <c r="H245" s="2" t="s">
        <v>1032</v>
      </c>
      <c r="I245" s="2" t="s">
        <v>1033</v>
      </c>
      <c r="J245" s="2" t="s">
        <v>791</v>
      </c>
      <c r="K245" s="2" t="s">
        <v>1062</v>
      </c>
      <c r="L245" s="3">
        <v>23.8</v>
      </c>
      <c r="M245" s="3">
        <v>24.99</v>
      </c>
      <c r="N245" s="3">
        <v>44.99</v>
      </c>
      <c r="O245" s="2" t="s">
        <v>97</v>
      </c>
      <c r="P245" s="2" t="s">
        <v>141</v>
      </c>
      <c r="Q245" s="2" t="s">
        <v>99</v>
      </c>
      <c r="R245" s="2" t="s">
        <v>100</v>
      </c>
      <c r="S245" s="2" t="s">
        <v>1063</v>
      </c>
      <c r="T245" s="2" t="s">
        <v>231</v>
      </c>
      <c r="U245" s="2" t="s">
        <v>426</v>
      </c>
      <c r="V245" s="2" t="s">
        <v>103</v>
      </c>
      <c r="W245" s="2" t="s">
        <v>636</v>
      </c>
      <c r="X245" s="2" t="s">
        <v>428</v>
      </c>
      <c r="Y245" s="2" t="s">
        <v>485</v>
      </c>
      <c r="Z245" s="4">
        <v>107</v>
      </c>
      <c r="AA245" s="4">
        <f>=ROUNDDOWN(20.188679245283,0)</f>
      </c>
      <c r="AB245" s="5">
        <v>5.3</v>
      </c>
      <c r="AC245" s="2" t="s">
        <v>179</v>
      </c>
      <c r="AD245" s="4">
        <v>210</v>
      </c>
      <c r="AE245" s="4">
        <v>510</v>
      </c>
      <c r="AF245" s="6">
        <v>63</v>
      </c>
      <c r="AG245" s="6">
        <v>46</v>
      </c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/>
      <c r="AP245" s="4">
        <v>1</v>
      </c>
      <c r="AQ245" s="8">
        <v>29.24</v>
      </c>
      <c r="AR245" s="4"/>
      <c r="AS245" s="8"/>
      <c r="AT245" s="7"/>
      <c r="AU245" s="7"/>
      <c r="AV245" s="4">
        <v>4</v>
      </c>
      <c r="AW245" s="8">
        <v>137.91</v>
      </c>
      <c r="AX245" s="4" t="s">
        <v>100</v>
      </c>
      <c r="AY245" s="8" t="s">
        <v>100</v>
      </c>
      <c r="AZ245" s="7" t="s">
        <v>100</v>
      </c>
      <c r="BA245" s="7" t="s">
        <v>100</v>
      </c>
      <c r="BB245" s="7">
        <v>0.212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>
        <v>0.0929</v>
      </c>
      <c r="BJ245" s="4">
        <v>17</v>
      </c>
      <c r="BK245" s="8">
        <v>418.47</v>
      </c>
      <c r="BL245" s="2" t="s">
        <v>1064</v>
      </c>
      <c r="BM245" s="7">
        <v>0.0588</v>
      </c>
      <c r="BN245" s="7">
        <v>0.0699</v>
      </c>
      <c r="BO245" s="4">
        <v>1</v>
      </c>
      <c r="BP245" s="8">
        <v>29.24</v>
      </c>
      <c r="BQ245" s="4"/>
      <c r="BR245" s="8"/>
      <c r="BS245" s="7"/>
      <c r="BT245" s="7"/>
      <c r="BU245" s="2" t="s">
        <v>109</v>
      </c>
      <c r="BV245" s="2" t="s">
        <v>97</v>
      </c>
      <c r="BW245" s="2" t="s">
        <v>485</v>
      </c>
      <c r="BX245" s="2" t="s">
        <v>487</v>
      </c>
      <c r="BY245" s="2" t="s">
        <v>112</v>
      </c>
      <c r="BZ245" s="2" t="s">
        <v>100</v>
      </c>
    </row>
    <row r="246">
      <c r="A246" s="2" t="s">
        <v>1065</v>
      </c>
      <c r="B246" s="2" t="s">
        <v>87</v>
      </c>
      <c r="C246" s="2" t="s">
        <v>785</v>
      </c>
      <c r="D246" s="2" t="s">
        <v>89</v>
      </c>
      <c r="E246" s="2" t="s">
        <v>786</v>
      </c>
      <c r="F246" s="2" t="s">
        <v>1030</v>
      </c>
      <c r="G246" s="2" t="s">
        <v>1031</v>
      </c>
      <c r="H246" s="2" t="s">
        <v>1032</v>
      </c>
      <c r="I246" s="2" t="s">
        <v>1033</v>
      </c>
      <c r="J246" s="2" t="s">
        <v>558</v>
      </c>
      <c r="K246" s="2" t="s">
        <v>1062</v>
      </c>
      <c r="L246" s="3">
        <v>30.95</v>
      </c>
      <c r="M246" s="3">
        <v>32.5</v>
      </c>
      <c r="N246" s="3">
        <v>54.99</v>
      </c>
      <c r="O246" s="2" t="s">
        <v>97</v>
      </c>
      <c r="P246" s="2" t="s">
        <v>141</v>
      </c>
      <c r="Q246" s="2" t="s">
        <v>99</v>
      </c>
      <c r="R246" s="2" t="s">
        <v>100</v>
      </c>
      <c r="S246" s="2" t="s">
        <v>1063</v>
      </c>
      <c r="T246" s="2" t="s">
        <v>231</v>
      </c>
      <c r="U246" s="2" t="s">
        <v>432</v>
      </c>
      <c r="V246" s="2" t="s">
        <v>103</v>
      </c>
      <c r="W246" s="2" t="s">
        <v>636</v>
      </c>
      <c r="X246" s="2" t="s">
        <v>428</v>
      </c>
      <c r="Y246" s="2" t="s">
        <v>485</v>
      </c>
      <c r="Z246" s="4">
        <v>612</v>
      </c>
      <c r="AA246" s="4">
        <f>=ROUNDDOWN(23.7209302325581,0)</f>
      </c>
      <c r="AB246" s="5">
        <v>25.8</v>
      </c>
      <c r="AC246" s="2" t="s">
        <v>179</v>
      </c>
      <c r="AD246" s="4">
        <v>120</v>
      </c>
      <c r="AE246" s="4">
        <v>420</v>
      </c>
      <c r="AF246" s="6">
        <v>63</v>
      </c>
      <c r="AG246" s="6">
        <v>46</v>
      </c>
      <c r="AH246" s="7">
        <v>1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/>
      <c r="AP246" s="4">
        <v>2</v>
      </c>
      <c r="AQ246" s="8">
        <v>71.48</v>
      </c>
      <c r="AR246" s="4"/>
      <c r="AS246" s="8"/>
      <c r="AT246" s="7"/>
      <c r="AU246" s="7"/>
      <c r="AV246" s="4" t="s">
        <v>100</v>
      </c>
      <c r="AW246" s="8" t="s">
        <v>100</v>
      </c>
      <c r="AX246" s="4" t="s">
        <v>100</v>
      </c>
      <c r="AY246" s="8" t="s">
        <v>100</v>
      </c>
      <c r="AZ246" s="7" t="s">
        <v>100</v>
      </c>
      <c r="BA246" s="7" t="s">
        <v>100</v>
      </c>
      <c r="BB246" s="7">
        <v>0.5183</v>
      </c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 t="s">
        <v>100</v>
      </c>
      <c r="BJ246" s="4">
        <v>120</v>
      </c>
      <c r="BK246" s="8">
        <v>3831.94</v>
      </c>
      <c r="BL246" s="2" t="s">
        <v>1066</v>
      </c>
      <c r="BM246" s="7">
        <v>0.0167</v>
      </c>
      <c r="BN246" s="7">
        <v>0.0187</v>
      </c>
      <c r="BO246" s="4">
        <v>2</v>
      </c>
      <c r="BP246" s="8">
        <v>71.48</v>
      </c>
      <c r="BQ246" s="4"/>
      <c r="BR246" s="8"/>
      <c r="BS246" s="7"/>
      <c r="BT246" s="7"/>
      <c r="BU246" s="2" t="s">
        <v>109</v>
      </c>
      <c r="BV246" s="2" t="s">
        <v>97</v>
      </c>
      <c r="BW246" s="2" t="s">
        <v>522</v>
      </c>
      <c r="BX246" s="2" t="s">
        <v>988</v>
      </c>
      <c r="BY246" s="2" t="s">
        <v>112</v>
      </c>
      <c r="BZ246" s="2" t="s">
        <v>100</v>
      </c>
    </row>
    <row r="247">
      <c r="A247" s="2" t="s">
        <v>1067</v>
      </c>
      <c r="B247" s="2" t="s">
        <v>87</v>
      </c>
      <c r="C247" s="2" t="s">
        <v>785</v>
      </c>
      <c r="D247" s="2" t="s">
        <v>89</v>
      </c>
      <c r="E247" s="2" t="s">
        <v>786</v>
      </c>
      <c r="F247" s="2" t="s">
        <v>1030</v>
      </c>
      <c r="G247" s="2" t="s">
        <v>1031</v>
      </c>
      <c r="H247" s="2" t="s">
        <v>1032</v>
      </c>
      <c r="I247" s="2" t="s">
        <v>1033</v>
      </c>
      <c r="J247" s="2" t="s">
        <v>563</v>
      </c>
      <c r="K247" s="2" t="s">
        <v>1062</v>
      </c>
      <c r="L247" s="3">
        <v>33.33</v>
      </c>
      <c r="M247" s="3">
        <v>35</v>
      </c>
      <c r="N247" s="3">
        <v>59.99</v>
      </c>
      <c r="O247" s="2" t="s">
        <v>97</v>
      </c>
      <c r="P247" s="2" t="s">
        <v>141</v>
      </c>
      <c r="Q247" s="2" t="s">
        <v>99</v>
      </c>
      <c r="R247" s="2" t="s">
        <v>100</v>
      </c>
      <c r="S247" s="2" t="s">
        <v>1063</v>
      </c>
      <c r="T247" s="2" t="s">
        <v>231</v>
      </c>
      <c r="U247" s="2" t="s">
        <v>432</v>
      </c>
      <c r="V247" s="2" t="s">
        <v>103</v>
      </c>
      <c r="W247" s="2" t="s">
        <v>636</v>
      </c>
      <c r="X247" s="2" t="s">
        <v>428</v>
      </c>
      <c r="Y247" s="2" t="s">
        <v>485</v>
      </c>
      <c r="Z247" s="4">
        <v>423</v>
      </c>
      <c r="AA247" s="4">
        <f>=ROUNDDOWN(15.8426966292135,0)</f>
      </c>
      <c r="AB247" s="5">
        <v>26.7</v>
      </c>
      <c r="AC247" s="2" t="s">
        <v>179</v>
      </c>
      <c r="AD247" s="4">
        <v>690</v>
      </c>
      <c r="AE247" s="4">
        <v>1090</v>
      </c>
      <c r="AF247" s="6">
        <v>63</v>
      </c>
      <c r="AG247" s="6">
        <v>46</v>
      </c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/>
      <c r="AP247" s="4">
        <v>1</v>
      </c>
      <c r="AQ247" s="8">
        <v>37.19</v>
      </c>
      <c r="AR247" s="4"/>
      <c r="AS247" s="8"/>
      <c r="AT247" s="7"/>
      <c r="AU247" s="7"/>
      <c r="AV247" s="4" t="s">
        <v>100</v>
      </c>
      <c r="AW247" s="8" t="s">
        <v>100</v>
      </c>
      <c r="AX247" s="4" t="s">
        <v>100</v>
      </c>
      <c r="AY247" s="8" t="s">
        <v>100</v>
      </c>
      <c r="AZ247" s="7" t="s">
        <v>100</v>
      </c>
      <c r="BA247" s="7" t="s">
        <v>100</v>
      </c>
      <c r="BB247" s="7">
        <v>0.2697</v>
      </c>
      <c r="BC247" s="4" t="s">
        <v>100</v>
      </c>
      <c r="BD247" s="8" t="s">
        <v>100</v>
      </c>
      <c r="BE247" s="4" t="s">
        <v>100</v>
      </c>
      <c r="BF247" s="8" t="s">
        <v>100</v>
      </c>
      <c r="BG247" s="7" t="s">
        <v>100</v>
      </c>
      <c r="BH247" s="7" t="s">
        <v>100</v>
      </c>
      <c r="BI247" s="7" t="s">
        <v>100</v>
      </c>
      <c r="BJ247" s="4">
        <v>112</v>
      </c>
      <c r="BK247" s="8">
        <v>4025.62</v>
      </c>
      <c r="BL247" s="2" t="s">
        <v>1066</v>
      </c>
      <c r="BM247" s="7">
        <v>0.0089</v>
      </c>
      <c r="BN247" s="7">
        <v>0.0092</v>
      </c>
      <c r="BO247" s="4">
        <v>1</v>
      </c>
      <c r="BP247" s="8">
        <v>37.19</v>
      </c>
      <c r="BQ247" s="4"/>
      <c r="BR247" s="8"/>
      <c r="BS247" s="7"/>
      <c r="BT247" s="7"/>
      <c r="BU247" s="2" t="s">
        <v>109</v>
      </c>
      <c r="BV247" s="2" t="s">
        <v>97</v>
      </c>
      <c r="BW247" s="2" t="s">
        <v>485</v>
      </c>
      <c r="BX247" s="2" t="s">
        <v>1068</v>
      </c>
      <c r="BY247" s="2" t="s">
        <v>112</v>
      </c>
      <c r="BZ247" s="2" t="s">
        <v>100</v>
      </c>
    </row>
    <row r="248">
      <c r="A248" s="2" t="s">
        <v>1069</v>
      </c>
      <c r="B248" s="2" t="s">
        <v>87</v>
      </c>
      <c r="C248" s="2" t="s">
        <v>785</v>
      </c>
      <c r="D248" s="2" t="s">
        <v>89</v>
      </c>
      <c r="E248" s="2" t="s">
        <v>786</v>
      </c>
      <c r="F248" s="2" t="s">
        <v>1030</v>
      </c>
      <c r="G248" s="2" t="s">
        <v>1031</v>
      </c>
      <c r="H248" s="2" t="s">
        <v>1032</v>
      </c>
      <c r="I248" s="2" t="s">
        <v>1033</v>
      </c>
      <c r="J248" s="2" t="s">
        <v>791</v>
      </c>
      <c r="K248" s="2" t="s">
        <v>203</v>
      </c>
      <c r="L248" s="3">
        <v>23.8</v>
      </c>
      <c r="M248" s="3">
        <v>24.99</v>
      </c>
      <c r="N248" s="3">
        <v>49.99</v>
      </c>
      <c r="O248" s="2" t="s">
        <v>97</v>
      </c>
      <c r="P248" s="2" t="s">
        <v>126</v>
      </c>
      <c r="Q248" s="2" t="s">
        <v>99</v>
      </c>
      <c r="R248" s="2" t="s">
        <v>100</v>
      </c>
      <c r="S248" s="2" t="s">
        <v>1070</v>
      </c>
      <c r="T248" s="2" t="s">
        <v>231</v>
      </c>
      <c r="U248" s="2" t="s">
        <v>426</v>
      </c>
      <c r="V248" s="2" t="s">
        <v>103</v>
      </c>
      <c r="W248" s="2" t="s">
        <v>636</v>
      </c>
      <c r="X248" s="2" t="s">
        <v>428</v>
      </c>
      <c r="Y248" s="2" t="s">
        <v>794</v>
      </c>
      <c r="Z248" s="4">
        <v>925</v>
      </c>
      <c r="AA248" s="4">
        <f>=ROUNDDOWN(66.0714285714286,0)</f>
      </c>
      <c r="AB248" s="5">
        <v>14</v>
      </c>
      <c r="AC248" s="2" t="s">
        <v>100</v>
      </c>
      <c r="AD248" s="4"/>
      <c r="AE248" s="4"/>
      <c r="AF248" s="6">
        <v>63</v>
      </c>
      <c r="AG248" s="6">
        <v>46</v>
      </c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/>
      <c r="AP248" s="4">
        <v>1</v>
      </c>
      <c r="AQ248" s="8">
        <v>29.24</v>
      </c>
      <c r="AR248" s="4"/>
      <c r="AS248" s="8"/>
      <c r="AT248" s="7"/>
      <c r="AU248" s="7"/>
      <c r="AV248" s="4">
        <v>3</v>
      </c>
      <c r="AW248" s="8">
        <v>100.72</v>
      </c>
      <c r="AX248" s="4" t="s">
        <v>100</v>
      </c>
      <c r="AY248" s="8" t="s">
        <v>100</v>
      </c>
      <c r="AZ248" s="7" t="s">
        <v>100</v>
      </c>
      <c r="BA248" s="7" t="s">
        <v>100</v>
      </c>
      <c r="BB248" s="7">
        <v>0.2903</v>
      </c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>
        <v>0.0678</v>
      </c>
      <c r="BJ248" s="4">
        <v>26</v>
      </c>
      <c r="BK248" s="8">
        <v>665.67</v>
      </c>
      <c r="BL248" s="2" t="s">
        <v>1071</v>
      </c>
      <c r="BM248" s="7">
        <v>0.0385</v>
      </c>
      <c r="BN248" s="7">
        <v>0.0439</v>
      </c>
      <c r="BO248" s="4">
        <v>1</v>
      </c>
      <c r="BP248" s="8">
        <v>29.24</v>
      </c>
      <c r="BQ248" s="4"/>
      <c r="BR248" s="8"/>
      <c r="BS248" s="7"/>
      <c r="BT248" s="7"/>
      <c r="BU248" s="2" t="s">
        <v>109</v>
      </c>
      <c r="BV248" s="2" t="s">
        <v>97</v>
      </c>
      <c r="BW248" s="2" t="s">
        <v>825</v>
      </c>
      <c r="BX248" s="2" t="s">
        <v>1072</v>
      </c>
      <c r="BY248" s="2" t="s">
        <v>112</v>
      </c>
      <c r="BZ248" s="2" t="s">
        <v>100</v>
      </c>
    </row>
    <row r="249">
      <c r="A249" s="2" t="s">
        <v>1073</v>
      </c>
      <c r="B249" s="2" t="s">
        <v>87</v>
      </c>
      <c r="C249" s="2" t="s">
        <v>785</v>
      </c>
      <c r="D249" s="2" t="s">
        <v>89</v>
      </c>
      <c r="E249" s="2" t="s">
        <v>786</v>
      </c>
      <c r="F249" s="2" t="s">
        <v>1030</v>
      </c>
      <c r="G249" s="2" t="s">
        <v>1031</v>
      </c>
      <c r="H249" s="2" t="s">
        <v>1032</v>
      </c>
      <c r="I249" s="2" t="s">
        <v>1033</v>
      </c>
      <c r="J249" s="2" t="s">
        <v>558</v>
      </c>
      <c r="K249" s="2" t="s">
        <v>203</v>
      </c>
      <c r="L249" s="3">
        <v>30.95</v>
      </c>
      <c r="M249" s="3">
        <v>32.5</v>
      </c>
      <c r="N249" s="3">
        <v>64.99</v>
      </c>
      <c r="O249" s="2" t="s">
        <v>97</v>
      </c>
      <c r="P249" s="2" t="s">
        <v>126</v>
      </c>
      <c r="Q249" s="2" t="s">
        <v>99</v>
      </c>
      <c r="R249" s="2" t="s">
        <v>100</v>
      </c>
      <c r="S249" s="2" t="s">
        <v>1070</v>
      </c>
      <c r="T249" s="2" t="s">
        <v>231</v>
      </c>
      <c r="U249" s="2" t="s">
        <v>432</v>
      </c>
      <c r="V249" s="2" t="s">
        <v>103</v>
      </c>
      <c r="W249" s="2" t="s">
        <v>636</v>
      </c>
      <c r="X249" s="2" t="s">
        <v>428</v>
      </c>
      <c r="Y249" s="2" t="s">
        <v>794</v>
      </c>
      <c r="Z249" s="4">
        <v>3182</v>
      </c>
      <c r="AA249" s="4">
        <f>=ROUNDDOWN(60.0377358490566,0)</f>
      </c>
      <c r="AB249" s="5">
        <v>53</v>
      </c>
      <c r="AC249" s="2" t="s">
        <v>100</v>
      </c>
      <c r="AD249" s="4"/>
      <c r="AE249" s="4"/>
      <c r="AF249" s="6">
        <v>63</v>
      </c>
      <c r="AG249" s="6">
        <v>46</v>
      </c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/>
      <c r="AP249" s="4">
        <v>2</v>
      </c>
      <c r="AQ249" s="8">
        <v>71.48</v>
      </c>
      <c r="AR249" s="4"/>
      <c r="AS249" s="8"/>
      <c r="AT249" s="7"/>
      <c r="AU249" s="7"/>
      <c r="AV249" s="4" t="s">
        <v>100</v>
      </c>
      <c r="AW249" s="8" t="s">
        <v>100</v>
      </c>
      <c r="AX249" s="4" t="s">
        <v>100</v>
      </c>
      <c r="AY249" s="8" t="s">
        <v>100</v>
      </c>
      <c r="AZ249" s="7" t="s">
        <v>100</v>
      </c>
      <c r="BA249" s="7" t="s">
        <v>100</v>
      </c>
      <c r="BB249" s="7">
        <v>0.7097</v>
      </c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 t="s">
        <v>100</v>
      </c>
      <c r="BJ249" s="4">
        <v>231</v>
      </c>
      <c r="BK249" s="8">
        <v>7758.21</v>
      </c>
      <c r="BL249" s="2" t="s">
        <v>915</v>
      </c>
      <c r="BM249" s="7">
        <v>0.0087</v>
      </c>
      <c r="BN249" s="7">
        <v>0.0092</v>
      </c>
      <c r="BO249" s="4">
        <v>2</v>
      </c>
      <c r="BP249" s="8">
        <v>71.48</v>
      </c>
      <c r="BQ249" s="4"/>
      <c r="BR249" s="8"/>
      <c r="BS249" s="7"/>
      <c r="BT249" s="7"/>
      <c r="BU249" s="2" t="s">
        <v>109</v>
      </c>
      <c r="BV249" s="2" t="s">
        <v>97</v>
      </c>
      <c r="BW249" s="2" t="s">
        <v>856</v>
      </c>
      <c r="BX249" s="2" t="s">
        <v>813</v>
      </c>
      <c r="BY249" s="2" t="s">
        <v>112</v>
      </c>
      <c r="BZ249" s="2" t="s">
        <v>100</v>
      </c>
    </row>
    <row r="250">
      <c r="A250" s="2" t="s">
        <v>1074</v>
      </c>
      <c r="B250" s="2" t="s">
        <v>87</v>
      </c>
      <c r="C250" s="2" t="s">
        <v>785</v>
      </c>
      <c r="D250" s="2" t="s">
        <v>89</v>
      </c>
      <c r="E250" s="2" t="s">
        <v>786</v>
      </c>
      <c r="F250" s="2" t="s">
        <v>1030</v>
      </c>
      <c r="G250" s="2" t="s">
        <v>1031</v>
      </c>
      <c r="H250" s="2" t="s">
        <v>1032</v>
      </c>
      <c r="I250" s="2" t="s">
        <v>1033</v>
      </c>
      <c r="J250" s="2" t="s">
        <v>563</v>
      </c>
      <c r="K250" s="2" t="s">
        <v>203</v>
      </c>
      <c r="L250" s="3">
        <v>33.33</v>
      </c>
      <c r="M250" s="3">
        <v>35</v>
      </c>
      <c r="N250" s="3">
        <v>69.99</v>
      </c>
      <c r="O250" s="2" t="s">
        <v>97</v>
      </c>
      <c r="P250" s="2" t="s">
        <v>126</v>
      </c>
      <c r="Q250" s="2" t="s">
        <v>99</v>
      </c>
      <c r="R250" s="2" t="s">
        <v>100</v>
      </c>
      <c r="S250" s="2" t="s">
        <v>1070</v>
      </c>
      <c r="T250" s="2" t="s">
        <v>231</v>
      </c>
      <c r="U250" s="2" t="s">
        <v>432</v>
      </c>
      <c r="V250" s="2" t="s">
        <v>103</v>
      </c>
      <c r="W250" s="2" t="s">
        <v>636</v>
      </c>
      <c r="X250" s="2" t="s">
        <v>428</v>
      </c>
      <c r="Y250" s="2" t="s">
        <v>1040</v>
      </c>
      <c r="Z250" s="4">
        <v>1340</v>
      </c>
      <c r="AA250" s="4">
        <f>=ROUNDDOWN(49.6296296296296,0)</f>
      </c>
      <c r="AB250" s="5">
        <v>27</v>
      </c>
      <c r="AC250" s="2" t="s">
        <v>100</v>
      </c>
      <c r="AD250" s="4"/>
      <c r="AE250" s="4"/>
      <c r="AF250" s="6">
        <v>63</v>
      </c>
      <c r="AG250" s="6">
        <v>46</v>
      </c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100</v>
      </c>
      <c r="AW250" s="8" t="s">
        <v>100</v>
      </c>
      <c r="AX250" s="4" t="s">
        <v>100</v>
      </c>
      <c r="AY250" s="8" t="s">
        <v>100</v>
      </c>
      <c r="AZ250" s="7" t="s">
        <v>100</v>
      </c>
      <c r="BA250" s="7" t="s">
        <v>100</v>
      </c>
      <c r="BB250" s="7"/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 t="s">
        <v>100</v>
      </c>
      <c r="BJ250" s="4">
        <v>140</v>
      </c>
      <c r="BK250" s="8">
        <v>5202.9</v>
      </c>
      <c r="BL250" s="2" t="s">
        <v>1075</v>
      </c>
      <c r="BM250" s="7"/>
      <c r="BN250" s="7"/>
      <c r="BO250" s="4"/>
      <c r="BP250" s="8"/>
      <c r="BQ250" s="4"/>
      <c r="BR250" s="8"/>
      <c r="BS250" s="7"/>
      <c r="BT250" s="7"/>
      <c r="BU250" s="2" t="s">
        <v>109</v>
      </c>
      <c r="BV250" s="2" t="s">
        <v>97</v>
      </c>
      <c r="BW250" s="2" t="s">
        <v>856</v>
      </c>
      <c r="BX250" s="2" t="s">
        <v>808</v>
      </c>
      <c r="BY250" s="2" t="s">
        <v>112</v>
      </c>
      <c r="BZ250" s="2" t="s">
        <v>100</v>
      </c>
    </row>
    <row r="251">
      <c r="A251" s="2" t="s">
        <v>1076</v>
      </c>
      <c r="B251" s="2" t="s">
        <v>87</v>
      </c>
      <c r="C251" s="2" t="s">
        <v>785</v>
      </c>
      <c r="D251" s="2" t="s">
        <v>89</v>
      </c>
      <c r="E251" s="2" t="s">
        <v>786</v>
      </c>
      <c r="F251" s="2" t="s">
        <v>1030</v>
      </c>
      <c r="G251" s="2" t="s">
        <v>1031</v>
      </c>
      <c r="H251" s="2" t="s">
        <v>1032</v>
      </c>
      <c r="I251" s="2" t="s">
        <v>1033</v>
      </c>
      <c r="J251" s="2" t="s">
        <v>791</v>
      </c>
      <c r="K251" s="2" t="s">
        <v>140</v>
      </c>
      <c r="L251" s="3">
        <v>23.8</v>
      </c>
      <c r="M251" s="3">
        <v>24.99</v>
      </c>
      <c r="N251" s="3">
        <v>44.99</v>
      </c>
      <c r="O251" s="2" t="s">
        <v>97</v>
      </c>
      <c r="P251" s="2" t="s">
        <v>141</v>
      </c>
      <c r="Q251" s="2" t="s">
        <v>99</v>
      </c>
      <c r="R251" s="2" t="s">
        <v>100</v>
      </c>
      <c r="S251" s="2" t="s">
        <v>1077</v>
      </c>
      <c r="T251" s="2" t="s">
        <v>231</v>
      </c>
      <c r="U251" s="2" t="s">
        <v>426</v>
      </c>
      <c r="V251" s="2" t="s">
        <v>103</v>
      </c>
      <c r="W251" s="2" t="s">
        <v>636</v>
      </c>
      <c r="X251" s="2" t="s">
        <v>428</v>
      </c>
      <c r="Y251" s="2" t="s">
        <v>485</v>
      </c>
      <c r="Z251" s="4">
        <v>142</v>
      </c>
      <c r="AA251" s="4">
        <f>=ROUNDDOWN(22.5396825396825,0)</f>
      </c>
      <c r="AB251" s="5">
        <v>6.3</v>
      </c>
      <c r="AC251" s="2" t="s">
        <v>179</v>
      </c>
      <c r="AD251" s="4">
        <v>330</v>
      </c>
      <c r="AE251" s="4">
        <v>630</v>
      </c>
      <c r="AF251" s="6">
        <v>63</v>
      </c>
      <c r="AG251" s="6">
        <v>46</v>
      </c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>
        <v>1</v>
      </c>
      <c r="AW251" s="8">
        <v>35.74</v>
      </c>
      <c r="AX251" s="4" t="s">
        <v>100</v>
      </c>
      <c r="AY251" s="8" t="s">
        <v>100</v>
      </c>
      <c r="AZ251" s="7" t="s">
        <v>100</v>
      </c>
      <c r="BA251" s="7" t="s">
        <v>100</v>
      </c>
      <c r="BB251" s="7"/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>
        <v>0.0241</v>
      </c>
      <c r="BJ251" s="4">
        <v>26</v>
      </c>
      <c r="BK251" s="8">
        <v>638.12</v>
      </c>
      <c r="BL251" s="2" t="s">
        <v>1078</v>
      </c>
      <c r="BM251" s="7"/>
      <c r="BN251" s="7"/>
      <c r="BO251" s="4"/>
      <c r="BP251" s="8"/>
      <c r="BQ251" s="4"/>
      <c r="BR251" s="8"/>
      <c r="BS251" s="7"/>
      <c r="BT251" s="7"/>
      <c r="BU251" s="2" t="s">
        <v>109</v>
      </c>
      <c r="BV251" s="2" t="s">
        <v>97</v>
      </c>
      <c r="BW251" s="2" t="s">
        <v>485</v>
      </c>
      <c r="BX251" s="2" t="s">
        <v>1079</v>
      </c>
      <c r="BY251" s="2" t="s">
        <v>112</v>
      </c>
      <c r="BZ251" s="2" t="s">
        <v>100</v>
      </c>
    </row>
    <row r="252">
      <c r="A252" s="2" t="s">
        <v>1080</v>
      </c>
      <c r="B252" s="2" t="s">
        <v>87</v>
      </c>
      <c r="C252" s="2" t="s">
        <v>785</v>
      </c>
      <c r="D252" s="2" t="s">
        <v>89</v>
      </c>
      <c r="E252" s="2" t="s">
        <v>786</v>
      </c>
      <c r="F252" s="2" t="s">
        <v>1030</v>
      </c>
      <c r="G252" s="2" t="s">
        <v>1031</v>
      </c>
      <c r="H252" s="2" t="s">
        <v>1032</v>
      </c>
      <c r="I252" s="2" t="s">
        <v>1033</v>
      </c>
      <c r="J252" s="2" t="s">
        <v>558</v>
      </c>
      <c r="K252" s="2" t="s">
        <v>140</v>
      </c>
      <c r="L252" s="3">
        <v>30.95</v>
      </c>
      <c r="M252" s="3">
        <v>32.5</v>
      </c>
      <c r="N252" s="3">
        <v>54.99</v>
      </c>
      <c r="O252" s="2" t="s">
        <v>97</v>
      </c>
      <c r="P252" s="2" t="s">
        <v>141</v>
      </c>
      <c r="Q252" s="2" t="s">
        <v>99</v>
      </c>
      <c r="R252" s="2" t="s">
        <v>100</v>
      </c>
      <c r="S252" s="2" t="s">
        <v>1077</v>
      </c>
      <c r="T252" s="2" t="s">
        <v>231</v>
      </c>
      <c r="U252" s="2" t="s">
        <v>432</v>
      </c>
      <c r="V252" s="2" t="s">
        <v>103</v>
      </c>
      <c r="W252" s="2" t="s">
        <v>636</v>
      </c>
      <c r="X252" s="2" t="s">
        <v>428</v>
      </c>
      <c r="Y252" s="2" t="s">
        <v>485</v>
      </c>
      <c r="Z252" s="4">
        <v>698</v>
      </c>
      <c r="AA252" s="4">
        <f>=ROUNDDOWN(35.0753768844221,0)</f>
      </c>
      <c r="AB252" s="5">
        <v>19.9</v>
      </c>
      <c r="AC252" s="2" t="s">
        <v>179</v>
      </c>
      <c r="AD252" s="4">
        <v>360</v>
      </c>
      <c r="AE252" s="4">
        <v>760</v>
      </c>
      <c r="AF252" s="6">
        <v>63</v>
      </c>
      <c r="AG252" s="6">
        <v>46</v>
      </c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/>
      <c r="AP252" s="4">
        <v>1</v>
      </c>
      <c r="AQ252" s="8">
        <v>35.74</v>
      </c>
      <c r="AR252" s="4"/>
      <c r="AS252" s="8"/>
      <c r="AT252" s="7"/>
      <c r="AU252" s="7"/>
      <c r="AV252" s="4" t="s">
        <v>100</v>
      </c>
      <c r="AW252" s="8" t="s">
        <v>100</v>
      </c>
      <c r="AX252" s="4" t="s">
        <v>100</v>
      </c>
      <c r="AY252" s="8" t="s">
        <v>100</v>
      </c>
      <c r="AZ252" s="7" t="s">
        <v>100</v>
      </c>
      <c r="BA252" s="7" t="s">
        <v>100</v>
      </c>
      <c r="BB252" s="7">
        <v>1</v>
      </c>
      <c r="BC252" s="4" t="s">
        <v>100</v>
      </c>
      <c r="BD252" s="8" t="s">
        <v>100</v>
      </c>
      <c r="BE252" s="4" t="s">
        <v>100</v>
      </c>
      <c r="BF252" s="8" t="s">
        <v>100</v>
      </c>
      <c r="BG252" s="7" t="s">
        <v>100</v>
      </c>
      <c r="BH252" s="7" t="s">
        <v>100</v>
      </c>
      <c r="BI252" s="7" t="s">
        <v>100</v>
      </c>
      <c r="BJ252" s="4">
        <v>91</v>
      </c>
      <c r="BK252" s="8">
        <v>2979.37</v>
      </c>
      <c r="BL252" s="2" t="s">
        <v>1081</v>
      </c>
      <c r="BM252" s="7">
        <v>0.011</v>
      </c>
      <c r="BN252" s="7">
        <v>0.012</v>
      </c>
      <c r="BO252" s="4">
        <v>1</v>
      </c>
      <c r="BP252" s="8">
        <v>35.74</v>
      </c>
      <c r="BQ252" s="4"/>
      <c r="BR252" s="8"/>
      <c r="BS252" s="7"/>
      <c r="BT252" s="7"/>
      <c r="BU252" s="2" t="s">
        <v>109</v>
      </c>
      <c r="BV252" s="2" t="s">
        <v>97</v>
      </c>
      <c r="BW252" s="2" t="s">
        <v>485</v>
      </c>
      <c r="BX252" s="2" t="s">
        <v>1082</v>
      </c>
      <c r="BY252" s="2" t="s">
        <v>112</v>
      </c>
      <c r="BZ252" s="2" t="s">
        <v>100</v>
      </c>
    </row>
    <row r="253">
      <c r="A253" s="2" t="s">
        <v>1083</v>
      </c>
      <c r="B253" s="2" t="s">
        <v>87</v>
      </c>
      <c r="C253" s="2" t="s">
        <v>785</v>
      </c>
      <c r="D253" s="2" t="s">
        <v>89</v>
      </c>
      <c r="E253" s="2" t="s">
        <v>786</v>
      </c>
      <c r="F253" s="2" t="s">
        <v>1030</v>
      </c>
      <c r="G253" s="2" t="s">
        <v>1031</v>
      </c>
      <c r="H253" s="2" t="s">
        <v>1032</v>
      </c>
      <c r="I253" s="2" t="s">
        <v>1033</v>
      </c>
      <c r="J253" s="2" t="s">
        <v>563</v>
      </c>
      <c r="K253" s="2" t="s">
        <v>140</v>
      </c>
      <c r="L253" s="3">
        <v>33.33</v>
      </c>
      <c r="M253" s="3">
        <v>35</v>
      </c>
      <c r="N253" s="3">
        <v>59.99</v>
      </c>
      <c r="O253" s="2" t="s">
        <v>97</v>
      </c>
      <c r="P253" s="2" t="s">
        <v>141</v>
      </c>
      <c r="Q253" s="2" t="s">
        <v>99</v>
      </c>
      <c r="R253" s="2" t="s">
        <v>100</v>
      </c>
      <c r="S253" s="2" t="s">
        <v>1077</v>
      </c>
      <c r="T253" s="2" t="s">
        <v>231</v>
      </c>
      <c r="U253" s="2" t="s">
        <v>432</v>
      </c>
      <c r="V253" s="2" t="s">
        <v>103</v>
      </c>
      <c r="W253" s="2" t="s">
        <v>636</v>
      </c>
      <c r="X253" s="2" t="s">
        <v>428</v>
      </c>
      <c r="Y253" s="2" t="s">
        <v>485</v>
      </c>
      <c r="Z253" s="4">
        <v>481</v>
      </c>
      <c r="AA253" s="4">
        <f>=ROUNDDOWN(24.05,0)</f>
      </c>
      <c r="AB253" s="5">
        <v>20</v>
      </c>
      <c r="AC253" s="2" t="s">
        <v>179</v>
      </c>
      <c r="AD253" s="4">
        <v>300</v>
      </c>
      <c r="AE253" s="4">
        <v>600</v>
      </c>
      <c r="AF253" s="6">
        <v>63</v>
      </c>
      <c r="AG253" s="6">
        <v>46</v>
      </c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100</v>
      </c>
      <c r="AW253" s="8" t="s">
        <v>100</v>
      </c>
      <c r="AX253" s="4" t="s">
        <v>100</v>
      </c>
      <c r="AY253" s="8" t="s">
        <v>100</v>
      </c>
      <c r="AZ253" s="7" t="s">
        <v>100</v>
      </c>
      <c r="BA253" s="7" t="s">
        <v>100</v>
      </c>
      <c r="BB253" s="7"/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 t="s">
        <v>100</v>
      </c>
      <c r="BJ253" s="4">
        <v>110</v>
      </c>
      <c r="BK253" s="8">
        <v>3952.17</v>
      </c>
      <c r="BL253" s="2" t="s">
        <v>1084</v>
      </c>
      <c r="BM253" s="7"/>
      <c r="BN253" s="7"/>
      <c r="BO253" s="4"/>
      <c r="BP253" s="8"/>
      <c r="BQ253" s="4"/>
      <c r="BR253" s="8"/>
      <c r="BS253" s="7"/>
      <c r="BT253" s="7"/>
      <c r="BU253" s="2" t="s">
        <v>109</v>
      </c>
      <c r="BV253" s="2" t="s">
        <v>97</v>
      </c>
      <c r="BW253" s="2" t="s">
        <v>485</v>
      </c>
      <c r="BX253" s="2" t="s">
        <v>487</v>
      </c>
      <c r="BY253" s="2" t="s">
        <v>112</v>
      </c>
      <c r="BZ253" s="2" t="s">
        <v>100</v>
      </c>
    </row>
    <row r="254">
      <c r="A254" s="2" t="s">
        <v>1085</v>
      </c>
      <c r="B254" s="2" t="s">
        <v>87</v>
      </c>
      <c r="C254" s="2" t="s">
        <v>785</v>
      </c>
      <c r="D254" s="2" t="s">
        <v>89</v>
      </c>
      <c r="E254" s="2" t="s">
        <v>786</v>
      </c>
      <c r="F254" s="2" t="s">
        <v>1086</v>
      </c>
      <c r="G254" s="2" t="s">
        <v>1087</v>
      </c>
      <c r="H254" s="2" t="s">
        <v>1088</v>
      </c>
      <c r="I254" s="2" t="s">
        <v>1089</v>
      </c>
      <c r="J254" s="2" t="s">
        <v>791</v>
      </c>
      <c r="K254" s="2" t="s">
        <v>817</v>
      </c>
      <c r="L254" s="3">
        <v>19.04</v>
      </c>
      <c r="M254" s="3">
        <v>19.99</v>
      </c>
      <c r="N254" s="3">
        <v>39.99</v>
      </c>
      <c r="O254" s="2" t="s">
        <v>97</v>
      </c>
      <c r="P254" s="2" t="s">
        <v>98</v>
      </c>
      <c r="Q254" s="2" t="s">
        <v>99</v>
      </c>
      <c r="R254" s="2" t="s">
        <v>100</v>
      </c>
      <c r="S254" s="2" t="s">
        <v>1090</v>
      </c>
      <c r="T254" s="2" t="s">
        <v>231</v>
      </c>
      <c r="U254" s="2" t="s">
        <v>426</v>
      </c>
      <c r="V254" s="2" t="s">
        <v>1091</v>
      </c>
      <c r="W254" s="2" t="s">
        <v>428</v>
      </c>
      <c r="X254" s="2" t="s">
        <v>636</v>
      </c>
      <c r="Y254" s="2" t="s">
        <v>794</v>
      </c>
      <c r="Z254" s="4">
        <v>1168</v>
      </c>
      <c r="AA254" s="4">
        <f>=ROUNDDOWN(36.5,0)</f>
      </c>
      <c r="AB254" s="5">
        <v>32</v>
      </c>
      <c r="AC254" s="2" t="s">
        <v>100</v>
      </c>
      <c r="AD254" s="4"/>
      <c r="AE254" s="4"/>
      <c r="AF254" s="6">
        <v>63</v>
      </c>
      <c r="AG254" s="6">
        <v>46</v>
      </c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/>
      <c r="AP254" s="4">
        <v>1</v>
      </c>
      <c r="AQ254" s="8">
        <v>21.38</v>
      </c>
      <c r="AR254" s="4"/>
      <c r="AS254" s="8"/>
      <c r="AT254" s="7"/>
      <c r="AU254" s="7"/>
      <c r="AV254" s="4">
        <v>16</v>
      </c>
      <c r="AW254" s="8">
        <v>400.98</v>
      </c>
      <c r="AX254" s="4" t="s">
        <v>100</v>
      </c>
      <c r="AY254" s="8" t="s">
        <v>100</v>
      </c>
      <c r="AZ254" s="7" t="s">
        <v>100</v>
      </c>
      <c r="BA254" s="7" t="s">
        <v>100</v>
      </c>
      <c r="BB254" s="7">
        <v>0.0533</v>
      </c>
      <c r="BC254" s="4">
        <v>37</v>
      </c>
      <c r="BD254" s="8">
        <v>933.66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>
        <v>0.4295</v>
      </c>
      <c r="BJ254" s="4">
        <v>84</v>
      </c>
      <c r="BK254" s="8">
        <v>1896.12</v>
      </c>
      <c r="BL254" s="2" t="s">
        <v>1092</v>
      </c>
      <c r="BM254" s="7">
        <v>0.0119</v>
      </c>
      <c r="BN254" s="7">
        <v>0.0113</v>
      </c>
      <c r="BO254" s="4">
        <v>1</v>
      </c>
      <c r="BP254" s="8">
        <v>21.38</v>
      </c>
      <c r="BQ254" s="4"/>
      <c r="BR254" s="8"/>
      <c r="BS254" s="7"/>
      <c r="BT254" s="7"/>
      <c r="BU254" s="2" t="s">
        <v>109</v>
      </c>
      <c r="BV254" s="2" t="s">
        <v>97</v>
      </c>
      <c r="BW254" s="2" t="s">
        <v>856</v>
      </c>
      <c r="BX254" s="2" t="s">
        <v>1093</v>
      </c>
      <c r="BY254" s="2" t="s">
        <v>112</v>
      </c>
      <c r="BZ254" s="2" t="s">
        <v>100</v>
      </c>
    </row>
    <row r="255">
      <c r="A255" s="2" t="s">
        <v>1094</v>
      </c>
      <c r="B255" s="2" t="s">
        <v>87</v>
      </c>
      <c r="C255" s="2" t="s">
        <v>785</v>
      </c>
      <c r="D255" s="2" t="s">
        <v>89</v>
      </c>
      <c r="E255" s="2" t="s">
        <v>786</v>
      </c>
      <c r="F255" s="2" t="s">
        <v>1086</v>
      </c>
      <c r="G255" s="2" t="s">
        <v>1087</v>
      </c>
      <c r="H255" s="2" t="s">
        <v>1088</v>
      </c>
      <c r="I255" s="2" t="s">
        <v>1089</v>
      </c>
      <c r="J255" s="2" t="s">
        <v>558</v>
      </c>
      <c r="K255" s="2" t="s">
        <v>817</v>
      </c>
      <c r="L255" s="3">
        <v>21.42</v>
      </c>
      <c r="M255" s="3">
        <v>22.49</v>
      </c>
      <c r="N255" s="3">
        <v>44.99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1090</v>
      </c>
      <c r="T255" s="2" t="s">
        <v>231</v>
      </c>
      <c r="U255" s="2" t="s">
        <v>432</v>
      </c>
      <c r="V255" s="2" t="s">
        <v>1091</v>
      </c>
      <c r="W255" s="2" t="s">
        <v>428</v>
      </c>
      <c r="X255" s="2" t="s">
        <v>636</v>
      </c>
      <c r="Y255" s="2" t="s">
        <v>856</v>
      </c>
      <c r="Z255" s="4">
        <v>3841</v>
      </c>
      <c r="AA255" s="4">
        <f>=ROUNDDOWN(37.2912621359223,0)</f>
      </c>
      <c r="AB255" s="5">
        <v>103</v>
      </c>
      <c r="AC255" s="2" t="s">
        <v>100</v>
      </c>
      <c r="AD255" s="4"/>
      <c r="AE255" s="4"/>
      <c r="AF255" s="6">
        <v>63</v>
      </c>
      <c r="AG255" s="6">
        <v>46</v>
      </c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/>
      <c r="AP255" s="4">
        <v>11</v>
      </c>
      <c r="AQ255" s="8">
        <v>269.28</v>
      </c>
      <c r="AR255" s="4"/>
      <c r="AS255" s="8"/>
      <c r="AT255" s="7"/>
      <c r="AU255" s="7"/>
      <c r="AV255" s="4" t="s">
        <v>100</v>
      </c>
      <c r="AW255" s="8" t="s">
        <v>100</v>
      </c>
      <c r="AX255" s="4" t="s">
        <v>100</v>
      </c>
      <c r="AY255" s="8" t="s">
        <v>100</v>
      </c>
      <c r="AZ255" s="7" t="s">
        <v>100</v>
      </c>
      <c r="BA255" s="7" t="s">
        <v>100</v>
      </c>
      <c r="BB255" s="7">
        <v>0.6716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 t="s">
        <v>100</v>
      </c>
      <c r="BJ255" s="4">
        <v>182</v>
      </c>
      <c r="BK255" s="8">
        <v>4467.72</v>
      </c>
      <c r="BL255" s="2" t="s">
        <v>838</v>
      </c>
      <c r="BM255" s="7">
        <v>0.0604</v>
      </c>
      <c r="BN255" s="7">
        <v>0.0603</v>
      </c>
      <c r="BO255" s="4">
        <v>11</v>
      </c>
      <c r="BP255" s="8">
        <v>269.28</v>
      </c>
      <c r="BQ255" s="4"/>
      <c r="BR255" s="8"/>
      <c r="BS255" s="7"/>
      <c r="BT255" s="7"/>
      <c r="BU255" s="2" t="s">
        <v>109</v>
      </c>
      <c r="BV255" s="2" t="s">
        <v>97</v>
      </c>
      <c r="BW255" s="2" t="s">
        <v>856</v>
      </c>
      <c r="BX255" s="2" t="s">
        <v>804</v>
      </c>
      <c r="BY255" s="2" t="s">
        <v>112</v>
      </c>
      <c r="BZ255" s="2" t="s">
        <v>100</v>
      </c>
    </row>
    <row r="256">
      <c r="A256" s="2" t="s">
        <v>1095</v>
      </c>
      <c r="B256" s="2" t="s">
        <v>87</v>
      </c>
      <c r="C256" s="2" t="s">
        <v>785</v>
      </c>
      <c r="D256" s="2" t="s">
        <v>89</v>
      </c>
      <c r="E256" s="2" t="s">
        <v>786</v>
      </c>
      <c r="F256" s="2" t="s">
        <v>1086</v>
      </c>
      <c r="G256" s="2" t="s">
        <v>1087</v>
      </c>
      <c r="H256" s="2" t="s">
        <v>1088</v>
      </c>
      <c r="I256" s="2" t="s">
        <v>1089</v>
      </c>
      <c r="J256" s="2" t="s">
        <v>563</v>
      </c>
      <c r="K256" s="2" t="s">
        <v>817</v>
      </c>
      <c r="L256" s="3">
        <v>26.19</v>
      </c>
      <c r="M256" s="3">
        <v>27.5</v>
      </c>
      <c r="N256" s="3">
        <v>54.99</v>
      </c>
      <c r="O256" s="2" t="s">
        <v>97</v>
      </c>
      <c r="P256" s="2" t="s">
        <v>98</v>
      </c>
      <c r="Q256" s="2" t="s">
        <v>99</v>
      </c>
      <c r="R256" s="2" t="s">
        <v>100</v>
      </c>
      <c r="S256" s="2" t="s">
        <v>1090</v>
      </c>
      <c r="T256" s="2" t="s">
        <v>231</v>
      </c>
      <c r="U256" s="2" t="s">
        <v>432</v>
      </c>
      <c r="V256" s="2" t="s">
        <v>1091</v>
      </c>
      <c r="W256" s="2" t="s">
        <v>428</v>
      </c>
      <c r="X256" s="2" t="s">
        <v>636</v>
      </c>
      <c r="Y256" s="2" t="s">
        <v>856</v>
      </c>
      <c r="Z256" s="4">
        <v>1536</v>
      </c>
      <c r="AA256" s="4">
        <f>=ROUNDDOWN(32,0)</f>
      </c>
      <c r="AB256" s="5">
        <v>48</v>
      </c>
      <c r="AC256" s="2" t="s">
        <v>1096</v>
      </c>
      <c r="AD256" s="4">
        <v>240</v>
      </c>
      <c r="AE256" s="4">
        <v>240</v>
      </c>
      <c r="AF256" s="6">
        <v>63</v>
      </c>
      <c r="AG256" s="6">
        <v>46</v>
      </c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/>
      <c r="AP256" s="4">
        <v>4</v>
      </c>
      <c r="AQ256" s="8">
        <v>110.32</v>
      </c>
      <c r="AR256" s="4"/>
      <c r="AS256" s="8"/>
      <c r="AT256" s="7"/>
      <c r="AU256" s="7"/>
      <c r="AV256" s="4" t="s">
        <v>100</v>
      </c>
      <c r="AW256" s="8" t="s">
        <v>100</v>
      </c>
      <c r="AX256" s="4" t="s">
        <v>100</v>
      </c>
      <c r="AY256" s="8" t="s">
        <v>100</v>
      </c>
      <c r="AZ256" s="7" t="s">
        <v>100</v>
      </c>
      <c r="BA256" s="7" t="s">
        <v>100</v>
      </c>
      <c r="BB256" s="7">
        <v>0.2751</v>
      </c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 t="s">
        <v>100</v>
      </c>
      <c r="BJ256" s="4">
        <v>127</v>
      </c>
      <c r="BK256" s="8">
        <v>3523.74</v>
      </c>
      <c r="BL256" s="2" t="s">
        <v>1097</v>
      </c>
      <c r="BM256" s="7">
        <v>0.0315</v>
      </c>
      <c r="BN256" s="7">
        <v>0.0313</v>
      </c>
      <c r="BO256" s="4">
        <v>4</v>
      </c>
      <c r="BP256" s="8">
        <v>110.32</v>
      </c>
      <c r="BQ256" s="4"/>
      <c r="BR256" s="8"/>
      <c r="BS256" s="7"/>
      <c r="BT256" s="7"/>
      <c r="BU256" s="2" t="s">
        <v>109</v>
      </c>
      <c r="BV256" s="2" t="s">
        <v>97</v>
      </c>
      <c r="BW256" s="2" t="s">
        <v>856</v>
      </c>
      <c r="BX256" s="2" t="s">
        <v>1098</v>
      </c>
      <c r="BY256" s="2" t="s">
        <v>112</v>
      </c>
      <c r="BZ256" s="2" t="s">
        <v>100</v>
      </c>
    </row>
    <row r="257">
      <c r="A257" s="2" t="s">
        <v>1099</v>
      </c>
      <c r="B257" s="2" t="s">
        <v>87</v>
      </c>
      <c r="C257" s="2" t="s">
        <v>785</v>
      </c>
      <c r="D257" s="2" t="s">
        <v>89</v>
      </c>
      <c r="E257" s="2" t="s">
        <v>786</v>
      </c>
      <c r="F257" s="2" t="s">
        <v>1086</v>
      </c>
      <c r="G257" s="2" t="s">
        <v>1087</v>
      </c>
      <c r="H257" s="2" t="s">
        <v>1088</v>
      </c>
      <c r="I257" s="2" t="s">
        <v>1089</v>
      </c>
      <c r="J257" s="2" t="s">
        <v>791</v>
      </c>
      <c r="K257" s="2" t="s">
        <v>623</v>
      </c>
      <c r="L257" s="3">
        <v>19.04</v>
      </c>
      <c r="M257" s="3">
        <v>19.99</v>
      </c>
      <c r="N257" s="3">
        <v>39.99</v>
      </c>
      <c r="O257" s="2" t="s">
        <v>97</v>
      </c>
      <c r="P257" s="2" t="s">
        <v>126</v>
      </c>
      <c r="Q257" s="2" t="s">
        <v>99</v>
      </c>
      <c r="R257" s="2" t="s">
        <v>100</v>
      </c>
      <c r="S257" s="2" t="s">
        <v>1100</v>
      </c>
      <c r="T257" s="2" t="s">
        <v>231</v>
      </c>
      <c r="U257" s="2" t="s">
        <v>426</v>
      </c>
      <c r="V257" s="2" t="s">
        <v>1091</v>
      </c>
      <c r="W257" s="2" t="s">
        <v>428</v>
      </c>
      <c r="X257" s="2" t="s">
        <v>636</v>
      </c>
      <c r="Y257" s="2" t="s">
        <v>794</v>
      </c>
      <c r="Z257" s="4">
        <v>580</v>
      </c>
      <c r="AA257" s="4">
        <f>=ROUNDDOWN(52.7272727272727,0)</f>
      </c>
      <c r="AB257" s="5">
        <v>11</v>
      </c>
      <c r="AC257" s="2" t="s">
        <v>100</v>
      </c>
      <c r="AD257" s="4"/>
      <c r="AE257" s="4"/>
      <c r="AF257" s="6">
        <v>63</v>
      </c>
      <c r="AG257" s="6">
        <v>46</v>
      </c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>
        <v>8</v>
      </c>
      <c r="AW257" s="8">
        <v>205.14</v>
      </c>
      <c r="AX257" s="4" t="s">
        <v>100</v>
      </c>
      <c r="AY257" s="8" t="s">
        <v>100</v>
      </c>
      <c r="AZ257" s="7" t="s">
        <v>100</v>
      </c>
      <c r="BA257" s="7" t="s">
        <v>100</v>
      </c>
      <c r="BB257" s="7"/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>
        <v>0.2197</v>
      </c>
      <c r="BJ257" s="4">
        <v>22</v>
      </c>
      <c r="BK257" s="8">
        <v>453.31</v>
      </c>
      <c r="BL257" s="2" t="s">
        <v>1101</v>
      </c>
      <c r="BM257" s="7"/>
      <c r="BN257" s="7"/>
      <c r="BO257" s="4"/>
      <c r="BP257" s="8"/>
      <c r="BQ257" s="4"/>
      <c r="BR257" s="8"/>
      <c r="BS257" s="7"/>
      <c r="BT257" s="7"/>
      <c r="BU257" s="2" t="s">
        <v>109</v>
      </c>
      <c r="BV257" s="2" t="s">
        <v>97</v>
      </c>
      <c r="BW257" s="2" t="s">
        <v>856</v>
      </c>
      <c r="BX257" s="2" t="s">
        <v>1102</v>
      </c>
      <c r="BY257" s="2" t="s">
        <v>112</v>
      </c>
      <c r="BZ257" s="2" t="s">
        <v>100</v>
      </c>
    </row>
    <row r="258">
      <c r="A258" s="2" t="s">
        <v>1103</v>
      </c>
      <c r="B258" s="2" t="s">
        <v>87</v>
      </c>
      <c r="C258" s="2" t="s">
        <v>785</v>
      </c>
      <c r="D258" s="2" t="s">
        <v>89</v>
      </c>
      <c r="E258" s="2" t="s">
        <v>786</v>
      </c>
      <c r="F258" s="2" t="s">
        <v>1086</v>
      </c>
      <c r="G258" s="2" t="s">
        <v>1087</v>
      </c>
      <c r="H258" s="2" t="s">
        <v>1088</v>
      </c>
      <c r="I258" s="2" t="s">
        <v>1089</v>
      </c>
      <c r="J258" s="2" t="s">
        <v>558</v>
      </c>
      <c r="K258" s="2" t="s">
        <v>623</v>
      </c>
      <c r="L258" s="3">
        <v>21.42</v>
      </c>
      <c r="M258" s="3">
        <v>22.49</v>
      </c>
      <c r="N258" s="3">
        <v>44.99</v>
      </c>
      <c r="O258" s="2" t="s">
        <v>97</v>
      </c>
      <c r="P258" s="2" t="s">
        <v>126</v>
      </c>
      <c r="Q258" s="2" t="s">
        <v>99</v>
      </c>
      <c r="R258" s="2" t="s">
        <v>100</v>
      </c>
      <c r="S258" s="2" t="s">
        <v>1100</v>
      </c>
      <c r="T258" s="2" t="s">
        <v>231</v>
      </c>
      <c r="U258" s="2" t="s">
        <v>432</v>
      </c>
      <c r="V258" s="2" t="s">
        <v>1091</v>
      </c>
      <c r="W258" s="2" t="s">
        <v>428</v>
      </c>
      <c r="X258" s="2" t="s">
        <v>636</v>
      </c>
      <c r="Y258" s="2" t="s">
        <v>794</v>
      </c>
      <c r="Z258" s="4">
        <v>2300</v>
      </c>
      <c r="AA258" s="4">
        <f>=ROUNDDOWN(82.1428571428571,0)</f>
      </c>
      <c r="AB258" s="5">
        <v>28</v>
      </c>
      <c r="AC258" s="2" t="s">
        <v>100</v>
      </c>
      <c r="AD258" s="4"/>
      <c r="AE258" s="4"/>
      <c r="AF258" s="6">
        <v>63</v>
      </c>
      <c r="AG258" s="6">
        <v>46</v>
      </c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/>
      <c r="AP258" s="4">
        <v>5</v>
      </c>
      <c r="AQ258" s="8">
        <v>122.4</v>
      </c>
      <c r="AR258" s="4"/>
      <c r="AS258" s="8"/>
      <c r="AT258" s="7"/>
      <c r="AU258" s="7"/>
      <c r="AV258" s="4" t="s">
        <v>100</v>
      </c>
      <c r="AW258" s="8" t="s">
        <v>100</v>
      </c>
      <c r="AX258" s="4" t="s">
        <v>100</v>
      </c>
      <c r="AY258" s="8" t="s">
        <v>100</v>
      </c>
      <c r="AZ258" s="7" t="s">
        <v>100</v>
      </c>
      <c r="BA258" s="7" t="s">
        <v>100</v>
      </c>
      <c r="BB258" s="7">
        <v>0.5967</v>
      </c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 t="s">
        <v>100</v>
      </c>
      <c r="BJ258" s="4">
        <v>67</v>
      </c>
      <c r="BK258" s="8">
        <v>1649.81</v>
      </c>
      <c r="BL258" s="2" t="s">
        <v>1104</v>
      </c>
      <c r="BM258" s="7">
        <v>0.0746</v>
      </c>
      <c r="BN258" s="7">
        <v>0.0742</v>
      </c>
      <c r="BO258" s="4">
        <v>5</v>
      </c>
      <c r="BP258" s="8">
        <v>122.4</v>
      </c>
      <c r="BQ258" s="4"/>
      <c r="BR258" s="8"/>
      <c r="BS258" s="7"/>
      <c r="BT258" s="7"/>
      <c r="BU258" s="2" t="s">
        <v>109</v>
      </c>
      <c r="BV258" s="2" t="s">
        <v>97</v>
      </c>
      <c r="BW258" s="2" t="s">
        <v>856</v>
      </c>
      <c r="BX258" s="2" t="s">
        <v>805</v>
      </c>
      <c r="BY258" s="2" t="s">
        <v>112</v>
      </c>
      <c r="BZ258" s="2" t="s">
        <v>100</v>
      </c>
    </row>
    <row r="259">
      <c r="A259" s="2" t="s">
        <v>1105</v>
      </c>
      <c r="B259" s="2" t="s">
        <v>87</v>
      </c>
      <c r="C259" s="2" t="s">
        <v>785</v>
      </c>
      <c r="D259" s="2" t="s">
        <v>89</v>
      </c>
      <c r="E259" s="2" t="s">
        <v>786</v>
      </c>
      <c r="F259" s="2" t="s">
        <v>1086</v>
      </c>
      <c r="G259" s="2" t="s">
        <v>1087</v>
      </c>
      <c r="H259" s="2" t="s">
        <v>1088</v>
      </c>
      <c r="I259" s="2" t="s">
        <v>1089</v>
      </c>
      <c r="J259" s="2" t="s">
        <v>563</v>
      </c>
      <c r="K259" s="2" t="s">
        <v>623</v>
      </c>
      <c r="L259" s="3">
        <v>26.19</v>
      </c>
      <c r="M259" s="3">
        <v>27.5</v>
      </c>
      <c r="N259" s="3">
        <v>54.99</v>
      </c>
      <c r="O259" s="2" t="s">
        <v>97</v>
      </c>
      <c r="P259" s="2" t="s">
        <v>126</v>
      </c>
      <c r="Q259" s="2" t="s">
        <v>99</v>
      </c>
      <c r="R259" s="2" t="s">
        <v>100</v>
      </c>
      <c r="S259" s="2" t="s">
        <v>1100</v>
      </c>
      <c r="T259" s="2" t="s">
        <v>231</v>
      </c>
      <c r="U259" s="2" t="s">
        <v>432</v>
      </c>
      <c r="V259" s="2" t="s">
        <v>1091</v>
      </c>
      <c r="W259" s="2" t="s">
        <v>428</v>
      </c>
      <c r="X259" s="2" t="s">
        <v>636</v>
      </c>
      <c r="Y259" s="2" t="s">
        <v>856</v>
      </c>
      <c r="Z259" s="4">
        <v>1761</v>
      </c>
      <c r="AA259" s="4">
        <f>=ROUNDDOWN(67.7307692307692,0)</f>
      </c>
      <c r="AB259" s="5">
        <v>26</v>
      </c>
      <c r="AC259" s="2" t="s">
        <v>100</v>
      </c>
      <c r="AD259" s="4"/>
      <c r="AE259" s="4"/>
      <c r="AF259" s="6">
        <v>63</v>
      </c>
      <c r="AG259" s="6">
        <v>46</v>
      </c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>
        <v>3</v>
      </c>
      <c r="AQ259" s="8">
        <v>82.74</v>
      </c>
      <c r="AR259" s="4"/>
      <c r="AS259" s="8"/>
      <c r="AT259" s="7"/>
      <c r="AU259" s="7"/>
      <c r="AV259" s="4" t="s">
        <v>100</v>
      </c>
      <c r="AW259" s="8" t="s">
        <v>100</v>
      </c>
      <c r="AX259" s="4" t="s">
        <v>100</v>
      </c>
      <c r="AY259" s="8" t="s">
        <v>100</v>
      </c>
      <c r="AZ259" s="7" t="s">
        <v>100</v>
      </c>
      <c r="BA259" s="7" t="s">
        <v>100</v>
      </c>
      <c r="BB259" s="7">
        <v>0.4033</v>
      </c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 t="s">
        <v>100</v>
      </c>
      <c r="BJ259" s="4">
        <v>70</v>
      </c>
      <c r="BK259" s="8">
        <v>1973.91</v>
      </c>
      <c r="BL259" s="2" t="s">
        <v>1104</v>
      </c>
      <c r="BM259" s="7">
        <v>0.0429</v>
      </c>
      <c r="BN259" s="7">
        <v>0.0419</v>
      </c>
      <c r="BO259" s="4">
        <v>3</v>
      </c>
      <c r="BP259" s="8">
        <v>82.74</v>
      </c>
      <c r="BQ259" s="4"/>
      <c r="BR259" s="8"/>
      <c r="BS259" s="7"/>
      <c r="BT259" s="7"/>
      <c r="BU259" s="2" t="s">
        <v>109</v>
      </c>
      <c r="BV259" s="2" t="s">
        <v>97</v>
      </c>
      <c r="BW259" s="2" t="s">
        <v>856</v>
      </c>
      <c r="BX259" s="2" t="s">
        <v>804</v>
      </c>
      <c r="BY259" s="2" t="s">
        <v>112</v>
      </c>
      <c r="BZ259" s="2" t="s">
        <v>100</v>
      </c>
    </row>
    <row r="260">
      <c r="A260" s="2" t="s">
        <v>1106</v>
      </c>
      <c r="B260" s="2" t="s">
        <v>87</v>
      </c>
      <c r="C260" s="2" t="s">
        <v>785</v>
      </c>
      <c r="D260" s="2" t="s">
        <v>89</v>
      </c>
      <c r="E260" s="2" t="s">
        <v>786</v>
      </c>
      <c r="F260" s="2" t="s">
        <v>1086</v>
      </c>
      <c r="G260" s="2" t="s">
        <v>1087</v>
      </c>
      <c r="H260" s="2" t="s">
        <v>1088</v>
      </c>
      <c r="I260" s="2" t="s">
        <v>1089</v>
      </c>
      <c r="J260" s="2" t="s">
        <v>791</v>
      </c>
      <c r="K260" s="2" t="s">
        <v>276</v>
      </c>
      <c r="L260" s="3">
        <v>19.04</v>
      </c>
      <c r="M260" s="3">
        <v>19.99</v>
      </c>
      <c r="N260" s="3">
        <v>39.99</v>
      </c>
      <c r="O260" s="2" t="s">
        <v>97</v>
      </c>
      <c r="P260" s="2" t="s">
        <v>126</v>
      </c>
      <c r="Q260" s="2" t="s">
        <v>99</v>
      </c>
      <c r="R260" s="2" t="s">
        <v>100</v>
      </c>
      <c r="S260" s="2" t="s">
        <v>1107</v>
      </c>
      <c r="T260" s="2" t="s">
        <v>231</v>
      </c>
      <c r="U260" s="2" t="s">
        <v>426</v>
      </c>
      <c r="V260" s="2" t="s">
        <v>1091</v>
      </c>
      <c r="W260" s="2" t="s">
        <v>428</v>
      </c>
      <c r="X260" s="2" t="s">
        <v>636</v>
      </c>
      <c r="Y260" s="2" t="s">
        <v>794</v>
      </c>
      <c r="Z260" s="4">
        <v>351</v>
      </c>
      <c r="AA260" s="4">
        <f>=ROUNDDOWN(23.4,0)</f>
      </c>
      <c r="AB260" s="5">
        <v>15</v>
      </c>
      <c r="AC260" s="2" t="s">
        <v>1108</v>
      </c>
      <c r="AD260" s="4">
        <v>960</v>
      </c>
      <c r="AE260" s="4">
        <v>960</v>
      </c>
      <c r="AF260" s="6">
        <v>63</v>
      </c>
      <c r="AG260" s="6">
        <v>46</v>
      </c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/>
      <c r="AP260" s="4">
        <v>1</v>
      </c>
      <c r="AQ260" s="8">
        <v>21.38</v>
      </c>
      <c r="AR260" s="4"/>
      <c r="AS260" s="8"/>
      <c r="AT260" s="7"/>
      <c r="AU260" s="7"/>
      <c r="AV260" s="4">
        <v>7</v>
      </c>
      <c r="AW260" s="8">
        <v>183.76</v>
      </c>
      <c r="AX260" s="4" t="s">
        <v>100</v>
      </c>
      <c r="AY260" s="8" t="s">
        <v>100</v>
      </c>
      <c r="AZ260" s="7" t="s">
        <v>100</v>
      </c>
      <c r="BA260" s="7" t="s">
        <v>100</v>
      </c>
      <c r="BB260" s="7">
        <v>0.1163</v>
      </c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>
        <v>0.1968</v>
      </c>
      <c r="BJ260" s="4">
        <v>25</v>
      </c>
      <c r="BK260" s="8">
        <v>472.35</v>
      </c>
      <c r="BL260" s="2" t="s">
        <v>1109</v>
      </c>
      <c r="BM260" s="7">
        <v>0.04</v>
      </c>
      <c r="BN260" s="7">
        <v>0.0453</v>
      </c>
      <c r="BO260" s="4">
        <v>1</v>
      </c>
      <c r="BP260" s="8">
        <v>21.38</v>
      </c>
      <c r="BQ260" s="4"/>
      <c r="BR260" s="8"/>
      <c r="BS260" s="7"/>
      <c r="BT260" s="7"/>
      <c r="BU260" s="2" t="s">
        <v>109</v>
      </c>
      <c r="BV260" s="2" t="s">
        <v>97</v>
      </c>
      <c r="BW260" s="2" t="s">
        <v>856</v>
      </c>
      <c r="BX260" s="2" t="s">
        <v>1110</v>
      </c>
      <c r="BY260" s="2" t="s">
        <v>112</v>
      </c>
      <c r="BZ260" s="2" t="s">
        <v>100</v>
      </c>
    </row>
    <row r="261">
      <c r="A261" s="2" t="s">
        <v>1111</v>
      </c>
      <c r="B261" s="2" t="s">
        <v>87</v>
      </c>
      <c r="C261" s="2" t="s">
        <v>785</v>
      </c>
      <c r="D261" s="2" t="s">
        <v>89</v>
      </c>
      <c r="E261" s="2" t="s">
        <v>786</v>
      </c>
      <c r="F261" s="2" t="s">
        <v>1086</v>
      </c>
      <c r="G261" s="2" t="s">
        <v>1087</v>
      </c>
      <c r="H261" s="2" t="s">
        <v>1088</v>
      </c>
      <c r="I261" s="2" t="s">
        <v>1089</v>
      </c>
      <c r="J261" s="2" t="s">
        <v>558</v>
      </c>
      <c r="K261" s="2" t="s">
        <v>276</v>
      </c>
      <c r="L261" s="3">
        <v>21.42</v>
      </c>
      <c r="M261" s="3">
        <v>22.49</v>
      </c>
      <c r="N261" s="3">
        <v>44.99</v>
      </c>
      <c r="O261" s="2" t="s">
        <v>97</v>
      </c>
      <c r="P261" s="2" t="s">
        <v>126</v>
      </c>
      <c r="Q261" s="2" t="s">
        <v>99</v>
      </c>
      <c r="R261" s="2" t="s">
        <v>100</v>
      </c>
      <c r="S261" s="2" t="s">
        <v>1107</v>
      </c>
      <c r="T261" s="2" t="s">
        <v>231</v>
      </c>
      <c r="U261" s="2" t="s">
        <v>432</v>
      </c>
      <c r="V261" s="2" t="s">
        <v>1091</v>
      </c>
      <c r="W261" s="2" t="s">
        <v>428</v>
      </c>
      <c r="X261" s="2" t="s">
        <v>636</v>
      </c>
      <c r="Y261" s="2" t="s">
        <v>794</v>
      </c>
      <c r="Z261" s="4">
        <v>1404</v>
      </c>
      <c r="AA261" s="4">
        <f>=ROUNDDOWN(43.875,0)</f>
      </c>
      <c r="AB261" s="5">
        <v>32</v>
      </c>
      <c r="AC261" s="2" t="s">
        <v>1108</v>
      </c>
      <c r="AD261" s="4">
        <v>1350</v>
      </c>
      <c r="AE261" s="4">
        <v>1350</v>
      </c>
      <c r="AF261" s="6">
        <v>63</v>
      </c>
      <c r="AG261" s="6">
        <v>46</v>
      </c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/>
      <c r="AP261" s="4">
        <v>1</v>
      </c>
      <c r="AQ261" s="8">
        <v>24.48</v>
      </c>
      <c r="AR261" s="4"/>
      <c r="AS261" s="8"/>
      <c r="AT261" s="7"/>
      <c r="AU261" s="7"/>
      <c r="AV261" s="4" t="s">
        <v>100</v>
      </c>
      <c r="AW261" s="8" t="s">
        <v>100</v>
      </c>
      <c r="AX261" s="4" t="s">
        <v>100</v>
      </c>
      <c r="AY261" s="8" t="s">
        <v>100</v>
      </c>
      <c r="AZ261" s="7" t="s">
        <v>100</v>
      </c>
      <c r="BA261" s="7" t="s">
        <v>100</v>
      </c>
      <c r="BB261" s="7">
        <v>0.1332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 t="s">
        <v>100</v>
      </c>
      <c r="BJ261" s="4">
        <v>70</v>
      </c>
      <c r="BK261" s="8">
        <v>1650.51</v>
      </c>
      <c r="BL261" s="2" t="s">
        <v>1112</v>
      </c>
      <c r="BM261" s="7">
        <v>0.0143</v>
      </c>
      <c r="BN261" s="7">
        <v>0.0148</v>
      </c>
      <c r="BO261" s="4">
        <v>1</v>
      </c>
      <c r="BP261" s="8">
        <v>24.48</v>
      </c>
      <c r="BQ261" s="4"/>
      <c r="BR261" s="8"/>
      <c r="BS261" s="7"/>
      <c r="BT261" s="7"/>
      <c r="BU261" s="2" t="s">
        <v>109</v>
      </c>
      <c r="BV261" s="2" t="s">
        <v>97</v>
      </c>
      <c r="BW261" s="2" t="s">
        <v>856</v>
      </c>
      <c r="BX261" s="2" t="s">
        <v>804</v>
      </c>
      <c r="BY261" s="2" t="s">
        <v>112</v>
      </c>
      <c r="BZ261" s="2" t="s">
        <v>100</v>
      </c>
    </row>
    <row r="262">
      <c r="A262" s="2" t="s">
        <v>1113</v>
      </c>
      <c r="B262" s="2" t="s">
        <v>87</v>
      </c>
      <c r="C262" s="2" t="s">
        <v>785</v>
      </c>
      <c r="D262" s="2" t="s">
        <v>89</v>
      </c>
      <c r="E262" s="2" t="s">
        <v>786</v>
      </c>
      <c r="F262" s="2" t="s">
        <v>1086</v>
      </c>
      <c r="G262" s="2" t="s">
        <v>1087</v>
      </c>
      <c r="H262" s="2" t="s">
        <v>1088</v>
      </c>
      <c r="I262" s="2" t="s">
        <v>1089</v>
      </c>
      <c r="J262" s="2" t="s">
        <v>563</v>
      </c>
      <c r="K262" s="2" t="s">
        <v>276</v>
      </c>
      <c r="L262" s="3">
        <v>26.19</v>
      </c>
      <c r="M262" s="3">
        <v>27.5</v>
      </c>
      <c r="N262" s="3">
        <v>54.99</v>
      </c>
      <c r="O262" s="2" t="s">
        <v>97</v>
      </c>
      <c r="P262" s="2" t="s">
        <v>126</v>
      </c>
      <c r="Q262" s="2" t="s">
        <v>99</v>
      </c>
      <c r="R262" s="2" t="s">
        <v>100</v>
      </c>
      <c r="S262" s="2" t="s">
        <v>1107</v>
      </c>
      <c r="T262" s="2" t="s">
        <v>231</v>
      </c>
      <c r="U262" s="2" t="s">
        <v>432</v>
      </c>
      <c r="V262" s="2" t="s">
        <v>1091</v>
      </c>
      <c r="W262" s="2" t="s">
        <v>428</v>
      </c>
      <c r="X262" s="2" t="s">
        <v>636</v>
      </c>
      <c r="Y262" s="2" t="s">
        <v>856</v>
      </c>
      <c r="Z262" s="4">
        <v>1775</v>
      </c>
      <c r="AA262" s="4">
        <f>=ROUNDDOWN(65.7407407407407,0)</f>
      </c>
      <c r="AB262" s="5">
        <v>27</v>
      </c>
      <c r="AC262" s="2" t="s">
        <v>1108</v>
      </c>
      <c r="AD262" s="4">
        <v>210</v>
      </c>
      <c r="AE262" s="4">
        <v>210</v>
      </c>
      <c r="AF262" s="6">
        <v>63</v>
      </c>
      <c r="AG262" s="6">
        <v>46</v>
      </c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/>
      <c r="AP262" s="4">
        <v>5</v>
      </c>
      <c r="AQ262" s="8">
        <v>137.9</v>
      </c>
      <c r="AR262" s="4"/>
      <c r="AS262" s="8"/>
      <c r="AT262" s="7"/>
      <c r="AU262" s="7"/>
      <c r="AV262" s="4" t="s">
        <v>100</v>
      </c>
      <c r="AW262" s="8" t="s">
        <v>100</v>
      </c>
      <c r="AX262" s="4" t="s">
        <v>100</v>
      </c>
      <c r="AY262" s="8" t="s">
        <v>100</v>
      </c>
      <c r="AZ262" s="7" t="s">
        <v>100</v>
      </c>
      <c r="BA262" s="7" t="s">
        <v>100</v>
      </c>
      <c r="BB262" s="7">
        <v>0.7504</v>
      </c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 t="s">
        <v>100</v>
      </c>
      <c r="BJ262" s="4">
        <v>56</v>
      </c>
      <c r="BK262" s="8">
        <v>1549.72</v>
      </c>
      <c r="BL262" s="2" t="s">
        <v>1114</v>
      </c>
      <c r="BM262" s="7">
        <v>0.0893</v>
      </c>
      <c r="BN262" s="7">
        <v>0.089</v>
      </c>
      <c r="BO262" s="4">
        <v>5</v>
      </c>
      <c r="BP262" s="8">
        <v>137.9</v>
      </c>
      <c r="BQ262" s="4"/>
      <c r="BR262" s="8"/>
      <c r="BS262" s="7"/>
      <c r="BT262" s="7"/>
      <c r="BU262" s="2" t="s">
        <v>109</v>
      </c>
      <c r="BV262" s="2" t="s">
        <v>97</v>
      </c>
      <c r="BW262" s="2" t="s">
        <v>856</v>
      </c>
      <c r="BX262" s="2" t="s">
        <v>1115</v>
      </c>
      <c r="BY262" s="2" t="s">
        <v>112</v>
      </c>
      <c r="BZ262" s="2" t="s">
        <v>100</v>
      </c>
    </row>
    <row r="263">
      <c r="A263" s="2" t="s">
        <v>1116</v>
      </c>
      <c r="B263" s="2" t="s">
        <v>87</v>
      </c>
      <c r="C263" s="2" t="s">
        <v>785</v>
      </c>
      <c r="D263" s="2" t="s">
        <v>89</v>
      </c>
      <c r="E263" s="2" t="s">
        <v>786</v>
      </c>
      <c r="F263" s="2" t="s">
        <v>1086</v>
      </c>
      <c r="G263" s="2" t="s">
        <v>1087</v>
      </c>
      <c r="H263" s="2" t="s">
        <v>1088</v>
      </c>
      <c r="I263" s="2" t="s">
        <v>1089</v>
      </c>
      <c r="J263" s="2" t="s">
        <v>791</v>
      </c>
      <c r="K263" s="2" t="s">
        <v>96</v>
      </c>
      <c r="L263" s="3">
        <v>19.04</v>
      </c>
      <c r="M263" s="3">
        <v>19.99</v>
      </c>
      <c r="N263" s="3">
        <v>39.99</v>
      </c>
      <c r="O263" s="2" t="s">
        <v>97</v>
      </c>
      <c r="P263" s="2" t="s">
        <v>126</v>
      </c>
      <c r="Q263" s="2" t="s">
        <v>99</v>
      </c>
      <c r="R263" s="2" t="s">
        <v>100</v>
      </c>
      <c r="S263" s="2" t="s">
        <v>1117</v>
      </c>
      <c r="T263" s="2" t="s">
        <v>231</v>
      </c>
      <c r="U263" s="2" t="s">
        <v>426</v>
      </c>
      <c r="V263" s="2" t="s">
        <v>1091</v>
      </c>
      <c r="W263" s="2" t="s">
        <v>428</v>
      </c>
      <c r="X263" s="2" t="s">
        <v>636</v>
      </c>
      <c r="Y263" s="2" t="s">
        <v>794</v>
      </c>
      <c r="Z263" s="4">
        <v>621</v>
      </c>
      <c r="AA263" s="4">
        <f>=ROUNDDOWN(23.8846153846154,0)</f>
      </c>
      <c r="AB263" s="5">
        <v>26</v>
      </c>
      <c r="AC263" s="2" t="s">
        <v>107</v>
      </c>
      <c r="AD263" s="4">
        <v>180</v>
      </c>
      <c r="AE263" s="4">
        <v>750</v>
      </c>
      <c r="AF263" s="6">
        <v>63</v>
      </c>
      <c r="AG263" s="6">
        <v>46</v>
      </c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/>
      <c r="AP263" s="4">
        <v>3</v>
      </c>
      <c r="AQ263" s="8">
        <v>64.14</v>
      </c>
      <c r="AR263" s="4"/>
      <c r="AS263" s="8"/>
      <c r="AT263" s="7"/>
      <c r="AU263" s="7"/>
      <c r="AV263" s="4">
        <v>6</v>
      </c>
      <c r="AW263" s="8">
        <v>143.78</v>
      </c>
      <c r="AX263" s="4" t="s">
        <v>100</v>
      </c>
      <c r="AY263" s="8" t="s">
        <v>100</v>
      </c>
      <c r="AZ263" s="7" t="s">
        <v>100</v>
      </c>
      <c r="BA263" s="7" t="s">
        <v>100</v>
      </c>
      <c r="BB263" s="7">
        <v>0.4461</v>
      </c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>
        <v>0.154</v>
      </c>
      <c r="BJ263" s="4">
        <v>37</v>
      </c>
      <c r="BK263" s="8">
        <v>742.88</v>
      </c>
      <c r="BL263" s="2" t="s">
        <v>1118</v>
      </c>
      <c r="BM263" s="7">
        <v>0.0811</v>
      </c>
      <c r="BN263" s="7">
        <v>0.0863</v>
      </c>
      <c r="BO263" s="4">
        <v>3</v>
      </c>
      <c r="BP263" s="8">
        <v>64.14</v>
      </c>
      <c r="BQ263" s="4"/>
      <c r="BR263" s="8"/>
      <c r="BS263" s="7"/>
      <c r="BT263" s="7"/>
      <c r="BU263" s="2" t="s">
        <v>109</v>
      </c>
      <c r="BV263" s="2" t="s">
        <v>97</v>
      </c>
      <c r="BW263" s="2" t="s">
        <v>856</v>
      </c>
      <c r="BX263" s="2" t="s">
        <v>1119</v>
      </c>
      <c r="BY263" s="2" t="s">
        <v>112</v>
      </c>
      <c r="BZ263" s="2" t="s">
        <v>100</v>
      </c>
    </row>
    <row r="264">
      <c r="A264" s="2" t="s">
        <v>1120</v>
      </c>
      <c r="B264" s="2" t="s">
        <v>87</v>
      </c>
      <c r="C264" s="2" t="s">
        <v>785</v>
      </c>
      <c r="D264" s="2" t="s">
        <v>89</v>
      </c>
      <c r="E264" s="2" t="s">
        <v>786</v>
      </c>
      <c r="F264" s="2" t="s">
        <v>1086</v>
      </c>
      <c r="G264" s="2" t="s">
        <v>1087</v>
      </c>
      <c r="H264" s="2" t="s">
        <v>1088</v>
      </c>
      <c r="I264" s="2" t="s">
        <v>1089</v>
      </c>
      <c r="J264" s="2" t="s">
        <v>558</v>
      </c>
      <c r="K264" s="2" t="s">
        <v>96</v>
      </c>
      <c r="L264" s="3">
        <v>21.42</v>
      </c>
      <c r="M264" s="3">
        <v>22.49</v>
      </c>
      <c r="N264" s="3">
        <v>44.99</v>
      </c>
      <c r="O264" s="2" t="s">
        <v>97</v>
      </c>
      <c r="P264" s="2" t="s">
        <v>126</v>
      </c>
      <c r="Q264" s="2" t="s">
        <v>99</v>
      </c>
      <c r="R264" s="2" t="s">
        <v>100</v>
      </c>
      <c r="S264" s="2" t="s">
        <v>1117</v>
      </c>
      <c r="T264" s="2" t="s">
        <v>231</v>
      </c>
      <c r="U264" s="2" t="s">
        <v>432</v>
      </c>
      <c r="V264" s="2" t="s">
        <v>1091</v>
      </c>
      <c r="W264" s="2" t="s">
        <v>428</v>
      </c>
      <c r="X264" s="2" t="s">
        <v>636</v>
      </c>
      <c r="Y264" s="2" t="s">
        <v>794</v>
      </c>
      <c r="Z264" s="4">
        <v>2345</v>
      </c>
      <c r="AA264" s="4">
        <f>=ROUNDDOWN(44.2452830188679,0)</f>
      </c>
      <c r="AB264" s="5">
        <v>53</v>
      </c>
      <c r="AC264" s="2" t="s">
        <v>100</v>
      </c>
      <c r="AD264" s="4"/>
      <c r="AE264" s="4"/>
      <c r="AF264" s="6">
        <v>63</v>
      </c>
      <c r="AG264" s="6">
        <v>46</v>
      </c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/>
      <c r="AP264" s="4">
        <v>1</v>
      </c>
      <c r="AQ264" s="8">
        <v>24.48</v>
      </c>
      <c r="AR264" s="4"/>
      <c r="AS264" s="8"/>
      <c r="AT264" s="7"/>
      <c r="AU264" s="7"/>
      <c r="AV264" s="4" t="s">
        <v>100</v>
      </c>
      <c r="AW264" s="8" t="s">
        <v>100</v>
      </c>
      <c r="AX264" s="4" t="s">
        <v>100</v>
      </c>
      <c r="AY264" s="8" t="s">
        <v>100</v>
      </c>
      <c r="AZ264" s="7" t="s">
        <v>100</v>
      </c>
      <c r="BA264" s="7" t="s">
        <v>100</v>
      </c>
      <c r="BB264" s="7">
        <v>0.1703</v>
      </c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 t="s">
        <v>100</v>
      </c>
      <c r="BJ264" s="4">
        <v>102</v>
      </c>
      <c r="BK264" s="8">
        <v>2434.15</v>
      </c>
      <c r="BL264" s="2" t="s">
        <v>1121</v>
      </c>
      <c r="BM264" s="7">
        <v>0.0098</v>
      </c>
      <c r="BN264" s="7">
        <v>0.0101</v>
      </c>
      <c r="BO264" s="4">
        <v>1</v>
      </c>
      <c r="BP264" s="8">
        <v>24.48</v>
      </c>
      <c r="BQ264" s="4"/>
      <c r="BR264" s="8"/>
      <c r="BS264" s="7"/>
      <c r="BT264" s="7"/>
      <c r="BU264" s="2" t="s">
        <v>109</v>
      </c>
      <c r="BV264" s="2" t="s">
        <v>97</v>
      </c>
      <c r="BW264" s="2" t="s">
        <v>856</v>
      </c>
      <c r="BX264" s="2" t="s">
        <v>1047</v>
      </c>
      <c r="BY264" s="2" t="s">
        <v>112</v>
      </c>
      <c r="BZ264" s="2" t="s">
        <v>100</v>
      </c>
    </row>
    <row r="265">
      <c r="A265" s="2" t="s">
        <v>1122</v>
      </c>
      <c r="B265" s="2" t="s">
        <v>87</v>
      </c>
      <c r="C265" s="2" t="s">
        <v>785</v>
      </c>
      <c r="D265" s="2" t="s">
        <v>89</v>
      </c>
      <c r="E265" s="2" t="s">
        <v>786</v>
      </c>
      <c r="F265" s="2" t="s">
        <v>1086</v>
      </c>
      <c r="G265" s="2" t="s">
        <v>1087</v>
      </c>
      <c r="H265" s="2" t="s">
        <v>1088</v>
      </c>
      <c r="I265" s="2" t="s">
        <v>1089</v>
      </c>
      <c r="J265" s="2" t="s">
        <v>563</v>
      </c>
      <c r="K265" s="2" t="s">
        <v>96</v>
      </c>
      <c r="L265" s="3">
        <v>26.19</v>
      </c>
      <c r="M265" s="3">
        <v>27.5</v>
      </c>
      <c r="N265" s="3">
        <v>54.99</v>
      </c>
      <c r="O265" s="2" t="s">
        <v>97</v>
      </c>
      <c r="P265" s="2" t="s">
        <v>126</v>
      </c>
      <c r="Q265" s="2" t="s">
        <v>99</v>
      </c>
      <c r="R265" s="2" t="s">
        <v>100</v>
      </c>
      <c r="S265" s="2" t="s">
        <v>1117</v>
      </c>
      <c r="T265" s="2" t="s">
        <v>231</v>
      </c>
      <c r="U265" s="2" t="s">
        <v>432</v>
      </c>
      <c r="V265" s="2" t="s">
        <v>1091</v>
      </c>
      <c r="W265" s="2" t="s">
        <v>428</v>
      </c>
      <c r="X265" s="2" t="s">
        <v>636</v>
      </c>
      <c r="Y265" s="2" t="s">
        <v>856</v>
      </c>
      <c r="Z265" s="4">
        <v>923</v>
      </c>
      <c r="AA265" s="4">
        <f>=ROUNDDOWN(36.92,0)</f>
      </c>
      <c r="AB265" s="5">
        <v>25</v>
      </c>
      <c r="AC265" s="2" t="s">
        <v>107</v>
      </c>
      <c r="AD265" s="4">
        <v>300</v>
      </c>
      <c r="AE265" s="4">
        <v>750</v>
      </c>
      <c r="AF265" s="6">
        <v>63</v>
      </c>
      <c r="AG265" s="6">
        <v>46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/>
      <c r="AP265" s="4">
        <v>2</v>
      </c>
      <c r="AQ265" s="8">
        <v>55.16</v>
      </c>
      <c r="AR265" s="4"/>
      <c r="AS265" s="8"/>
      <c r="AT265" s="7"/>
      <c r="AU265" s="7"/>
      <c r="AV265" s="4" t="s">
        <v>100</v>
      </c>
      <c r="AW265" s="8" t="s">
        <v>100</v>
      </c>
      <c r="AX265" s="4" t="s">
        <v>100</v>
      </c>
      <c r="AY265" s="8" t="s">
        <v>100</v>
      </c>
      <c r="AZ265" s="7" t="s">
        <v>100</v>
      </c>
      <c r="BA265" s="7" t="s">
        <v>100</v>
      </c>
      <c r="BB265" s="7">
        <v>0.3836</v>
      </c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 t="s">
        <v>100</v>
      </c>
      <c r="BJ265" s="4">
        <v>73</v>
      </c>
      <c r="BK265" s="8">
        <v>2026.28</v>
      </c>
      <c r="BL265" s="2" t="s">
        <v>1123</v>
      </c>
      <c r="BM265" s="7">
        <v>0.0274</v>
      </c>
      <c r="BN265" s="7">
        <v>0.0272</v>
      </c>
      <c r="BO265" s="4">
        <v>2</v>
      </c>
      <c r="BP265" s="8">
        <v>55.16</v>
      </c>
      <c r="BQ265" s="4"/>
      <c r="BR265" s="8"/>
      <c r="BS265" s="7"/>
      <c r="BT265" s="7"/>
      <c r="BU265" s="2" t="s">
        <v>109</v>
      </c>
      <c r="BV265" s="2" t="s">
        <v>97</v>
      </c>
      <c r="BW265" s="2" t="s">
        <v>856</v>
      </c>
      <c r="BX265" s="2" t="s">
        <v>808</v>
      </c>
      <c r="BY265" s="2" t="s">
        <v>112</v>
      </c>
      <c r="BZ265" s="2" t="s">
        <v>100</v>
      </c>
    </row>
    <row r="266">
      <c r="A266" s="2" t="s">
        <v>1124</v>
      </c>
      <c r="B266" s="2" t="s">
        <v>87</v>
      </c>
      <c r="C266" s="2" t="s">
        <v>785</v>
      </c>
      <c r="D266" s="2" t="s">
        <v>89</v>
      </c>
      <c r="E266" s="2" t="s">
        <v>786</v>
      </c>
      <c r="F266" s="2" t="s">
        <v>1125</v>
      </c>
      <c r="G266" s="2" t="s">
        <v>1126</v>
      </c>
      <c r="H266" s="2" t="s">
        <v>1127</v>
      </c>
      <c r="I266" s="2" t="s">
        <v>1128</v>
      </c>
      <c r="J266" s="2" t="s">
        <v>791</v>
      </c>
      <c r="K266" s="2" t="s">
        <v>588</v>
      </c>
      <c r="L266" s="3">
        <v>22.85</v>
      </c>
      <c r="M266" s="3">
        <v>23.99</v>
      </c>
      <c r="N266" s="3">
        <v>43.99</v>
      </c>
      <c r="O266" s="2" t="s">
        <v>97</v>
      </c>
      <c r="P266" s="2" t="s">
        <v>576</v>
      </c>
      <c r="Q266" s="2" t="s">
        <v>99</v>
      </c>
      <c r="R266" s="2" t="s">
        <v>100</v>
      </c>
      <c r="S266" s="2" t="s">
        <v>1129</v>
      </c>
      <c r="T266" s="2" t="s">
        <v>231</v>
      </c>
      <c r="U266" s="2" t="s">
        <v>426</v>
      </c>
      <c r="V266" s="2" t="s">
        <v>385</v>
      </c>
      <c r="W266" s="2" t="s">
        <v>1130</v>
      </c>
      <c r="X266" s="2" t="s">
        <v>428</v>
      </c>
      <c r="Y266" s="2" t="s">
        <v>1131</v>
      </c>
      <c r="Z266" s="4">
        <v>3</v>
      </c>
      <c r="AA266" s="4">
        <f>=ROUNDDOWN(0.0365853658536585,0)</f>
      </c>
      <c r="AB266" s="5">
        <v>82</v>
      </c>
      <c r="AC266" s="2" t="s">
        <v>162</v>
      </c>
      <c r="AD266" s="4">
        <v>6750</v>
      </c>
      <c r="AE266" s="4">
        <v>8340</v>
      </c>
      <c r="AF266" s="6">
        <v>63</v>
      </c>
      <c r="AG266" s="6">
        <v>46</v>
      </c>
      <c r="AH266" s="7">
        <v>0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>
        <v>11</v>
      </c>
      <c r="AW266" s="8">
        <v>359.57</v>
      </c>
      <c r="AX266" s="4" t="s">
        <v>100</v>
      </c>
      <c r="AY266" s="8" t="s">
        <v>100</v>
      </c>
      <c r="AZ266" s="7" t="s">
        <v>100</v>
      </c>
      <c r="BA266" s="7" t="s">
        <v>100</v>
      </c>
      <c r="BB266" s="7"/>
      <c r="BC266" s="4">
        <v>27</v>
      </c>
      <c r="BD266" s="8">
        <v>858.54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>
        <v>0.4188</v>
      </c>
      <c r="BJ266" s="4"/>
      <c r="BK266" s="8"/>
      <c r="BL266" s="2" t="s">
        <v>100</v>
      </c>
      <c r="BM266" s="7"/>
      <c r="BN266" s="7"/>
      <c r="BO266" s="4"/>
      <c r="BP266" s="8"/>
      <c r="BQ266" s="4"/>
      <c r="BR266" s="8"/>
      <c r="BS266" s="7"/>
      <c r="BT266" s="7"/>
      <c r="BU266" s="2" t="s">
        <v>109</v>
      </c>
      <c r="BV266" s="2" t="s">
        <v>97</v>
      </c>
      <c r="BW266" s="2" t="s">
        <v>1132</v>
      </c>
      <c r="BX266" s="2" t="s">
        <v>1133</v>
      </c>
      <c r="BY266" s="2" t="s">
        <v>112</v>
      </c>
      <c r="BZ266" s="2" t="s">
        <v>100</v>
      </c>
    </row>
    <row r="267">
      <c r="A267" s="2" t="s">
        <v>1134</v>
      </c>
      <c r="B267" s="2" t="s">
        <v>87</v>
      </c>
      <c r="C267" s="2" t="s">
        <v>785</v>
      </c>
      <c r="D267" s="2" t="s">
        <v>89</v>
      </c>
      <c r="E267" s="2" t="s">
        <v>786</v>
      </c>
      <c r="F267" s="2" t="s">
        <v>1125</v>
      </c>
      <c r="G267" s="2" t="s">
        <v>1126</v>
      </c>
      <c r="H267" s="2" t="s">
        <v>1127</v>
      </c>
      <c r="I267" s="2" t="s">
        <v>1128</v>
      </c>
      <c r="J267" s="2" t="s">
        <v>558</v>
      </c>
      <c r="K267" s="2" t="s">
        <v>588</v>
      </c>
      <c r="L267" s="3">
        <v>27.61</v>
      </c>
      <c r="M267" s="3">
        <v>28.99</v>
      </c>
      <c r="N267" s="3">
        <v>49.99</v>
      </c>
      <c r="O267" s="2" t="s">
        <v>97</v>
      </c>
      <c r="P267" s="2" t="s">
        <v>576</v>
      </c>
      <c r="Q267" s="2" t="s">
        <v>99</v>
      </c>
      <c r="R267" s="2" t="s">
        <v>100</v>
      </c>
      <c r="S267" s="2" t="s">
        <v>1129</v>
      </c>
      <c r="T267" s="2" t="s">
        <v>231</v>
      </c>
      <c r="U267" s="2" t="s">
        <v>432</v>
      </c>
      <c r="V267" s="2" t="s">
        <v>385</v>
      </c>
      <c r="W267" s="2" t="s">
        <v>1130</v>
      </c>
      <c r="X267" s="2" t="s">
        <v>428</v>
      </c>
      <c r="Y267" s="2" t="s">
        <v>1131</v>
      </c>
      <c r="Z267" s="4">
        <v>1259</v>
      </c>
      <c r="AA267" s="4">
        <f>=ROUNDDOWN(19.671875,0)</f>
      </c>
      <c r="AB267" s="5">
        <v>64</v>
      </c>
      <c r="AC267" s="2" t="s">
        <v>162</v>
      </c>
      <c r="AD267" s="4">
        <v>2160</v>
      </c>
      <c r="AE267" s="4">
        <v>4050</v>
      </c>
      <c r="AF267" s="6">
        <v>63</v>
      </c>
      <c r="AG267" s="6">
        <v>46</v>
      </c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/>
      <c r="AP267" s="4">
        <v>7</v>
      </c>
      <c r="AQ267" s="8">
        <v>219.17</v>
      </c>
      <c r="AR267" s="4"/>
      <c r="AS267" s="8"/>
      <c r="AT267" s="7"/>
      <c r="AU267" s="7"/>
      <c r="AV267" s="4" t="s">
        <v>100</v>
      </c>
      <c r="AW267" s="8" t="s">
        <v>100</v>
      </c>
      <c r="AX267" s="4" t="s">
        <v>100</v>
      </c>
      <c r="AY267" s="8" t="s">
        <v>100</v>
      </c>
      <c r="AZ267" s="7" t="s">
        <v>100</v>
      </c>
      <c r="BA267" s="7" t="s">
        <v>100</v>
      </c>
      <c r="BB267" s="7">
        <v>0.6095</v>
      </c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 t="s">
        <v>100</v>
      </c>
      <c r="BJ267" s="4">
        <v>212</v>
      </c>
      <c r="BK267" s="8">
        <v>6275.02</v>
      </c>
      <c r="BL267" s="2" t="s">
        <v>1135</v>
      </c>
      <c r="BM267" s="7">
        <v>0.033</v>
      </c>
      <c r="BN267" s="7">
        <v>0.0349</v>
      </c>
      <c r="BO267" s="4">
        <v>7</v>
      </c>
      <c r="BP267" s="8">
        <v>219.17</v>
      </c>
      <c r="BQ267" s="4"/>
      <c r="BR267" s="8"/>
      <c r="BS267" s="7"/>
      <c r="BT267" s="7"/>
      <c r="BU267" s="2" t="s">
        <v>109</v>
      </c>
      <c r="BV267" s="2" t="s">
        <v>97</v>
      </c>
      <c r="BW267" s="2" t="s">
        <v>1132</v>
      </c>
      <c r="BX267" s="2" t="s">
        <v>1136</v>
      </c>
      <c r="BY267" s="2" t="s">
        <v>112</v>
      </c>
      <c r="BZ267" s="2" t="s">
        <v>100</v>
      </c>
    </row>
    <row r="268">
      <c r="A268" s="2" t="s">
        <v>1137</v>
      </c>
      <c r="B268" s="2" t="s">
        <v>87</v>
      </c>
      <c r="C268" s="2" t="s">
        <v>785</v>
      </c>
      <c r="D268" s="2" t="s">
        <v>89</v>
      </c>
      <c r="E268" s="2" t="s">
        <v>786</v>
      </c>
      <c r="F268" s="2" t="s">
        <v>1125</v>
      </c>
      <c r="G268" s="2" t="s">
        <v>1126</v>
      </c>
      <c r="H268" s="2" t="s">
        <v>1127</v>
      </c>
      <c r="I268" s="2" t="s">
        <v>1128</v>
      </c>
      <c r="J268" s="2" t="s">
        <v>563</v>
      </c>
      <c r="K268" s="2" t="s">
        <v>588</v>
      </c>
      <c r="L268" s="3">
        <v>30.95</v>
      </c>
      <c r="M268" s="3">
        <v>32.5</v>
      </c>
      <c r="N268" s="3">
        <v>54.99</v>
      </c>
      <c r="O268" s="2" t="s">
        <v>97</v>
      </c>
      <c r="P268" s="2" t="s">
        <v>576</v>
      </c>
      <c r="Q268" s="2" t="s">
        <v>99</v>
      </c>
      <c r="R268" s="2" t="s">
        <v>100</v>
      </c>
      <c r="S268" s="2" t="s">
        <v>1129</v>
      </c>
      <c r="T268" s="2" t="s">
        <v>231</v>
      </c>
      <c r="U268" s="2" t="s">
        <v>432</v>
      </c>
      <c r="V268" s="2" t="s">
        <v>385</v>
      </c>
      <c r="W268" s="2" t="s">
        <v>1130</v>
      </c>
      <c r="X268" s="2" t="s">
        <v>428</v>
      </c>
      <c r="Y268" s="2" t="s">
        <v>1138</v>
      </c>
      <c r="Z268" s="4">
        <v>1359</v>
      </c>
      <c r="AA268" s="4">
        <f>=ROUNDDOWN(46.8620689655172,0)</f>
      </c>
      <c r="AB268" s="5">
        <v>29</v>
      </c>
      <c r="AC268" s="2" t="s">
        <v>100</v>
      </c>
      <c r="AD268" s="4"/>
      <c r="AE268" s="4"/>
      <c r="AF268" s="6">
        <v>63</v>
      </c>
      <c r="AG268" s="6">
        <v>46</v>
      </c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/>
      <c r="AP268" s="4">
        <v>4</v>
      </c>
      <c r="AQ268" s="8">
        <v>140.4</v>
      </c>
      <c r="AR268" s="4"/>
      <c r="AS268" s="8"/>
      <c r="AT268" s="7"/>
      <c r="AU268" s="7"/>
      <c r="AV268" s="4" t="s">
        <v>100</v>
      </c>
      <c r="AW268" s="8" t="s">
        <v>100</v>
      </c>
      <c r="AX268" s="4" t="s">
        <v>100</v>
      </c>
      <c r="AY268" s="8" t="s">
        <v>100</v>
      </c>
      <c r="AZ268" s="7" t="s">
        <v>100</v>
      </c>
      <c r="BA268" s="7" t="s">
        <v>100</v>
      </c>
      <c r="BB268" s="7">
        <v>0.3905</v>
      </c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 t="s">
        <v>100</v>
      </c>
      <c r="BJ268" s="4">
        <v>107</v>
      </c>
      <c r="BK268" s="8">
        <v>3490.99</v>
      </c>
      <c r="BL268" s="2" t="s">
        <v>1139</v>
      </c>
      <c r="BM268" s="7">
        <v>0.0374</v>
      </c>
      <c r="BN268" s="7">
        <v>0.0402</v>
      </c>
      <c r="BO268" s="4">
        <v>4</v>
      </c>
      <c r="BP268" s="8">
        <v>140.4</v>
      </c>
      <c r="BQ268" s="4"/>
      <c r="BR268" s="8"/>
      <c r="BS268" s="7"/>
      <c r="BT268" s="7"/>
      <c r="BU268" s="2" t="s">
        <v>109</v>
      </c>
      <c r="BV268" s="2" t="s">
        <v>97</v>
      </c>
      <c r="BW268" s="2" t="s">
        <v>1133</v>
      </c>
      <c r="BX268" s="2" t="s">
        <v>1140</v>
      </c>
      <c r="BY268" s="2" t="s">
        <v>112</v>
      </c>
      <c r="BZ268" s="2" t="s">
        <v>100</v>
      </c>
    </row>
    <row r="269">
      <c r="A269" s="2" t="s">
        <v>1141</v>
      </c>
      <c r="B269" s="2" t="s">
        <v>87</v>
      </c>
      <c r="C269" s="2" t="s">
        <v>785</v>
      </c>
      <c r="D269" s="2" t="s">
        <v>89</v>
      </c>
      <c r="E269" s="2" t="s">
        <v>786</v>
      </c>
      <c r="F269" s="2" t="s">
        <v>1125</v>
      </c>
      <c r="G269" s="2" t="s">
        <v>1126</v>
      </c>
      <c r="H269" s="2" t="s">
        <v>1127</v>
      </c>
      <c r="I269" s="2" t="s">
        <v>1128</v>
      </c>
      <c r="J269" s="2" t="s">
        <v>791</v>
      </c>
      <c r="K269" s="2" t="s">
        <v>575</v>
      </c>
      <c r="L269" s="3">
        <v>22.85</v>
      </c>
      <c r="M269" s="3">
        <v>23.99</v>
      </c>
      <c r="N269" s="3">
        <v>43.99</v>
      </c>
      <c r="O269" s="2" t="s">
        <v>97</v>
      </c>
      <c r="P269" s="2" t="s">
        <v>126</v>
      </c>
      <c r="Q269" s="2" t="s">
        <v>99</v>
      </c>
      <c r="R269" s="2" t="s">
        <v>100</v>
      </c>
      <c r="S269" s="2" t="s">
        <v>1142</v>
      </c>
      <c r="T269" s="2" t="s">
        <v>231</v>
      </c>
      <c r="U269" s="2" t="s">
        <v>426</v>
      </c>
      <c r="V269" s="2" t="s">
        <v>385</v>
      </c>
      <c r="W269" s="2" t="s">
        <v>1130</v>
      </c>
      <c r="X269" s="2" t="s">
        <v>428</v>
      </c>
      <c r="Y269" s="2" t="s">
        <v>1143</v>
      </c>
      <c r="Z269" s="4">
        <v>350</v>
      </c>
      <c r="AA269" s="4">
        <f>=ROUNDDOWN(19.4444444444444,0)</f>
      </c>
      <c r="AB269" s="5">
        <v>18</v>
      </c>
      <c r="AC269" s="2" t="s">
        <v>948</v>
      </c>
      <c r="AD269" s="4">
        <v>120</v>
      </c>
      <c r="AE269" s="4">
        <v>360</v>
      </c>
      <c r="AF269" s="6">
        <v>63</v>
      </c>
      <c r="AG269" s="6">
        <v>46</v>
      </c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/>
      <c r="AP269" s="4">
        <v>2</v>
      </c>
      <c r="AQ269" s="8">
        <v>51.82</v>
      </c>
      <c r="AR269" s="4"/>
      <c r="AS269" s="8"/>
      <c r="AT269" s="7"/>
      <c r="AU269" s="7"/>
      <c r="AV269" s="4">
        <v>7</v>
      </c>
      <c r="AW269" s="8">
        <v>208.37</v>
      </c>
      <c r="AX269" s="4" t="s">
        <v>100</v>
      </c>
      <c r="AY269" s="8" t="s">
        <v>100</v>
      </c>
      <c r="AZ269" s="7" t="s">
        <v>100</v>
      </c>
      <c r="BA269" s="7" t="s">
        <v>100</v>
      </c>
      <c r="BB269" s="7">
        <v>0.2487</v>
      </c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>
        <v>0.2427</v>
      </c>
      <c r="BJ269" s="4">
        <v>39</v>
      </c>
      <c r="BK269" s="8">
        <v>980.09</v>
      </c>
      <c r="BL269" s="2" t="s">
        <v>1144</v>
      </c>
      <c r="BM269" s="7">
        <v>0.0513</v>
      </c>
      <c r="BN269" s="7">
        <v>0.0529</v>
      </c>
      <c r="BO269" s="4">
        <v>2</v>
      </c>
      <c r="BP269" s="8">
        <v>51.82</v>
      </c>
      <c r="BQ269" s="4"/>
      <c r="BR269" s="8"/>
      <c r="BS269" s="7"/>
      <c r="BT269" s="7"/>
      <c r="BU269" s="2" t="s">
        <v>109</v>
      </c>
      <c r="BV269" s="2" t="s">
        <v>97</v>
      </c>
      <c r="BW269" s="2" t="s">
        <v>1133</v>
      </c>
      <c r="BX269" s="2" t="s">
        <v>1145</v>
      </c>
      <c r="BY269" s="2" t="s">
        <v>112</v>
      </c>
      <c r="BZ269" s="2" t="s">
        <v>100</v>
      </c>
    </row>
    <row r="270">
      <c r="A270" s="2" t="s">
        <v>1146</v>
      </c>
      <c r="B270" s="2" t="s">
        <v>87</v>
      </c>
      <c r="C270" s="2" t="s">
        <v>785</v>
      </c>
      <c r="D270" s="2" t="s">
        <v>89</v>
      </c>
      <c r="E270" s="2" t="s">
        <v>786</v>
      </c>
      <c r="F270" s="2" t="s">
        <v>1125</v>
      </c>
      <c r="G270" s="2" t="s">
        <v>1126</v>
      </c>
      <c r="H270" s="2" t="s">
        <v>1127</v>
      </c>
      <c r="I270" s="2" t="s">
        <v>1128</v>
      </c>
      <c r="J270" s="2" t="s">
        <v>558</v>
      </c>
      <c r="K270" s="2" t="s">
        <v>575</v>
      </c>
      <c r="L270" s="3">
        <v>27.61</v>
      </c>
      <c r="M270" s="3">
        <v>28.99</v>
      </c>
      <c r="N270" s="3">
        <v>49.99</v>
      </c>
      <c r="O270" s="2" t="s">
        <v>97</v>
      </c>
      <c r="P270" s="2" t="s">
        <v>126</v>
      </c>
      <c r="Q270" s="2" t="s">
        <v>99</v>
      </c>
      <c r="R270" s="2" t="s">
        <v>100</v>
      </c>
      <c r="S270" s="2" t="s">
        <v>1142</v>
      </c>
      <c r="T270" s="2" t="s">
        <v>231</v>
      </c>
      <c r="U270" s="2" t="s">
        <v>432</v>
      </c>
      <c r="V270" s="2" t="s">
        <v>385</v>
      </c>
      <c r="W270" s="2" t="s">
        <v>1130</v>
      </c>
      <c r="X270" s="2" t="s">
        <v>428</v>
      </c>
      <c r="Y270" s="2" t="s">
        <v>1143</v>
      </c>
      <c r="Z270" s="4">
        <v>1367</v>
      </c>
      <c r="AA270" s="4">
        <f>=ROUNDDOWN(45.5666666666667,0)</f>
      </c>
      <c r="AB270" s="5">
        <v>30</v>
      </c>
      <c r="AC270" s="2" t="s">
        <v>666</v>
      </c>
      <c r="AD270" s="4">
        <v>300</v>
      </c>
      <c r="AE270" s="4">
        <v>690</v>
      </c>
      <c r="AF270" s="6">
        <v>63</v>
      </c>
      <c r="AG270" s="6">
        <v>46</v>
      </c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/>
      <c r="AP270" s="4">
        <v>5</v>
      </c>
      <c r="AQ270" s="8">
        <v>156.55</v>
      </c>
      <c r="AR270" s="4"/>
      <c r="AS270" s="8"/>
      <c r="AT270" s="7"/>
      <c r="AU270" s="7"/>
      <c r="AV270" s="4" t="s">
        <v>100</v>
      </c>
      <c r="AW270" s="8" t="s">
        <v>100</v>
      </c>
      <c r="AX270" s="4" t="s">
        <v>100</v>
      </c>
      <c r="AY270" s="8" t="s">
        <v>100</v>
      </c>
      <c r="AZ270" s="7" t="s">
        <v>100</v>
      </c>
      <c r="BA270" s="7" t="s">
        <v>100</v>
      </c>
      <c r="BB270" s="7">
        <v>0.7513</v>
      </c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 t="s">
        <v>100</v>
      </c>
      <c r="BJ270" s="4">
        <v>109</v>
      </c>
      <c r="BK270" s="8">
        <v>3188.61</v>
      </c>
      <c r="BL270" s="2" t="s">
        <v>1147</v>
      </c>
      <c r="BM270" s="7">
        <v>0.0459</v>
      </c>
      <c r="BN270" s="7">
        <v>0.0491</v>
      </c>
      <c r="BO270" s="4">
        <v>5</v>
      </c>
      <c r="BP270" s="8">
        <v>156.55</v>
      </c>
      <c r="BQ270" s="4"/>
      <c r="BR270" s="8"/>
      <c r="BS270" s="7"/>
      <c r="BT270" s="7"/>
      <c r="BU270" s="2" t="s">
        <v>109</v>
      </c>
      <c r="BV270" s="2" t="s">
        <v>97</v>
      </c>
      <c r="BW270" s="2" t="s">
        <v>1133</v>
      </c>
      <c r="BX270" s="2" t="s">
        <v>1148</v>
      </c>
      <c r="BY270" s="2" t="s">
        <v>112</v>
      </c>
      <c r="BZ270" s="2" t="s">
        <v>100</v>
      </c>
    </row>
    <row r="271">
      <c r="A271" s="2" t="s">
        <v>1149</v>
      </c>
      <c r="B271" s="2" t="s">
        <v>87</v>
      </c>
      <c r="C271" s="2" t="s">
        <v>785</v>
      </c>
      <c r="D271" s="2" t="s">
        <v>89</v>
      </c>
      <c r="E271" s="2" t="s">
        <v>786</v>
      </c>
      <c r="F271" s="2" t="s">
        <v>1125</v>
      </c>
      <c r="G271" s="2" t="s">
        <v>1126</v>
      </c>
      <c r="H271" s="2" t="s">
        <v>1127</v>
      </c>
      <c r="I271" s="2" t="s">
        <v>1128</v>
      </c>
      <c r="J271" s="2" t="s">
        <v>563</v>
      </c>
      <c r="K271" s="2" t="s">
        <v>575</v>
      </c>
      <c r="L271" s="3">
        <v>30.95</v>
      </c>
      <c r="M271" s="3">
        <v>32.5</v>
      </c>
      <c r="N271" s="3">
        <v>54.99</v>
      </c>
      <c r="O271" s="2" t="s">
        <v>97</v>
      </c>
      <c r="P271" s="2" t="s">
        <v>126</v>
      </c>
      <c r="Q271" s="2" t="s">
        <v>99</v>
      </c>
      <c r="R271" s="2" t="s">
        <v>100</v>
      </c>
      <c r="S271" s="2" t="s">
        <v>1142</v>
      </c>
      <c r="T271" s="2" t="s">
        <v>231</v>
      </c>
      <c r="U271" s="2" t="s">
        <v>432</v>
      </c>
      <c r="V271" s="2" t="s">
        <v>385</v>
      </c>
      <c r="W271" s="2" t="s">
        <v>1130</v>
      </c>
      <c r="X271" s="2" t="s">
        <v>428</v>
      </c>
      <c r="Y271" s="2" t="s">
        <v>1136</v>
      </c>
      <c r="Z271" s="4">
        <v>1115</v>
      </c>
      <c r="AA271" s="4">
        <f>=ROUNDDOWN(50.6818181818182,0)</f>
      </c>
      <c r="AB271" s="5">
        <v>22</v>
      </c>
      <c r="AC271" s="2" t="s">
        <v>666</v>
      </c>
      <c r="AD271" s="4">
        <v>120</v>
      </c>
      <c r="AE271" s="4">
        <v>450</v>
      </c>
      <c r="AF271" s="6">
        <v>63</v>
      </c>
      <c r="AG271" s="6">
        <v>46</v>
      </c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100</v>
      </c>
      <c r="AW271" s="8" t="s">
        <v>100</v>
      </c>
      <c r="AX271" s="4" t="s">
        <v>100</v>
      </c>
      <c r="AY271" s="8" t="s">
        <v>100</v>
      </c>
      <c r="AZ271" s="7" t="s">
        <v>100</v>
      </c>
      <c r="BA271" s="7" t="s">
        <v>100</v>
      </c>
      <c r="BB271" s="7"/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 t="s">
        <v>100</v>
      </c>
      <c r="BJ271" s="4">
        <v>67</v>
      </c>
      <c r="BK271" s="8">
        <v>2127.16</v>
      </c>
      <c r="BL271" s="2" t="s">
        <v>1150</v>
      </c>
      <c r="BM271" s="7"/>
      <c r="BN271" s="7"/>
      <c r="BO271" s="4"/>
      <c r="BP271" s="8"/>
      <c r="BQ271" s="4"/>
      <c r="BR271" s="8"/>
      <c r="BS271" s="7"/>
      <c r="BT271" s="7"/>
      <c r="BU271" s="2" t="s">
        <v>109</v>
      </c>
      <c r="BV271" s="2" t="s">
        <v>97</v>
      </c>
      <c r="BW271" s="2" t="s">
        <v>1133</v>
      </c>
      <c r="BX271" s="2" t="s">
        <v>1148</v>
      </c>
      <c r="BY271" s="2" t="s">
        <v>112</v>
      </c>
      <c r="BZ271" s="2" t="s">
        <v>100</v>
      </c>
    </row>
    <row r="272">
      <c r="A272" s="2" t="s">
        <v>1151</v>
      </c>
      <c r="B272" s="2" t="s">
        <v>87</v>
      </c>
      <c r="C272" s="2" t="s">
        <v>785</v>
      </c>
      <c r="D272" s="2" t="s">
        <v>89</v>
      </c>
      <c r="E272" s="2" t="s">
        <v>786</v>
      </c>
      <c r="F272" s="2" t="s">
        <v>1125</v>
      </c>
      <c r="G272" s="2" t="s">
        <v>1126</v>
      </c>
      <c r="H272" s="2" t="s">
        <v>1127</v>
      </c>
      <c r="I272" s="2" t="s">
        <v>1128</v>
      </c>
      <c r="J272" s="2" t="s">
        <v>791</v>
      </c>
      <c r="K272" s="2" t="s">
        <v>764</v>
      </c>
      <c r="L272" s="3">
        <v>22.85</v>
      </c>
      <c r="M272" s="3">
        <v>23.99</v>
      </c>
      <c r="N272" s="3">
        <v>43.99</v>
      </c>
      <c r="O272" s="2" t="s">
        <v>97</v>
      </c>
      <c r="P272" s="2" t="s">
        <v>576</v>
      </c>
      <c r="Q272" s="2" t="s">
        <v>99</v>
      </c>
      <c r="R272" s="2" t="s">
        <v>100</v>
      </c>
      <c r="S272" s="2" t="s">
        <v>1152</v>
      </c>
      <c r="T272" s="2" t="s">
        <v>231</v>
      </c>
      <c r="U272" s="2" t="s">
        <v>426</v>
      </c>
      <c r="V272" s="2" t="s">
        <v>385</v>
      </c>
      <c r="W272" s="2" t="s">
        <v>1130</v>
      </c>
      <c r="X272" s="2" t="s">
        <v>428</v>
      </c>
      <c r="Y272" s="2" t="s">
        <v>1143</v>
      </c>
      <c r="Z272" s="4"/>
      <c r="AA272" s="4">
        <f>=ROUNDDOWN({0},0)</f>
      </c>
      <c r="AB272" s="5">
        <v>34</v>
      </c>
      <c r="AC272" s="2" t="s">
        <v>162</v>
      </c>
      <c r="AD272" s="4">
        <v>5400</v>
      </c>
      <c r="AE272" s="4">
        <v>6660</v>
      </c>
      <c r="AF272" s="6">
        <v>63</v>
      </c>
      <c r="AG272" s="6">
        <v>46</v>
      </c>
      <c r="AH272" s="7">
        <v>0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>
        <v>4</v>
      </c>
      <c r="AW272" s="8">
        <v>136.61</v>
      </c>
      <c r="AX272" s="4" t="s">
        <v>100</v>
      </c>
      <c r="AY272" s="8" t="s">
        <v>100</v>
      </c>
      <c r="AZ272" s="7" t="s">
        <v>100</v>
      </c>
      <c r="BA272" s="7" t="s">
        <v>100</v>
      </c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0.1591</v>
      </c>
      <c r="BJ272" s="4">
        <v>13</v>
      </c>
      <c r="BK272" s="8">
        <v>346.8</v>
      </c>
      <c r="BL272" s="2" t="s">
        <v>957</v>
      </c>
      <c r="BM272" s="7"/>
      <c r="BN272" s="7"/>
      <c r="BO272" s="4"/>
      <c r="BP272" s="8"/>
      <c r="BQ272" s="4"/>
      <c r="BR272" s="8"/>
      <c r="BS272" s="7"/>
      <c r="BT272" s="7"/>
      <c r="BU272" s="2" t="s">
        <v>109</v>
      </c>
      <c r="BV272" s="2" t="s">
        <v>97</v>
      </c>
      <c r="BW272" s="2" t="s">
        <v>1136</v>
      </c>
      <c r="BX272" s="2" t="s">
        <v>1153</v>
      </c>
      <c r="BY272" s="2" t="s">
        <v>112</v>
      </c>
      <c r="BZ272" s="2" t="s">
        <v>100</v>
      </c>
    </row>
    <row r="273">
      <c r="A273" s="2" t="s">
        <v>1154</v>
      </c>
      <c r="B273" s="2" t="s">
        <v>87</v>
      </c>
      <c r="C273" s="2" t="s">
        <v>785</v>
      </c>
      <c r="D273" s="2" t="s">
        <v>89</v>
      </c>
      <c r="E273" s="2" t="s">
        <v>786</v>
      </c>
      <c r="F273" s="2" t="s">
        <v>1125</v>
      </c>
      <c r="G273" s="2" t="s">
        <v>1126</v>
      </c>
      <c r="H273" s="2" t="s">
        <v>1127</v>
      </c>
      <c r="I273" s="2" t="s">
        <v>1128</v>
      </c>
      <c r="J273" s="2" t="s">
        <v>558</v>
      </c>
      <c r="K273" s="2" t="s">
        <v>764</v>
      </c>
      <c r="L273" s="3">
        <v>27.61</v>
      </c>
      <c r="M273" s="3">
        <v>28.99</v>
      </c>
      <c r="N273" s="3">
        <v>49.99</v>
      </c>
      <c r="O273" s="2" t="s">
        <v>97</v>
      </c>
      <c r="P273" s="2" t="s">
        <v>576</v>
      </c>
      <c r="Q273" s="2" t="s">
        <v>99</v>
      </c>
      <c r="R273" s="2" t="s">
        <v>100</v>
      </c>
      <c r="S273" s="2" t="s">
        <v>1152</v>
      </c>
      <c r="T273" s="2" t="s">
        <v>231</v>
      </c>
      <c r="U273" s="2" t="s">
        <v>432</v>
      </c>
      <c r="V273" s="2" t="s">
        <v>385</v>
      </c>
      <c r="W273" s="2" t="s">
        <v>1130</v>
      </c>
      <c r="X273" s="2" t="s">
        <v>428</v>
      </c>
      <c r="Y273" s="2" t="s">
        <v>1143</v>
      </c>
      <c r="Z273" s="4">
        <v>849</v>
      </c>
      <c r="AA273" s="4">
        <f>=ROUNDDOWN(13.265625,0)</f>
      </c>
      <c r="AB273" s="5">
        <v>64</v>
      </c>
      <c r="AC273" s="2" t="s">
        <v>162</v>
      </c>
      <c r="AD273" s="4">
        <v>891</v>
      </c>
      <c r="AE273" s="4">
        <v>2361</v>
      </c>
      <c r="AF273" s="6">
        <v>63</v>
      </c>
      <c r="AG273" s="6">
        <v>46</v>
      </c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/>
      <c r="AP273" s="4">
        <v>1</v>
      </c>
      <c r="AQ273" s="8">
        <v>31.31</v>
      </c>
      <c r="AR273" s="4"/>
      <c r="AS273" s="8"/>
      <c r="AT273" s="7"/>
      <c r="AU273" s="7"/>
      <c r="AV273" s="4" t="s">
        <v>100</v>
      </c>
      <c r="AW273" s="8" t="s">
        <v>100</v>
      </c>
      <c r="AX273" s="4" t="s">
        <v>100</v>
      </c>
      <c r="AY273" s="8" t="s">
        <v>100</v>
      </c>
      <c r="AZ273" s="7" t="s">
        <v>100</v>
      </c>
      <c r="BA273" s="7" t="s">
        <v>100</v>
      </c>
      <c r="BB273" s="7">
        <v>0.2292</v>
      </c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 t="s">
        <v>100</v>
      </c>
      <c r="BJ273" s="4">
        <v>200</v>
      </c>
      <c r="BK273" s="8">
        <v>5987.95</v>
      </c>
      <c r="BL273" s="2" t="s">
        <v>1135</v>
      </c>
      <c r="BM273" s="7">
        <v>0.005</v>
      </c>
      <c r="BN273" s="7">
        <v>0.0052</v>
      </c>
      <c r="BO273" s="4">
        <v>1</v>
      </c>
      <c r="BP273" s="8">
        <v>31.31</v>
      </c>
      <c r="BQ273" s="4"/>
      <c r="BR273" s="8"/>
      <c r="BS273" s="7"/>
      <c r="BT273" s="7"/>
      <c r="BU273" s="2" t="s">
        <v>109</v>
      </c>
      <c r="BV273" s="2" t="s">
        <v>97</v>
      </c>
      <c r="BW273" s="2" t="s">
        <v>1133</v>
      </c>
      <c r="BX273" s="2" t="s">
        <v>1155</v>
      </c>
      <c r="BY273" s="2" t="s">
        <v>112</v>
      </c>
      <c r="BZ273" s="2" t="s">
        <v>100</v>
      </c>
    </row>
    <row r="274">
      <c r="A274" s="2" t="s">
        <v>1156</v>
      </c>
      <c r="B274" s="2" t="s">
        <v>87</v>
      </c>
      <c r="C274" s="2" t="s">
        <v>785</v>
      </c>
      <c r="D274" s="2" t="s">
        <v>89</v>
      </c>
      <c r="E274" s="2" t="s">
        <v>786</v>
      </c>
      <c r="F274" s="2" t="s">
        <v>1125</v>
      </c>
      <c r="G274" s="2" t="s">
        <v>1126</v>
      </c>
      <c r="H274" s="2" t="s">
        <v>1127</v>
      </c>
      <c r="I274" s="2" t="s">
        <v>1128</v>
      </c>
      <c r="J274" s="2" t="s">
        <v>563</v>
      </c>
      <c r="K274" s="2" t="s">
        <v>764</v>
      </c>
      <c r="L274" s="3">
        <v>30.95</v>
      </c>
      <c r="M274" s="3">
        <v>32.5</v>
      </c>
      <c r="N274" s="3">
        <v>54.99</v>
      </c>
      <c r="O274" s="2" t="s">
        <v>97</v>
      </c>
      <c r="P274" s="2" t="s">
        <v>576</v>
      </c>
      <c r="Q274" s="2" t="s">
        <v>99</v>
      </c>
      <c r="R274" s="2" t="s">
        <v>100</v>
      </c>
      <c r="S274" s="2" t="s">
        <v>1152</v>
      </c>
      <c r="T274" s="2" t="s">
        <v>231</v>
      </c>
      <c r="U274" s="2" t="s">
        <v>432</v>
      </c>
      <c r="V274" s="2" t="s">
        <v>385</v>
      </c>
      <c r="W274" s="2" t="s">
        <v>1130</v>
      </c>
      <c r="X274" s="2" t="s">
        <v>428</v>
      </c>
      <c r="Y274" s="2" t="s">
        <v>1138</v>
      </c>
      <c r="Z274" s="4">
        <v>1200</v>
      </c>
      <c r="AA274" s="4">
        <f>=ROUNDDOWN(92.3076923076923,0)</f>
      </c>
      <c r="AB274" s="5">
        <v>13</v>
      </c>
      <c r="AC274" s="2" t="s">
        <v>100</v>
      </c>
      <c r="AD274" s="4"/>
      <c r="AE274" s="4"/>
      <c r="AF274" s="6">
        <v>63</v>
      </c>
      <c r="AG274" s="6">
        <v>46</v>
      </c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/>
      <c r="AP274" s="4">
        <v>3</v>
      </c>
      <c r="AQ274" s="8">
        <v>105.3</v>
      </c>
      <c r="AR274" s="4"/>
      <c r="AS274" s="8"/>
      <c r="AT274" s="7"/>
      <c r="AU274" s="7"/>
      <c r="AV274" s="4" t="s">
        <v>100</v>
      </c>
      <c r="AW274" s="8" t="s">
        <v>100</v>
      </c>
      <c r="AX274" s="4" t="s">
        <v>100</v>
      </c>
      <c r="AY274" s="8" t="s">
        <v>100</v>
      </c>
      <c r="AZ274" s="7" t="s">
        <v>100</v>
      </c>
      <c r="BA274" s="7" t="s">
        <v>100</v>
      </c>
      <c r="BB274" s="7">
        <v>0.7708</v>
      </c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 t="s">
        <v>100</v>
      </c>
      <c r="BJ274" s="4">
        <v>62</v>
      </c>
      <c r="BK274" s="8">
        <v>2006.94</v>
      </c>
      <c r="BL274" s="2" t="s">
        <v>1147</v>
      </c>
      <c r="BM274" s="7">
        <v>0.0484</v>
      </c>
      <c r="BN274" s="7">
        <v>0.0525</v>
      </c>
      <c r="BO274" s="4">
        <v>3</v>
      </c>
      <c r="BP274" s="8">
        <v>105.3</v>
      </c>
      <c r="BQ274" s="4"/>
      <c r="BR274" s="8"/>
      <c r="BS274" s="7"/>
      <c r="BT274" s="7"/>
      <c r="BU274" s="2" t="s">
        <v>109</v>
      </c>
      <c r="BV274" s="2" t="s">
        <v>97</v>
      </c>
      <c r="BW274" s="2" t="s">
        <v>1136</v>
      </c>
      <c r="BX274" s="2" t="s">
        <v>1157</v>
      </c>
      <c r="BY274" s="2" t="s">
        <v>112</v>
      </c>
      <c r="BZ274" s="2" t="s">
        <v>100</v>
      </c>
    </row>
    <row r="275">
      <c r="A275" s="2" t="s">
        <v>1158</v>
      </c>
      <c r="B275" s="2" t="s">
        <v>87</v>
      </c>
      <c r="C275" s="2" t="s">
        <v>785</v>
      </c>
      <c r="D275" s="2" t="s">
        <v>89</v>
      </c>
      <c r="E275" s="2" t="s">
        <v>786</v>
      </c>
      <c r="F275" s="2" t="s">
        <v>1125</v>
      </c>
      <c r="G275" s="2" t="s">
        <v>1126</v>
      </c>
      <c r="H275" s="2" t="s">
        <v>1127</v>
      </c>
      <c r="I275" s="2" t="s">
        <v>1128</v>
      </c>
      <c r="J275" s="2" t="s">
        <v>791</v>
      </c>
      <c r="K275" s="2" t="s">
        <v>968</v>
      </c>
      <c r="L275" s="3">
        <v>22.85</v>
      </c>
      <c r="M275" s="3">
        <v>23.99</v>
      </c>
      <c r="N275" s="3">
        <v>47.99</v>
      </c>
      <c r="O275" s="2" t="s">
        <v>97</v>
      </c>
      <c r="P275" s="2" t="s">
        <v>576</v>
      </c>
      <c r="Q275" s="2" t="s">
        <v>99</v>
      </c>
      <c r="R275" s="2" t="s">
        <v>100</v>
      </c>
      <c r="S275" s="2" t="s">
        <v>1159</v>
      </c>
      <c r="T275" s="2" t="s">
        <v>231</v>
      </c>
      <c r="U275" s="2" t="s">
        <v>426</v>
      </c>
      <c r="V275" s="2" t="s">
        <v>385</v>
      </c>
      <c r="W275" s="2" t="s">
        <v>1130</v>
      </c>
      <c r="X275" s="2" t="s">
        <v>428</v>
      </c>
      <c r="Y275" s="2" t="s">
        <v>1143</v>
      </c>
      <c r="Z275" s="4">
        <v>393</v>
      </c>
      <c r="AA275" s="4">
        <f>=ROUNDDOWN(19.65,0)</f>
      </c>
      <c r="AB275" s="5">
        <v>20</v>
      </c>
      <c r="AC275" s="2" t="s">
        <v>162</v>
      </c>
      <c r="AD275" s="4">
        <v>3510</v>
      </c>
      <c r="AE275" s="4">
        <v>4260</v>
      </c>
      <c r="AF275" s="6">
        <v>63</v>
      </c>
      <c r="AG275" s="6">
        <v>46</v>
      </c>
      <c r="AH275" s="7">
        <v>0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>
        <v>3</v>
      </c>
      <c r="AW275" s="8">
        <v>99.14</v>
      </c>
      <c r="AX275" s="4" t="s">
        <v>100</v>
      </c>
      <c r="AY275" s="8" t="s">
        <v>100</v>
      </c>
      <c r="AZ275" s="7" t="s">
        <v>100</v>
      </c>
      <c r="BA275" s="7" t="s">
        <v>100</v>
      </c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>
        <v>0.1155</v>
      </c>
      <c r="BJ275" s="4"/>
      <c r="BK275" s="8"/>
      <c r="BL275" s="2" t="s">
        <v>100</v>
      </c>
      <c r="BM275" s="7"/>
      <c r="BN275" s="7"/>
      <c r="BO275" s="4"/>
      <c r="BP275" s="8"/>
      <c r="BQ275" s="4"/>
      <c r="BR275" s="8"/>
      <c r="BS275" s="7"/>
      <c r="BT275" s="7"/>
      <c r="BU275" s="2" t="s">
        <v>109</v>
      </c>
      <c r="BV275" s="2" t="s">
        <v>97</v>
      </c>
      <c r="BW275" s="2" t="s">
        <v>1136</v>
      </c>
      <c r="BX275" s="2" t="s">
        <v>1160</v>
      </c>
      <c r="BY275" s="2" t="s">
        <v>112</v>
      </c>
      <c r="BZ275" s="2" t="s">
        <v>100</v>
      </c>
    </row>
    <row r="276">
      <c r="A276" s="2" t="s">
        <v>1161</v>
      </c>
      <c r="B276" s="2" t="s">
        <v>87</v>
      </c>
      <c r="C276" s="2" t="s">
        <v>785</v>
      </c>
      <c r="D276" s="2" t="s">
        <v>89</v>
      </c>
      <c r="E276" s="2" t="s">
        <v>786</v>
      </c>
      <c r="F276" s="2" t="s">
        <v>1125</v>
      </c>
      <c r="G276" s="2" t="s">
        <v>1126</v>
      </c>
      <c r="H276" s="2" t="s">
        <v>1127</v>
      </c>
      <c r="I276" s="2" t="s">
        <v>1128</v>
      </c>
      <c r="J276" s="2" t="s">
        <v>558</v>
      </c>
      <c r="K276" s="2" t="s">
        <v>968</v>
      </c>
      <c r="L276" s="3">
        <v>27.61</v>
      </c>
      <c r="M276" s="3">
        <v>28.99</v>
      </c>
      <c r="N276" s="3">
        <v>57.99</v>
      </c>
      <c r="O276" s="2" t="s">
        <v>97</v>
      </c>
      <c r="P276" s="2" t="s">
        <v>576</v>
      </c>
      <c r="Q276" s="2" t="s">
        <v>99</v>
      </c>
      <c r="R276" s="2" t="s">
        <v>100</v>
      </c>
      <c r="S276" s="2" t="s">
        <v>1159</v>
      </c>
      <c r="T276" s="2" t="s">
        <v>231</v>
      </c>
      <c r="U276" s="2" t="s">
        <v>432</v>
      </c>
      <c r="V276" s="2" t="s">
        <v>385</v>
      </c>
      <c r="W276" s="2" t="s">
        <v>1130</v>
      </c>
      <c r="X276" s="2" t="s">
        <v>428</v>
      </c>
      <c r="Y276" s="2" t="s">
        <v>1143</v>
      </c>
      <c r="Z276" s="4">
        <v>372</v>
      </c>
      <c r="AA276" s="4">
        <f>=ROUNDDOWN(13.7777777777778,0)</f>
      </c>
      <c r="AB276" s="5">
        <v>27</v>
      </c>
      <c r="AC276" s="2" t="s">
        <v>162</v>
      </c>
      <c r="AD276" s="4">
        <v>1350</v>
      </c>
      <c r="AE276" s="4">
        <v>2310</v>
      </c>
      <c r="AF276" s="6">
        <v>63</v>
      </c>
      <c r="AG276" s="6">
        <v>46</v>
      </c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/>
      <c r="AP276" s="4">
        <v>1</v>
      </c>
      <c r="AQ276" s="8">
        <v>28.94</v>
      </c>
      <c r="AR276" s="4"/>
      <c r="AS276" s="8"/>
      <c r="AT276" s="7"/>
      <c r="AU276" s="7"/>
      <c r="AV276" s="4" t="s">
        <v>100</v>
      </c>
      <c r="AW276" s="8" t="s">
        <v>100</v>
      </c>
      <c r="AX276" s="4" t="s">
        <v>100</v>
      </c>
      <c r="AY276" s="8" t="s">
        <v>100</v>
      </c>
      <c r="AZ276" s="7" t="s">
        <v>100</v>
      </c>
      <c r="BA276" s="7" t="s">
        <v>100</v>
      </c>
      <c r="BB276" s="7">
        <v>0.2919</v>
      </c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 t="s">
        <v>100</v>
      </c>
      <c r="BJ276" s="4">
        <v>112</v>
      </c>
      <c r="BK276" s="8">
        <v>3316.65</v>
      </c>
      <c r="BL276" s="2" t="s">
        <v>1162</v>
      </c>
      <c r="BM276" s="7">
        <v>0.0089</v>
      </c>
      <c r="BN276" s="7">
        <v>0.0087</v>
      </c>
      <c r="BO276" s="4">
        <v>1</v>
      </c>
      <c r="BP276" s="8">
        <v>28.94</v>
      </c>
      <c r="BQ276" s="4"/>
      <c r="BR276" s="8"/>
      <c r="BS276" s="7"/>
      <c r="BT276" s="7"/>
      <c r="BU276" s="2" t="s">
        <v>109</v>
      </c>
      <c r="BV276" s="2" t="s">
        <v>97</v>
      </c>
      <c r="BW276" s="2" t="s">
        <v>1136</v>
      </c>
      <c r="BX276" s="2" t="s">
        <v>1148</v>
      </c>
      <c r="BY276" s="2" t="s">
        <v>112</v>
      </c>
      <c r="BZ276" s="2" t="s">
        <v>100</v>
      </c>
    </row>
    <row r="277">
      <c r="A277" s="2" t="s">
        <v>1163</v>
      </c>
      <c r="B277" s="2" t="s">
        <v>87</v>
      </c>
      <c r="C277" s="2" t="s">
        <v>785</v>
      </c>
      <c r="D277" s="2" t="s">
        <v>89</v>
      </c>
      <c r="E277" s="2" t="s">
        <v>786</v>
      </c>
      <c r="F277" s="2" t="s">
        <v>1125</v>
      </c>
      <c r="G277" s="2" t="s">
        <v>1126</v>
      </c>
      <c r="H277" s="2" t="s">
        <v>1127</v>
      </c>
      <c r="I277" s="2" t="s">
        <v>1128</v>
      </c>
      <c r="J277" s="2" t="s">
        <v>563</v>
      </c>
      <c r="K277" s="2" t="s">
        <v>968</v>
      </c>
      <c r="L277" s="3">
        <v>30.95</v>
      </c>
      <c r="M277" s="3">
        <v>32.5</v>
      </c>
      <c r="N277" s="3">
        <v>64.99</v>
      </c>
      <c r="O277" s="2" t="s">
        <v>97</v>
      </c>
      <c r="P277" s="2" t="s">
        <v>576</v>
      </c>
      <c r="Q277" s="2" t="s">
        <v>99</v>
      </c>
      <c r="R277" s="2" t="s">
        <v>100</v>
      </c>
      <c r="S277" s="2" t="s">
        <v>1159</v>
      </c>
      <c r="T277" s="2" t="s">
        <v>231</v>
      </c>
      <c r="U277" s="2" t="s">
        <v>432</v>
      </c>
      <c r="V277" s="2" t="s">
        <v>385</v>
      </c>
      <c r="W277" s="2" t="s">
        <v>1130</v>
      </c>
      <c r="X277" s="2" t="s">
        <v>428</v>
      </c>
      <c r="Y277" s="2" t="s">
        <v>1138</v>
      </c>
      <c r="Z277" s="4">
        <v>367</v>
      </c>
      <c r="AA277" s="4">
        <f>=ROUNDDOWN(21.5882352941176,0)</f>
      </c>
      <c r="AB277" s="5">
        <v>17</v>
      </c>
      <c r="AC277" s="2" t="s">
        <v>845</v>
      </c>
      <c r="AD277" s="4">
        <v>180</v>
      </c>
      <c r="AE277" s="4">
        <v>360</v>
      </c>
      <c r="AF277" s="6">
        <v>63</v>
      </c>
      <c r="AG277" s="6">
        <v>46</v>
      </c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/>
      <c r="AP277" s="4">
        <v>2</v>
      </c>
      <c r="AQ277" s="8">
        <v>70.2</v>
      </c>
      <c r="AR277" s="4"/>
      <c r="AS277" s="8"/>
      <c r="AT277" s="7"/>
      <c r="AU277" s="7"/>
      <c r="AV277" s="4" t="s">
        <v>100</v>
      </c>
      <c r="AW277" s="8" t="s">
        <v>100</v>
      </c>
      <c r="AX277" s="4" t="s">
        <v>100</v>
      </c>
      <c r="AY277" s="8" t="s">
        <v>100</v>
      </c>
      <c r="AZ277" s="7" t="s">
        <v>100</v>
      </c>
      <c r="BA277" s="7" t="s">
        <v>100</v>
      </c>
      <c r="BB277" s="7">
        <v>0.7081</v>
      </c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 t="s">
        <v>100</v>
      </c>
      <c r="BJ277" s="4">
        <v>71</v>
      </c>
      <c r="BK277" s="8">
        <v>2278.39</v>
      </c>
      <c r="BL277" s="2" t="s">
        <v>1164</v>
      </c>
      <c r="BM277" s="7">
        <v>0.0282</v>
      </c>
      <c r="BN277" s="7">
        <v>0.0308</v>
      </c>
      <c r="BO277" s="4">
        <v>2</v>
      </c>
      <c r="BP277" s="8">
        <v>70.2</v>
      </c>
      <c r="BQ277" s="4"/>
      <c r="BR277" s="8"/>
      <c r="BS277" s="7"/>
      <c r="BT277" s="7"/>
      <c r="BU277" s="2" t="s">
        <v>109</v>
      </c>
      <c r="BV277" s="2" t="s">
        <v>97</v>
      </c>
      <c r="BW277" s="2" t="s">
        <v>1136</v>
      </c>
      <c r="BX277" s="2" t="s">
        <v>1148</v>
      </c>
      <c r="BY277" s="2" t="s">
        <v>112</v>
      </c>
      <c r="BZ277" s="2" t="s">
        <v>100</v>
      </c>
    </row>
    <row r="278">
      <c r="A278" s="2" t="s">
        <v>1165</v>
      </c>
      <c r="B278" s="2" t="s">
        <v>87</v>
      </c>
      <c r="C278" s="2" t="s">
        <v>785</v>
      </c>
      <c r="D278" s="2" t="s">
        <v>89</v>
      </c>
      <c r="E278" s="2" t="s">
        <v>786</v>
      </c>
      <c r="F278" s="2" t="s">
        <v>1125</v>
      </c>
      <c r="G278" s="2" t="s">
        <v>1126</v>
      </c>
      <c r="H278" s="2" t="s">
        <v>1127</v>
      </c>
      <c r="I278" s="2" t="s">
        <v>1128</v>
      </c>
      <c r="J278" s="2" t="s">
        <v>791</v>
      </c>
      <c r="K278" s="2" t="s">
        <v>623</v>
      </c>
      <c r="L278" s="3">
        <v>22.85</v>
      </c>
      <c r="M278" s="3">
        <v>23.99</v>
      </c>
      <c r="N278" s="3">
        <v>47.99</v>
      </c>
      <c r="O278" s="2" t="s">
        <v>97</v>
      </c>
      <c r="P278" s="2" t="s">
        <v>576</v>
      </c>
      <c r="Q278" s="2" t="s">
        <v>99</v>
      </c>
      <c r="R278" s="2" t="s">
        <v>100</v>
      </c>
      <c r="S278" s="2" t="s">
        <v>1166</v>
      </c>
      <c r="T278" s="2" t="s">
        <v>231</v>
      </c>
      <c r="U278" s="2" t="s">
        <v>426</v>
      </c>
      <c r="V278" s="2" t="s">
        <v>385</v>
      </c>
      <c r="W278" s="2" t="s">
        <v>1130</v>
      </c>
      <c r="X278" s="2" t="s">
        <v>428</v>
      </c>
      <c r="Y278" s="2" t="s">
        <v>1143</v>
      </c>
      <c r="Z278" s="4">
        <v>3</v>
      </c>
      <c r="AA278" s="4">
        <f>=ROUNDDOWN(0.166666666666667,0)</f>
      </c>
      <c r="AB278" s="5">
        <v>18</v>
      </c>
      <c r="AC278" s="2" t="s">
        <v>162</v>
      </c>
      <c r="AD278" s="4">
        <v>1080</v>
      </c>
      <c r="AE278" s="4">
        <v>1590</v>
      </c>
      <c r="AF278" s="6">
        <v>63</v>
      </c>
      <c r="AG278" s="6">
        <v>46</v>
      </c>
      <c r="AH278" s="7">
        <v>0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/>
      <c r="AP278" s="4">
        <v>1</v>
      </c>
      <c r="AQ278" s="8">
        <v>25.91</v>
      </c>
      <c r="AR278" s="4"/>
      <c r="AS278" s="8"/>
      <c r="AT278" s="7"/>
      <c r="AU278" s="7"/>
      <c r="AV278" s="4">
        <v>2</v>
      </c>
      <c r="AW278" s="8">
        <v>54.85</v>
      </c>
      <c r="AX278" s="4" t="s">
        <v>100</v>
      </c>
      <c r="AY278" s="8" t="s">
        <v>100</v>
      </c>
      <c r="AZ278" s="7" t="s">
        <v>100</v>
      </c>
      <c r="BA278" s="7" t="s">
        <v>100</v>
      </c>
      <c r="BB278" s="7">
        <v>0.4724</v>
      </c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>
        <v>0.0639</v>
      </c>
      <c r="BJ278" s="4">
        <v>2</v>
      </c>
      <c r="BK278" s="8">
        <v>48.71</v>
      </c>
      <c r="BL278" s="2" t="s">
        <v>1167</v>
      </c>
      <c r="BM278" s="7">
        <v>0.5</v>
      </c>
      <c r="BN278" s="7">
        <v>0.5319</v>
      </c>
      <c r="BO278" s="4">
        <v>1</v>
      </c>
      <c r="BP278" s="8">
        <v>25.91</v>
      </c>
      <c r="BQ278" s="4"/>
      <c r="BR278" s="8"/>
      <c r="BS278" s="7"/>
      <c r="BT278" s="7"/>
      <c r="BU278" s="2" t="s">
        <v>109</v>
      </c>
      <c r="BV278" s="2" t="s">
        <v>97</v>
      </c>
      <c r="BW278" s="2" t="s">
        <v>1136</v>
      </c>
      <c r="BX278" s="2" t="s">
        <v>1160</v>
      </c>
      <c r="BY278" s="2" t="s">
        <v>112</v>
      </c>
      <c r="BZ278" s="2" t="s">
        <v>100</v>
      </c>
    </row>
    <row r="279">
      <c r="A279" s="2" t="s">
        <v>1168</v>
      </c>
      <c r="B279" s="2" t="s">
        <v>87</v>
      </c>
      <c r="C279" s="2" t="s">
        <v>785</v>
      </c>
      <c r="D279" s="2" t="s">
        <v>89</v>
      </c>
      <c r="E279" s="2" t="s">
        <v>786</v>
      </c>
      <c r="F279" s="2" t="s">
        <v>1125</v>
      </c>
      <c r="G279" s="2" t="s">
        <v>1126</v>
      </c>
      <c r="H279" s="2" t="s">
        <v>1127</v>
      </c>
      <c r="I279" s="2" t="s">
        <v>1128</v>
      </c>
      <c r="J279" s="2" t="s">
        <v>558</v>
      </c>
      <c r="K279" s="2" t="s">
        <v>623</v>
      </c>
      <c r="L279" s="3">
        <v>27.61</v>
      </c>
      <c r="M279" s="3">
        <v>28.99</v>
      </c>
      <c r="N279" s="3">
        <v>57.99</v>
      </c>
      <c r="O279" s="2" t="s">
        <v>97</v>
      </c>
      <c r="P279" s="2" t="s">
        <v>576</v>
      </c>
      <c r="Q279" s="2" t="s">
        <v>99</v>
      </c>
      <c r="R279" s="2" t="s">
        <v>100</v>
      </c>
      <c r="S279" s="2" t="s">
        <v>1166</v>
      </c>
      <c r="T279" s="2" t="s">
        <v>231</v>
      </c>
      <c r="U279" s="2" t="s">
        <v>432</v>
      </c>
      <c r="V279" s="2" t="s">
        <v>385</v>
      </c>
      <c r="W279" s="2" t="s">
        <v>1130</v>
      </c>
      <c r="X279" s="2" t="s">
        <v>428</v>
      </c>
      <c r="Y279" s="2" t="s">
        <v>1143</v>
      </c>
      <c r="Z279" s="4">
        <v>8</v>
      </c>
      <c r="AA279" s="4">
        <f>=ROUNDDOWN(0.266666666666667,0)</f>
      </c>
      <c r="AB279" s="5">
        <v>30</v>
      </c>
      <c r="AC279" s="2" t="s">
        <v>162</v>
      </c>
      <c r="AD279" s="4">
        <v>1620</v>
      </c>
      <c r="AE279" s="4">
        <v>2760</v>
      </c>
      <c r="AF279" s="6">
        <v>63</v>
      </c>
      <c r="AG279" s="6">
        <v>46</v>
      </c>
      <c r="AH279" s="7">
        <v>0.1111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/>
      <c r="AP279" s="4">
        <v>1</v>
      </c>
      <c r="AQ279" s="8">
        <v>28.94</v>
      </c>
      <c r="AR279" s="4"/>
      <c r="AS279" s="8"/>
      <c r="AT279" s="7"/>
      <c r="AU279" s="7"/>
      <c r="AV279" s="4" t="s">
        <v>100</v>
      </c>
      <c r="AW279" s="8" t="s">
        <v>100</v>
      </c>
      <c r="AX279" s="4" t="s">
        <v>100</v>
      </c>
      <c r="AY279" s="8" t="s">
        <v>100</v>
      </c>
      <c r="AZ279" s="7" t="s">
        <v>100</v>
      </c>
      <c r="BA279" s="7" t="s">
        <v>100</v>
      </c>
      <c r="BB279" s="7">
        <v>0.5276</v>
      </c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 t="s">
        <v>100</v>
      </c>
      <c r="BJ279" s="4">
        <v>17</v>
      </c>
      <c r="BK279" s="8">
        <v>487.97</v>
      </c>
      <c r="BL279" s="2" t="s">
        <v>1169</v>
      </c>
      <c r="BM279" s="7">
        <v>0.0588</v>
      </c>
      <c r="BN279" s="7">
        <v>0.0593</v>
      </c>
      <c r="BO279" s="4">
        <v>1</v>
      </c>
      <c r="BP279" s="8">
        <v>28.94</v>
      </c>
      <c r="BQ279" s="4"/>
      <c r="BR279" s="8"/>
      <c r="BS279" s="7"/>
      <c r="BT279" s="7"/>
      <c r="BU279" s="2" t="s">
        <v>109</v>
      </c>
      <c r="BV279" s="2" t="s">
        <v>97</v>
      </c>
      <c r="BW279" s="2" t="s">
        <v>1136</v>
      </c>
      <c r="BX279" s="2" t="s">
        <v>899</v>
      </c>
      <c r="BY279" s="2" t="s">
        <v>112</v>
      </c>
      <c r="BZ279" s="2" t="s">
        <v>100</v>
      </c>
    </row>
    <row r="280">
      <c r="A280" s="2" t="s">
        <v>1170</v>
      </c>
      <c r="B280" s="2" t="s">
        <v>87</v>
      </c>
      <c r="C280" s="2" t="s">
        <v>785</v>
      </c>
      <c r="D280" s="2" t="s">
        <v>89</v>
      </c>
      <c r="E280" s="2" t="s">
        <v>786</v>
      </c>
      <c r="F280" s="2" t="s">
        <v>1125</v>
      </c>
      <c r="G280" s="2" t="s">
        <v>1126</v>
      </c>
      <c r="H280" s="2" t="s">
        <v>1127</v>
      </c>
      <c r="I280" s="2" t="s">
        <v>1128</v>
      </c>
      <c r="J280" s="2" t="s">
        <v>563</v>
      </c>
      <c r="K280" s="2" t="s">
        <v>623</v>
      </c>
      <c r="L280" s="3">
        <v>30.95</v>
      </c>
      <c r="M280" s="3">
        <v>32.5</v>
      </c>
      <c r="N280" s="3">
        <v>64.99</v>
      </c>
      <c r="O280" s="2" t="s">
        <v>97</v>
      </c>
      <c r="P280" s="2" t="s">
        <v>576</v>
      </c>
      <c r="Q280" s="2" t="s">
        <v>99</v>
      </c>
      <c r="R280" s="2" t="s">
        <v>100</v>
      </c>
      <c r="S280" s="2" t="s">
        <v>1166</v>
      </c>
      <c r="T280" s="2" t="s">
        <v>231</v>
      </c>
      <c r="U280" s="2" t="s">
        <v>432</v>
      </c>
      <c r="V280" s="2" t="s">
        <v>385</v>
      </c>
      <c r="W280" s="2" t="s">
        <v>1130</v>
      </c>
      <c r="X280" s="2" t="s">
        <v>428</v>
      </c>
      <c r="Y280" s="2" t="s">
        <v>1138</v>
      </c>
      <c r="Z280" s="4">
        <v>155</v>
      </c>
      <c r="AA280" s="4">
        <f>=ROUNDDOWN(6.45833333333333,0)</f>
      </c>
      <c r="AB280" s="5">
        <v>24</v>
      </c>
      <c r="AC280" s="2" t="s">
        <v>162</v>
      </c>
      <c r="AD280" s="4">
        <v>1350</v>
      </c>
      <c r="AE280" s="4">
        <v>2220</v>
      </c>
      <c r="AF280" s="6">
        <v>63</v>
      </c>
      <c r="AG280" s="6">
        <v>46</v>
      </c>
      <c r="AH280" s="7">
        <v>0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100</v>
      </c>
      <c r="AW280" s="8" t="s">
        <v>100</v>
      </c>
      <c r="AX280" s="4" t="s">
        <v>100</v>
      </c>
      <c r="AY280" s="8" t="s">
        <v>100</v>
      </c>
      <c r="AZ280" s="7" t="s">
        <v>100</v>
      </c>
      <c r="BA280" s="7" t="s">
        <v>100</v>
      </c>
      <c r="BB280" s="7"/>
      <c r="BC280" s="4" t="s">
        <v>100</v>
      </c>
      <c r="BD280" s="8" t="s">
        <v>100</v>
      </c>
      <c r="BE280" s="4" t="s">
        <v>100</v>
      </c>
      <c r="BF280" s="8" t="s">
        <v>100</v>
      </c>
      <c r="BG280" s="7" t="s">
        <v>100</v>
      </c>
      <c r="BH280" s="7" t="s">
        <v>100</v>
      </c>
      <c r="BI280" s="7" t="s">
        <v>100</v>
      </c>
      <c r="BJ280" s="4"/>
      <c r="BK280" s="8"/>
      <c r="BL280" s="2" t="s">
        <v>100</v>
      </c>
      <c r="BM280" s="7"/>
      <c r="BN280" s="7"/>
      <c r="BO280" s="4"/>
      <c r="BP280" s="8"/>
      <c r="BQ280" s="4"/>
      <c r="BR280" s="8"/>
      <c r="BS280" s="7"/>
      <c r="BT280" s="7"/>
      <c r="BU280" s="2" t="s">
        <v>109</v>
      </c>
      <c r="BV280" s="2" t="s">
        <v>97</v>
      </c>
      <c r="BW280" s="2" t="s">
        <v>1136</v>
      </c>
      <c r="BX280" s="2" t="s">
        <v>1171</v>
      </c>
      <c r="BY280" s="2" t="s">
        <v>112</v>
      </c>
      <c r="BZ280" s="2" t="s">
        <v>100</v>
      </c>
    </row>
    <row r="281">
      <c r="A281" s="2" t="s">
        <v>1172</v>
      </c>
      <c r="B281" s="2" t="s">
        <v>87</v>
      </c>
      <c r="C281" s="2" t="s">
        <v>785</v>
      </c>
      <c r="D281" s="2" t="s">
        <v>89</v>
      </c>
      <c r="E281" s="2" t="s">
        <v>786</v>
      </c>
      <c r="F281" s="2" t="s">
        <v>1173</v>
      </c>
      <c r="G281" s="2" t="s">
        <v>1174</v>
      </c>
      <c r="H281" s="2" t="s">
        <v>1175</v>
      </c>
      <c r="I281" s="2" t="s">
        <v>1176</v>
      </c>
      <c r="J281" s="2" t="s">
        <v>791</v>
      </c>
      <c r="K281" s="2" t="s">
        <v>1177</v>
      </c>
      <c r="L281" s="3">
        <v>19.04</v>
      </c>
      <c r="M281" s="3">
        <v>19.99</v>
      </c>
      <c r="N281" s="3">
        <v>39.99</v>
      </c>
      <c r="O281" s="2" t="s">
        <v>97</v>
      </c>
      <c r="P281" s="2" t="s">
        <v>576</v>
      </c>
      <c r="Q281" s="2" t="s">
        <v>99</v>
      </c>
      <c r="R281" s="2" t="s">
        <v>100</v>
      </c>
      <c r="S281" s="2" t="s">
        <v>1178</v>
      </c>
      <c r="T281" s="2" t="s">
        <v>793</v>
      </c>
      <c r="U281" s="2" t="s">
        <v>426</v>
      </c>
      <c r="V281" s="2" t="s">
        <v>1179</v>
      </c>
      <c r="W281" s="2" t="s">
        <v>590</v>
      </c>
      <c r="X281" s="2" t="s">
        <v>428</v>
      </c>
      <c r="Y281" s="2" t="s">
        <v>1180</v>
      </c>
      <c r="Z281" s="4">
        <v>492</v>
      </c>
      <c r="AA281" s="4">
        <f>=ROUNDDOWN(22.3636363636364,0)</f>
      </c>
      <c r="AB281" s="5">
        <v>22</v>
      </c>
      <c r="AC281" s="2" t="s">
        <v>170</v>
      </c>
      <c r="AD281" s="4">
        <v>300</v>
      </c>
      <c r="AE281" s="4">
        <v>810</v>
      </c>
      <c r="AF281" s="6">
        <v>63</v>
      </c>
      <c r="AG281" s="6">
        <v>46</v>
      </c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/>
      <c r="AP281" s="4">
        <v>2</v>
      </c>
      <c r="AQ281" s="8">
        <v>43.18</v>
      </c>
      <c r="AR281" s="4"/>
      <c r="AS281" s="8"/>
      <c r="AT281" s="7"/>
      <c r="AU281" s="7"/>
      <c r="AV281" s="4">
        <v>10</v>
      </c>
      <c r="AW281" s="8">
        <v>261.81</v>
      </c>
      <c r="AX281" s="4" t="s">
        <v>100</v>
      </c>
      <c r="AY281" s="8" t="s">
        <v>100</v>
      </c>
      <c r="AZ281" s="7" t="s">
        <v>100</v>
      </c>
      <c r="BA281" s="7" t="s">
        <v>100</v>
      </c>
      <c r="BB281" s="7">
        <v>0.1649</v>
      </c>
      <c r="BC281" s="4">
        <v>18</v>
      </c>
      <c r="BD281" s="8">
        <v>485.88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>
        <v>0.5388</v>
      </c>
      <c r="BJ281" s="4">
        <v>64</v>
      </c>
      <c r="BK281" s="8">
        <v>1191.31</v>
      </c>
      <c r="BL281" s="2" t="s">
        <v>1181</v>
      </c>
      <c r="BM281" s="7">
        <v>0.0312</v>
      </c>
      <c r="BN281" s="7">
        <v>0.0362</v>
      </c>
      <c r="BO281" s="4">
        <v>2</v>
      </c>
      <c r="BP281" s="8">
        <v>43.18</v>
      </c>
      <c r="BQ281" s="4"/>
      <c r="BR281" s="8"/>
      <c r="BS281" s="7"/>
      <c r="BT281" s="7"/>
      <c r="BU281" s="2" t="s">
        <v>109</v>
      </c>
      <c r="BV281" s="2" t="s">
        <v>97</v>
      </c>
      <c r="BW281" s="2" t="s">
        <v>1182</v>
      </c>
      <c r="BX281" s="2" t="s">
        <v>903</v>
      </c>
      <c r="BY281" s="2" t="s">
        <v>112</v>
      </c>
      <c r="BZ281" s="2" t="s">
        <v>100</v>
      </c>
    </row>
    <row r="282">
      <c r="A282" s="2" t="s">
        <v>1183</v>
      </c>
      <c r="B282" s="2" t="s">
        <v>87</v>
      </c>
      <c r="C282" s="2" t="s">
        <v>785</v>
      </c>
      <c r="D282" s="2" t="s">
        <v>89</v>
      </c>
      <c r="E282" s="2" t="s">
        <v>786</v>
      </c>
      <c r="F282" s="2" t="s">
        <v>1173</v>
      </c>
      <c r="G282" s="2" t="s">
        <v>1174</v>
      </c>
      <c r="H282" s="2" t="s">
        <v>1175</v>
      </c>
      <c r="I282" s="2" t="s">
        <v>1176</v>
      </c>
      <c r="J282" s="2" t="s">
        <v>558</v>
      </c>
      <c r="K282" s="2" t="s">
        <v>1177</v>
      </c>
      <c r="L282" s="3">
        <v>23.8</v>
      </c>
      <c r="M282" s="3">
        <v>24.99</v>
      </c>
      <c r="N282" s="3">
        <v>49.99</v>
      </c>
      <c r="O282" s="2" t="s">
        <v>97</v>
      </c>
      <c r="P282" s="2" t="s">
        <v>576</v>
      </c>
      <c r="Q282" s="2" t="s">
        <v>99</v>
      </c>
      <c r="R282" s="2" t="s">
        <v>100</v>
      </c>
      <c r="S282" s="2" t="s">
        <v>1178</v>
      </c>
      <c r="T282" s="2" t="s">
        <v>793</v>
      </c>
      <c r="U282" s="2" t="s">
        <v>432</v>
      </c>
      <c r="V282" s="2" t="s">
        <v>1179</v>
      </c>
      <c r="W282" s="2" t="s">
        <v>590</v>
      </c>
      <c r="X282" s="2" t="s">
        <v>428</v>
      </c>
      <c r="Y282" s="2" t="s">
        <v>1180</v>
      </c>
      <c r="Z282" s="4">
        <v>1224</v>
      </c>
      <c r="AA282" s="4">
        <f>=ROUNDDOWN(15.3,0)</f>
      </c>
      <c r="AB282" s="5">
        <v>80</v>
      </c>
      <c r="AC282" s="2" t="s">
        <v>170</v>
      </c>
      <c r="AD282" s="4">
        <v>720</v>
      </c>
      <c r="AE282" s="4">
        <v>1230</v>
      </c>
      <c r="AF282" s="6">
        <v>63</v>
      </c>
      <c r="AG282" s="6">
        <v>46</v>
      </c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/>
      <c r="AP282" s="4">
        <v>7</v>
      </c>
      <c r="AQ282" s="8">
        <v>188.93</v>
      </c>
      <c r="AR282" s="4"/>
      <c r="AS282" s="8"/>
      <c r="AT282" s="7"/>
      <c r="AU282" s="7"/>
      <c r="AV282" s="4" t="s">
        <v>100</v>
      </c>
      <c r="AW282" s="8" t="s">
        <v>100</v>
      </c>
      <c r="AX282" s="4" t="s">
        <v>100</v>
      </c>
      <c r="AY282" s="8" t="s">
        <v>100</v>
      </c>
      <c r="AZ282" s="7" t="s">
        <v>100</v>
      </c>
      <c r="BA282" s="7" t="s">
        <v>100</v>
      </c>
      <c r="BB282" s="7">
        <v>0.7216</v>
      </c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 t="s">
        <v>100</v>
      </c>
      <c r="BJ282" s="4">
        <v>204</v>
      </c>
      <c r="BK282" s="8">
        <v>5442.99</v>
      </c>
      <c r="BL282" s="2" t="s">
        <v>1104</v>
      </c>
      <c r="BM282" s="7">
        <v>0.0343</v>
      </c>
      <c r="BN282" s="7">
        <v>0.0347</v>
      </c>
      <c r="BO282" s="4">
        <v>7</v>
      </c>
      <c r="BP282" s="8">
        <v>188.93</v>
      </c>
      <c r="BQ282" s="4"/>
      <c r="BR282" s="8"/>
      <c r="BS282" s="7"/>
      <c r="BT282" s="7"/>
      <c r="BU282" s="2" t="s">
        <v>109</v>
      </c>
      <c r="BV282" s="2" t="s">
        <v>97</v>
      </c>
      <c r="BW282" s="2" t="s">
        <v>1182</v>
      </c>
      <c r="BX282" s="2" t="s">
        <v>1184</v>
      </c>
      <c r="BY282" s="2" t="s">
        <v>112</v>
      </c>
      <c r="BZ282" s="2" t="s">
        <v>100</v>
      </c>
    </row>
    <row r="283">
      <c r="A283" s="2" t="s">
        <v>1185</v>
      </c>
      <c r="B283" s="2" t="s">
        <v>87</v>
      </c>
      <c r="C283" s="2" t="s">
        <v>785</v>
      </c>
      <c r="D283" s="2" t="s">
        <v>89</v>
      </c>
      <c r="E283" s="2" t="s">
        <v>786</v>
      </c>
      <c r="F283" s="2" t="s">
        <v>1173</v>
      </c>
      <c r="G283" s="2" t="s">
        <v>1174</v>
      </c>
      <c r="H283" s="2" t="s">
        <v>1175</v>
      </c>
      <c r="I283" s="2" t="s">
        <v>1176</v>
      </c>
      <c r="J283" s="2" t="s">
        <v>563</v>
      </c>
      <c r="K283" s="2" t="s">
        <v>1177</v>
      </c>
      <c r="L283" s="3">
        <v>26.19</v>
      </c>
      <c r="M283" s="3">
        <v>27.5</v>
      </c>
      <c r="N283" s="3">
        <v>54.99</v>
      </c>
      <c r="O283" s="2" t="s">
        <v>97</v>
      </c>
      <c r="P283" s="2" t="s">
        <v>576</v>
      </c>
      <c r="Q283" s="2" t="s">
        <v>99</v>
      </c>
      <c r="R283" s="2" t="s">
        <v>100</v>
      </c>
      <c r="S283" s="2" t="s">
        <v>1178</v>
      </c>
      <c r="T283" s="2" t="s">
        <v>793</v>
      </c>
      <c r="U283" s="2" t="s">
        <v>432</v>
      </c>
      <c r="V283" s="2" t="s">
        <v>1179</v>
      </c>
      <c r="W283" s="2" t="s">
        <v>590</v>
      </c>
      <c r="X283" s="2" t="s">
        <v>428</v>
      </c>
      <c r="Y283" s="2" t="s">
        <v>1182</v>
      </c>
      <c r="Z283" s="4">
        <v>1027</v>
      </c>
      <c r="AA283" s="4">
        <f>=ROUNDDOWN(21.3958333333333,0)</f>
      </c>
      <c r="AB283" s="5">
        <v>48</v>
      </c>
      <c r="AC283" s="2" t="s">
        <v>170</v>
      </c>
      <c r="AD283" s="4">
        <v>660</v>
      </c>
      <c r="AE283" s="4">
        <v>2400</v>
      </c>
      <c r="AF283" s="6">
        <v>63</v>
      </c>
      <c r="AG283" s="6">
        <v>46</v>
      </c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/>
      <c r="AP283" s="4">
        <v>1</v>
      </c>
      <c r="AQ283" s="8">
        <v>29.7</v>
      </c>
      <c r="AR283" s="4"/>
      <c r="AS283" s="8"/>
      <c r="AT283" s="7"/>
      <c r="AU283" s="7"/>
      <c r="AV283" s="4" t="s">
        <v>100</v>
      </c>
      <c r="AW283" s="8" t="s">
        <v>100</v>
      </c>
      <c r="AX283" s="4" t="s">
        <v>100</v>
      </c>
      <c r="AY283" s="8" t="s">
        <v>100</v>
      </c>
      <c r="AZ283" s="7" t="s">
        <v>100</v>
      </c>
      <c r="BA283" s="7" t="s">
        <v>100</v>
      </c>
      <c r="BB283" s="7">
        <v>0.1134</v>
      </c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 t="s">
        <v>100</v>
      </c>
      <c r="BJ283" s="4">
        <v>168</v>
      </c>
      <c r="BK283" s="8">
        <v>4871.37</v>
      </c>
      <c r="BL283" s="2" t="s">
        <v>1097</v>
      </c>
      <c r="BM283" s="7">
        <v>0.006</v>
      </c>
      <c r="BN283" s="7">
        <v>0.0061</v>
      </c>
      <c r="BO283" s="4">
        <v>1</v>
      </c>
      <c r="BP283" s="8">
        <v>29.7</v>
      </c>
      <c r="BQ283" s="4"/>
      <c r="BR283" s="8"/>
      <c r="BS283" s="7"/>
      <c r="BT283" s="7"/>
      <c r="BU283" s="2" t="s">
        <v>109</v>
      </c>
      <c r="BV283" s="2" t="s">
        <v>97</v>
      </c>
      <c r="BW283" s="2" t="s">
        <v>1182</v>
      </c>
      <c r="BX283" s="2" t="s">
        <v>890</v>
      </c>
      <c r="BY283" s="2" t="s">
        <v>112</v>
      </c>
      <c r="BZ283" s="2" t="s">
        <v>100</v>
      </c>
    </row>
    <row r="284">
      <c r="A284" s="2" t="s">
        <v>1186</v>
      </c>
      <c r="B284" s="2" t="s">
        <v>87</v>
      </c>
      <c r="C284" s="2" t="s">
        <v>785</v>
      </c>
      <c r="D284" s="2" t="s">
        <v>89</v>
      </c>
      <c r="E284" s="2" t="s">
        <v>786</v>
      </c>
      <c r="F284" s="2" t="s">
        <v>1173</v>
      </c>
      <c r="G284" s="2" t="s">
        <v>1174</v>
      </c>
      <c r="H284" s="2" t="s">
        <v>1175</v>
      </c>
      <c r="I284" s="2" t="s">
        <v>1176</v>
      </c>
      <c r="J284" s="2" t="s">
        <v>791</v>
      </c>
      <c r="K284" s="2" t="s">
        <v>1187</v>
      </c>
      <c r="L284" s="3">
        <v>19.04</v>
      </c>
      <c r="M284" s="3">
        <v>19.99</v>
      </c>
      <c r="N284" s="3">
        <v>39.99</v>
      </c>
      <c r="O284" s="2" t="s">
        <v>97</v>
      </c>
      <c r="P284" s="2" t="s">
        <v>576</v>
      </c>
      <c r="Q284" s="2" t="s">
        <v>99</v>
      </c>
      <c r="R284" s="2" t="s">
        <v>100</v>
      </c>
      <c r="S284" s="2" t="s">
        <v>1188</v>
      </c>
      <c r="T284" s="2" t="s">
        <v>793</v>
      </c>
      <c r="U284" s="2" t="s">
        <v>426</v>
      </c>
      <c r="V284" s="2" t="s">
        <v>1179</v>
      </c>
      <c r="W284" s="2" t="s">
        <v>590</v>
      </c>
      <c r="X284" s="2" t="s">
        <v>428</v>
      </c>
      <c r="Y284" s="2" t="s">
        <v>1180</v>
      </c>
      <c r="Z284" s="4">
        <v>317</v>
      </c>
      <c r="AA284" s="4">
        <f>=ROUNDDOWN(26.4166666666667,0)</f>
      </c>
      <c r="AB284" s="5">
        <v>12</v>
      </c>
      <c r="AC284" s="2" t="s">
        <v>170</v>
      </c>
      <c r="AD284" s="4">
        <v>90</v>
      </c>
      <c r="AE284" s="4">
        <v>270</v>
      </c>
      <c r="AF284" s="6">
        <v>63</v>
      </c>
      <c r="AG284" s="6">
        <v>46</v>
      </c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/>
      <c r="AP284" s="4">
        <v>1</v>
      </c>
      <c r="AQ284" s="8">
        <v>21.59</v>
      </c>
      <c r="AR284" s="4"/>
      <c r="AS284" s="8"/>
      <c r="AT284" s="7"/>
      <c r="AU284" s="7"/>
      <c r="AV284" s="4">
        <v>8</v>
      </c>
      <c r="AW284" s="8">
        <v>224.07</v>
      </c>
      <c r="AX284" s="4" t="s">
        <v>100</v>
      </c>
      <c r="AY284" s="8" t="s">
        <v>100</v>
      </c>
      <c r="AZ284" s="7" t="s">
        <v>100</v>
      </c>
      <c r="BA284" s="7" t="s">
        <v>100</v>
      </c>
      <c r="BB284" s="7">
        <v>0.0964</v>
      </c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>
        <v>0.4612</v>
      </c>
      <c r="BJ284" s="4">
        <v>42</v>
      </c>
      <c r="BK284" s="8">
        <v>882.94</v>
      </c>
      <c r="BL284" s="2" t="s">
        <v>1189</v>
      </c>
      <c r="BM284" s="7">
        <v>0.0238</v>
      </c>
      <c r="BN284" s="7">
        <v>0.0245</v>
      </c>
      <c r="BO284" s="4">
        <v>1</v>
      </c>
      <c r="BP284" s="8">
        <v>21.59</v>
      </c>
      <c r="BQ284" s="4"/>
      <c r="BR284" s="8"/>
      <c r="BS284" s="7"/>
      <c r="BT284" s="7"/>
      <c r="BU284" s="2" t="s">
        <v>109</v>
      </c>
      <c r="BV284" s="2" t="s">
        <v>97</v>
      </c>
      <c r="BW284" s="2" t="s">
        <v>1182</v>
      </c>
      <c r="BX284" s="2" t="s">
        <v>906</v>
      </c>
      <c r="BY284" s="2" t="s">
        <v>112</v>
      </c>
      <c r="BZ284" s="2" t="s">
        <v>100</v>
      </c>
    </row>
    <row r="285">
      <c r="A285" s="2" t="s">
        <v>1190</v>
      </c>
      <c r="B285" s="2" t="s">
        <v>87</v>
      </c>
      <c r="C285" s="2" t="s">
        <v>785</v>
      </c>
      <c r="D285" s="2" t="s">
        <v>89</v>
      </c>
      <c r="E285" s="2" t="s">
        <v>786</v>
      </c>
      <c r="F285" s="2" t="s">
        <v>1173</v>
      </c>
      <c r="G285" s="2" t="s">
        <v>1174</v>
      </c>
      <c r="H285" s="2" t="s">
        <v>1175</v>
      </c>
      <c r="I285" s="2" t="s">
        <v>1176</v>
      </c>
      <c r="J285" s="2" t="s">
        <v>558</v>
      </c>
      <c r="K285" s="2" t="s">
        <v>1187</v>
      </c>
      <c r="L285" s="3">
        <v>23.8</v>
      </c>
      <c r="M285" s="3">
        <v>24.99</v>
      </c>
      <c r="N285" s="3">
        <v>49.99</v>
      </c>
      <c r="O285" s="2" t="s">
        <v>97</v>
      </c>
      <c r="P285" s="2" t="s">
        <v>576</v>
      </c>
      <c r="Q285" s="2" t="s">
        <v>99</v>
      </c>
      <c r="R285" s="2" t="s">
        <v>100</v>
      </c>
      <c r="S285" s="2" t="s">
        <v>1188</v>
      </c>
      <c r="T285" s="2" t="s">
        <v>793</v>
      </c>
      <c r="U285" s="2" t="s">
        <v>432</v>
      </c>
      <c r="V285" s="2" t="s">
        <v>1179</v>
      </c>
      <c r="W285" s="2" t="s">
        <v>590</v>
      </c>
      <c r="X285" s="2" t="s">
        <v>428</v>
      </c>
      <c r="Y285" s="2" t="s">
        <v>1180</v>
      </c>
      <c r="Z285" s="4">
        <v>814</v>
      </c>
      <c r="AA285" s="4">
        <f>=ROUNDDOWN(19.8536585365854,0)</f>
      </c>
      <c r="AB285" s="5">
        <v>41</v>
      </c>
      <c r="AC285" s="2" t="s">
        <v>170</v>
      </c>
      <c r="AD285" s="4">
        <v>600</v>
      </c>
      <c r="AE285" s="4">
        <v>1380</v>
      </c>
      <c r="AF285" s="6">
        <v>63</v>
      </c>
      <c r="AG285" s="6">
        <v>46</v>
      </c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/>
      <c r="AP285" s="4">
        <v>2</v>
      </c>
      <c r="AQ285" s="8">
        <v>53.98</v>
      </c>
      <c r="AR285" s="4"/>
      <c r="AS285" s="8"/>
      <c r="AT285" s="7"/>
      <c r="AU285" s="7"/>
      <c r="AV285" s="4" t="s">
        <v>100</v>
      </c>
      <c r="AW285" s="8" t="s">
        <v>100</v>
      </c>
      <c r="AX285" s="4" t="s">
        <v>100</v>
      </c>
      <c r="AY285" s="8" t="s">
        <v>100</v>
      </c>
      <c r="AZ285" s="7" t="s">
        <v>100</v>
      </c>
      <c r="BA285" s="7" t="s">
        <v>100</v>
      </c>
      <c r="BB285" s="7">
        <v>0.2409</v>
      </c>
      <c r="BC285" s="4" t="s">
        <v>100</v>
      </c>
      <c r="BD285" s="8" t="s">
        <v>100</v>
      </c>
      <c r="BE285" s="4" t="s">
        <v>100</v>
      </c>
      <c r="BF285" s="8" t="s">
        <v>100</v>
      </c>
      <c r="BG285" s="7" t="s">
        <v>100</v>
      </c>
      <c r="BH285" s="7" t="s">
        <v>100</v>
      </c>
      <c r="BI285" s="7" t="s">
        <v>100</v>
      </c>
      <c r="BJ285" s="4">
        <v>85</v>
      </c>
      <c r="BK285" s="8">
        <v>2214.58</v>
      </c>
      <c r="BL285" s="2" t="s">
        <v>1191</v>
      </c>
      <c r="BM285" s="7">
        <v>0.0235</v>
      </c>
      <c r="BN285" s="7">
        <v>0.0244</v>
      </c>
      <c r="BO285" s="4">
        <v>2</v>
      </c>
      <c r="BP285" s="8">
        <v>53.98</v>
      </c>
      <c r="BQ285" s="4"/>
      <c r="BR285" s="8"/>
      <c r="BS285" s="7"/>
      <c r="BT285" s="7"/>
      <c r="BU285" s="2" t="s">
        <v>109</v>
      </c>
      <c r="BV285" s="2" t="s">
        <v>97</v>
      </c>
      <c r="BW285" s="2" t="s">
        <v>1182</v>
      </c>
      <c r="BX285" s="2" t="s">
        <v>1192</v>
      </c>
      <c r="BY285" s="2" t="s">
        <v>112</v>
      </c>
      <c r="BZ285" s="2" t="s">
        <v>100</v>
      </c>
    </row>
    <row r="286">
      <c r="A286" s="2" t="s">
        <v>1193</v>
      </c>
      <c r="B286" s="2" t="s">
        <v>87</v>
      </c>
      <c r="C286" s="2" t="s">
        <v>785</v>
      </c>
      <c r="D286" s="2" t="s">
        <v>89</v>
      </c>
      <c r="E286" s="2" t="s">
        <v>786</v>
      </c>
      <c r="F286" s="2" t="s">
        <v>1173</v>
      </c>
      <c r="G286" s="2" t="s">
        <v>1174</v>
      </c>
      <c r="H286" s="2" t="s">
        <v>1175</v>
      </c>
      <c r="I286" s="2" t="s">
        <v>1176</v>
      </c>
      <c r="J286" s="2" t="s">
        <v>563</v>
      </c>
      <c r="K286" s="2" t="s">
        <v>1187</v>
      </c>
      <c r="L286" s="3">
        <v>26.19</v>
      </c>
      <c r="M286" s="3">
        <v>27.5</v>
      </c>
      <c r="N286" s="3">
        <v>54.99</v>
      </c>
      <c r="O286" s="2" t="s">
        <v>97</v>
      </c>
      <c r="P286" s="2" t="s">
        <v>576</v>
      </c>
      <c r="Q286" s="2" t="s">
        <v>99</v>
      </c>
      <c r="R286" s="2" t="s">
        <v>100</v>
      </c>
      <c r="S286" s="2" t="s">
        <v>1188</v>
      </c>
      <c r="T286" s="2" t="s">
        <v>793</v>
      </c>
      <c r="U286" s="2" t="s">
        <v>432</v>
      </c>
      <c r="V286" s="2" t="s">
        <v>1179</v>
      </c>
      <c r="W286" s="2" t="s">
        <v>590</v>
      </c>
      <c r="X286" s="2" t="s">
        <v>428</v>
      </c>
      <c r="Y286" s="2" t="s">
        <v>1194</v>
      </c>
      <c r="Z286" s="4">
        <v>539</v>
      </c>
      <c r="AA286" s="4">
        <f>=ROUNDDOWN(15.4,0)</f>
      </c>
      <c r="AB286" s="5">
        <v>35</v>
      </c>
      <c r="AC286" s="2" t="s">
        <v>170</v>
      </c>
      <c r="AD286" s="4">
        <v>480</v>
      </c>
      <c r="AE286" s="4">
        <v>1500</v>
      </c>
      <c r="AF286" s="6">
        <v>63</v>
      </c>
      <c r="AG286" s="6">
        <v>46</v>
      </c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/>
      <c r="AP286" s="4">
        <v>5</v>
      </c>
      <c r="AQ286" s="8">
        <v>148.5</v>
      </c>
      <c r="AR286" s="4"/>
      <c r="AS286" s="8"/>
      <c r="AT286" s="7"/>
      <c r="AU286" s="7"/>
      <c r="AV286" s="4" t="s">
        <v>100</v>
      </c>
      <c r="AW286" s="8" t="s">
        <v>100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>
        <v>0.6627</v>
      </c>
      <c r="BC286" s="4" t="s">
        <v>100</v>
      </c>
      <c r="BD286" s="8" t="s">
        <v>100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 t="s">
        <v>100</v>
      </c>
      <c r="BJ286" s="4">
        <v>73</v>
      </c>
      <c r="BK286" s="8">
        <v>2158.56</v>
      </c>
      <c r="BL286" s="2" t="s">
        <v>1195</v>
      </c>
      <c r="BM286" s="7">
        <v>0.0685</v>
      </c>
      <c r="BN286" s="7">
        <v>0.0688</v>
      </c>
      <c r="BO286" s="4">
        <v>5</v>
      </c>
      <c r="BP286" s="8">
        <v>148.5</v>
      </c>
      <c r="BQ286" s="4"/>
      <c r="BR286" s="8"/>
      <c r="BS286" s="7"/>
      <c r="BT286" s="7"/>
      <c r="BU286" s="2" t="s">
        <v>109</v>
      </c>
      <c r="BV286" s="2" t="s">
        <v>97</v>
      </c>
      <c r="BW286" s="2" t="s">
        <v>1182</v>
      </c>
      <c r="BX286" s="2" t="s">
        <v>1196</v>
      </c>
      <c r="BY286" s="2" t="s">
        <v>112</v>
      </c>
      <c r="BZ286" s="2" t="s">
        <v>100</v>
      </c>
    </row>
    <row r="287">
      <c r="A287" s="2" t="s">
        <v>1197</v>
      </c>
      <c r="B287" s="2" t="s">
        <v>87</v>
      </c>
      <c r="C287" s="2" t="s">
        <v>785</v>
      </c>
      <c r="D287" s="2" t="s">
        <v>89</v>
      </c>
      <c r="E287" s="2" t="s">
        <v>786</v>
      </c>
      <c r="F287" s="2" t="s">
        <v>1198</v>
      </c>
      <c r="G287" s="2" t="s">
        <v>1199</v>
      </c>
      <c r="H287" s="2" t="s">
        <v>1200</v>
      </c>
      <c r="I287" s="2" t="s">
        <v>1201</v>
      </c>
      <c r="J287" s="2" t="s">
        <v>791</v>
      </c>
      <c r="K287" s="2" t="s">
        <v>216</v>
      </c>
      <c r="L287" s="3">
        <v>19.04</v>
      </c>
      <c r="M287" s="3">
        <v>19.99</v>
      </c>
      <c r="N287" s="3">
        <v>39.99</v>
      </c>
      <c r="O287" s="2" t="s">
        <v>97</v>
      </c>
      <c r="P287" s="2" t="s">
        <v>483</v>
      </c>
      <c r="Q287" s="2" t="s">
        <v>99</v>
      </c>
      <c r="R287" s="2" t="s">
        <v>100</v>
      </c>
      <c r="S287" s="2" t="s">
        <v>1202</v>
      </c>
      <c r="T287" s="2" t="s">
        <v>231</v>
      </c>
      <c r="U287" s="2" t="s">
        <v>426</v>
      </c>
      <c r="V287" s="2" t="s">
        <v>1203</v>
      </c>
      <c r="W287" s="2" t="s">
        <v>636</v>
      </c>
      <c r="X287" s="2" t="s">
        <v>428</v>
      </c>
      <c r="Y287" s="2" t="s">
        <v>1204</v>
      </c>
      <c r="Z287" s="4">
        <v>473</v>
      </c>
      <c r="AA287" s="4">
        <f>=ROUNDDOWN(118.25,0)</f>
      </c>
      <c r="AB287" s="5">
        <v>4</v>
      </c>
      <c r="AC287" s="2" t="s">
        <v>100</v>
      </c>
      <c r="AD287" s="4"/>
      <c r="AE287" s="4"/>
      <c r="AF287" s="6">
        <v>63</v>
      </c>
      <c r="AG287" s="6">
        <v>46</v>
      </c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/>
      <c r="AP287" s="4">
        <v>1</v>
      </c>
      <c r="AQ287" s="8">
        <v>21.59</v>
      </c>
      <c r="AR287" s="4"/>
      <c r="AS287" s="8"/>
      <c r="AT287" s="7"/>
      <c r="AU287" s="7"/>
      <c r="AV287" s="4">
        <v>5</v>
      </c>
      <c r="AW287" s="8">
        <v>118.63</v>
      </c>
      <c r="AX287" s="4" t="s">
        <v>100</v>
      </c>
      <c r="AY287" s="8" t="s">
        <v>100</v>
      </c>
      <c r="AZ287" s="7" t="s">
        <v>100</v>
      </c>
      <c r="BA287" s="7" t="s">
        <v>100</v>
      </c>
      <c r="BB287" s="7">
        <v>0.182</v>
      </c>
      <c r="BC287" s="4">
        <v>10</v>
      </c>
      <c r="BD287" s="8">
        <v>248.1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>
        <v>0.4782</v>
      </c>
      <c r="BJ287" s="4">
        <v>13</v>
      </c>
      <c r="BK287" s="8">
        <v>282.76</v>
      </c>
      <c r="BL287" s="2" t="s">
        <v>1205</v>
      </c>
      <c r="BM287" s="7">
        <v>0.0769</v>
      </c>
      <c r="BN287" s="7">
        <v>0.0764</v>
      </c>
      <c r="BO287" s="4">
        <v>1</v>
      </c>
      <c r="BP287" s="8">
        <v>21.59</v>
      </c>
      <c r="BQ287" s="4"/>
      <c r="BR287" s="8"/>
      <c r="BS287" s="7"/>
      <c r="BT287" s="7"/>
      <c r="BU287" s="2" t="s">
        <v>109</v>
      </c>
      <c r="BV287" s="2" t="s">
        <v>97</v>
      </c>
      <c r="BW287" s="2" t="s">
        <v>1133</v>
      </c>
      <c r="BX287" s="2" t="s">
        <v>1206</v>
      </c>
      <c r="BY287" s="2" t="s">
        <v>112</v>
      </c>
      <c r="BZ287" s="2" t="s">
        <v>100</v>
      </c>
    </row>
    <row r="288">
      <c r="A288" s="2" t="s">
        <v>1207</v>
      </c>
      <c r="B288" s="2" t="s">
        <v>87</v>
      </c>
      <c r="C288" s="2" t="s">
        <v>785</v>
      </c>
      <c r="D288" s="2" t="s">
        <v>89</v>
      </c>
      <c r="E288" s="2" t="s">
        <v>786</v>
      </c>
      <c r="F288" s="2" t="s">
        <v>1198</v>
      </c>
      <c r="G288" s="2" t="s">
        <v>1199</v>
      </c>
      <c r="H288" s="2" t="s">
        <v>1200</v>
      </c>
      <c r="I288" s="2" t="s">
        <v>1201</v>
      </c>
      <c r="J288" s="2" t="s">
        <v>558</v>
      </c>
      <c r="K288" s="2" t="s">
        <v>216</v>
      </c>
      <c r="L288" s="3">
        <v>23.8</v>
      </c>
      <c r="M288" s="3">
        <v>24.99</v>
      </c>
      <c r="N288" s="3">
        <v>49.99</v>
      </c>
      <c r="O288" s="2" t="s">
        <v>97</v>
      </c>
      <c r="P288" s="2" t="s">
        <v>483</v>
      </c>
      <c r="Q288" s="2" t="s">
        <v>99</v>
      </c>
      <c r="R288" s="2" t="s">
        <v>100</v>
      </c>
      <c r="S288" s="2" t="s">
        <v>1202</v>
      </c>
      <c r="T288" s="2" t="s">
        <v>231</v>
      </c>
      <c r="U288" s="2" t="s">
        <v>432</v>
      </c>
      <c r="V288" s="2" t="s">
        <v>1203</v>
      </c>
      <c r="W288" s="2" t="s">
        <v>636</v>
      </c>
      <c r="X288" s="2" t="s">
        <v>428</v>
      </c>
      <c r="Y288" s="2" t="s">
        <v>1204</v>
      </c>
      <c r="Z288" s="4">
        <v>1506</v>
      </c>
      <c r="AA288" s="4">
        <f>=ROUNDDOWN(251,0)</f>
      </c>
      <c r="AB288" s="5">
        <v>6</v>
      </c>
      <c r="AC288" s="2" t="s">
        <v>100</v>
      </c>
      <c r="AD288" s="4"/>
      <c r="AE288" s="4"/>
      <c r="AF288" s="6">
        <v>63</v>
      </c>
      <c r="AG288" s="6">
        <v>46</v>
      </c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/>
      <c r="AP288" s="4">
        <v>4</v>
      </c>
      <c r="AQ288" s="8">
        <v>97.04</v>
      </c>
      <c r="AR288" s="4"/>
      <c r="AS288" s="8"/>
      <c r="AT288" s="7"/>
      <c r="AU288" s="7"/>
      <c r="AV288" s="4" t="s">
        <v>100</v>
      </c>
      <c r="AW288" s="8" t="s">
        <v>100</v>
      </c>
      <c r="AX288" s="4" t="s">
        <v>100</v>
      </c>
      <c r="AY288" s="8" t="s">
        <v>100</v>
      </c>
      <c r="AZ288" s="7" t="s">
        <v>100</v>
      </c>
      <c r="BA288" s="7" t="s">
        <v>100</v>
      </c>
      <c r="BB288" s="7">
        <v>0.818</v>
      </c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 t="s">
        <v>100</v>
      </c>
      <c r="BJ288" s="4">
        <v>38</v>
      </c>
      <c r="BK288" s="8">
        <v>915.76</v>
      </c>
      <c r="BL288" s="2" t="s">
        <v>1208</v>
      </c>
      <c r="BM288" s="7">
        <v>0.1053</v>
      </c>
      <c r="BN288" s="7">
        <v>0.106</v>
      </c>
      <c r="BO288" s="4">
        <v>4</v>
      </c>
      <c r="BP288" s="8">
        <v>97.04</v>
      </c>
      <c r="BQ288" s="4"/>
      <c r="BR288" s="8"/>
      <c r="BS288" s="7"/>
      <c r="BT288" s="7"/>
      <c r="BU288" s="2" t="s">
        <v>109</v>
      </c>
      <c r="BV288" s="2" t="s">
        <v>97</v>
      </c>
      <c r="BW288" s="2" t="s">
        <v>1133</v>
      </c>
      <c r="BX288" s="2" t="s">
        <v>1209</v>
      </c>
      <c r="BY288" s="2" t="s">
        <v>112</v>
      </c>
      <c r="BZ288" s="2" t="s">
        <v>100</v>
      </c>
    </row>
    <row r="289">
      <c r="A289" s="2" t="s">
        <v>1210</v>
      </c>
      <c r="B289" s="2" t="s">
        <v>87</v>
      </c>
      <c r="C289" s="2" t="s">
        <v>785</v>
      </c>
      <c r="D289" s="2" t="s">
        <v>89</v>
      </c>
      <c r="E289" s="2" t="s">
        <v>786</v>
      </c>
      <c r="F289" s="2" t="s">
        <v>1198</v>
      </c>
      <c r="G289" s="2" t="s">
        <v>1199</v>
      </c>
      <c r="H289" s="2" t="s">
        <v>1200</v>
      </c>
      <c r="I289" s="2" t="s">
        <v>1201</v>
      </c>
      <c r="J289" s="2" t="s">
        <v>563</v>
      </c>
      <c r="K289" s="2" t="s">
        <v>216</v>
      </c>
      <c r="L289" s="3">
        <v>26.19</v>
      </c>
      <c r="M289" s="3">
        <v>27.5</v>
      </c>
      <c r="N289" s="3">
        <v>54.99</v>
      </c>
      <c r="O289" s="2" t="s">
        <v>97</v>
      </c>
      <c r="P289" s="2" t="s">
        <v>483</v>
      </c>
      <c r="Q289" s="2" t="s">
        <v>99</v>
      </c>
      <c r="R289" s="2" t="s">
        <v>100</v>
      </c>
      <c r="S289" s="2" t="s">
        <v>1202</v>
      </c>
      <c r="T289" s="2" t="s">
        <v>231</v>
      </c>
      <c r="U289" s="2" t="s">
        <v>432</v>
      </c>
      <c r="V289" s="2" t="s">
        <v>1203</v>
      </c>
      <c r="W289" s="2" t="s">
        <v>636</v>
      </c>
      <c r="X289" s="2" t="s">
        <v>428</v>
      </c>
      <c r="Y289" s="2" t="s">
        <v>1136</v>
      </c>
      <c r="Z289" s="4">
        <v>1206</v>
      </c>
      <c r="AA289" s="4">
        <f>=ROUNDDOWN(301.5,0)</f>
      </c>
      <c r="AB289" s="5">
        <v>4</v>
      </c>
      <c r="AC289" s="2" t="s">
        <v>100</v>
      </c>
      <c r="AD289" s="4"/>
      <c r="AE289" s="4"/>
      <c r="AF289" s="6">
        <v>63</v>
      </c>
      <c r="AG289" s="6">
        <v>46</v>
      </c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100</v>
      </c>
      <c r="AW289" s="8" t="s">
        <v>100</v>
      </c>
      <c r="AX289" s="4" t="s">
        <v>100</v>
      </c>
      <c r="AY289" s="8" t="s">
        <v>100</v>
      </c>
      <c r="AZ289" s="7" t="s">
        <v>100</v>
      </c>
      <c r="BA289" s="7" t="s">
        <v>100</v>
      </c>
      <c r="BB289" s="7"/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 t="s">
        <v>100</v>
      </c>
      <c r="BJ289" s="4">
        <v>17</v>
      </c>
      <c r="BK289" s="8">
        <v>424.49</v>
      </c>
      <c r="BL289" s="2" t="s">
        <v>1211</v>
      </c>
      <c r="BM289" s="7"/>
      <c r="BN289" s="7"/>
      <c r="BO289" s="4"/>
      <c r="BP289" s="8"/>
      <c r="BQ289" s="4"/>
      <c r="BR289" s="8"/>
      <c r="BS289" s="7"/>
      <c r="BT289" s="7"/>
      <c r="BU289" s="2" t="s">
        <v>109</v>
      </c>
      <c r="BV289" s="2" t="s">
        <v>97</v>
      </c>
      <c r="BW289" s="2" t="s">
        <v>1133</v>
      </c>
      <c r="BX289" s="2" t="s">
        <v>1212</v>
      </c>
      <c r="BY289" s="2" t="s">
        <v>112</v>
      </c>
      <c r="BZ289" s="2" t="s">
        <v>100</v>
      </c>
    </row>
    <row r="290">
      <c r="A290" s="2" t="s">
        <v>1213</v>
      </c>
      <c r="B290" s="2" t="s">
        <v>87</v>
      </c>
      <c r="C290" s="2" t="s">
        <v>785</v>
      </c>
      <c r="D290" s="2" t="s">
        <v>89</v>
      </c>
      <c r="E290" s="2" t="s">
        <v>786</v>
      </c>
      <c r="F290" s="2" t="s">
        <v>1198</v>
      </c>
      <c r="G290" s="2" t="s">
        <v>1199</v>
      </c>
      <c r="H290" s="2" t="s">
        <v>1200</v>
      </c>
      <c r="I290" s="2" t="s">
        <v>1201</v>
      </c>
      <c r="J290" s="2" t="s">
        <v>791</v>
      </c>
      <c r="K290" s="2" t="s">
        <v>276</v>
      </c>
      <c r="L290" s="3">
        <v>19.04</v>
      </c>
      <c r="M290" s="3">
        <v>19.99</v>
      </c>
      <c r="N290" s="3">
        <v>39.99</v>
      </c>
      <c r="O290" s="2" t="s">
        <v>97</v>
      </c>
      <c r="P290" s="2" t="s">
        <v>483</v>
      </c>
      <c r="Q290" s="2" t="s">
        <v>99</v>
      </c>
      <c r="R290" s="2" t="s">
        <v>100</v>
      </c>
      <c r="S290" s="2" t="s">
        <v>1214</v>
      </c>
      <c r="T290" s="2" t="s">
        <v>231</v>
      </c>
      <c r="U290" s="2" t="s">
        <v>426</v>
      </c>
      <c r="V290" s="2" t="s">
        <v>1203</v>
      </c>
      <c r="W290" s="2" t="s">
        <v>636</v>
      </c>
      <c r="X290" s="2" t="s">
        <v>428</v>
      </c>
      <c r="Y290" s="2" t="s">
        <v>1204</v>
      </c>
      <c r="Z290" s="4">
        <v>542</v>
      </c>
      <c r="AA290" s="4">
        <f>=ROUNDDOWN(135.5,0)</f>
      </c>
      <c r="AB290" s="5">
        <v>4</v>
      </c>
      <c r="AC290" s="2" t="s">
        <v>100</v>
      </c>
      <c r="AD290" s="4"/>
      <c r="AE290" s="4"/>
      <c r="AF290" s="6">
        <v>63</v>
      </c>
      <c r="AG290" s="6">
        <v>46</v>
      </c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>
        <v>3</v>
      </c>
      <c r="AW290" s="8">
        <v>72.78</v>
      </c>
      <c r="AX290" s="4" t="s">
        <v>100</v>
      </c>
      <c r="AY290" s="8" t="s">
        <v>100</v>
      </c>
      <c r="AZ290" s="7" t="s">
        <v>100</v>
      </c>
      <c r="BA290" s="7" t="s">
        <v>100</v>
      </c>
      <c r="BB290" s="7"/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>
        <v>0.2933</v>
      </c>
      <c r="BJ290" s="4">
        <v>4</v>
      </c>
      <c r="BK290" s="8">
        <v>70.4</v>
      </c>
      <c r="BL290" s="2" t="s">
        <v>1215</v>
      </c>
      <c r="BM290" s="7"/>
      <c r="BN290" s="7"/>
      <c r="BO290" s="4"/>
      <c r="BP290" s="8"/>
      <c r="BQ290" s="4"/>
      <c r="BR290" s="8"/>
      <c r="BS290" s="7"/>
      <c r="BT290" s="7"/>
      <c r="BU290" s="2" t="s">
        <v>109</v>
      </c>
      <c r="BV290" s="2" t="s">
        <v>97</v>
      </c>
      <c r="BW290" s="2" t="s">
        <v>1216</v>
      </c>
      <c r="BX290" s="2" t="s">
        <v>1148</v>
      </c>
      <c r="BY290" s="2" t="s">
        <v>112</v>
      </c>
      <c r="BZ290" s="2" t="s">
        <v>100</v>
      </c>
    </row>
    <row r="291">
      <c r="A291" s="2" t="s">
        <v>1217</v>
      </c>
      <c r="B291" s="2" t="s">
        <v>87</v>
      </c>
      <c r="C291" s="2" t="s">
        <v>785</v>
      </c>
      <c r="D291" s="2" t="s">
        <v>89</v>
      </c>
      <c r="E291" s="2" t="s">
        <v>786</v>
      </c>
      <c r="F291" s="2" t="s">
        <v>1198</v>
      </c>
      <c r="G291" s="2" t="s">
        <v>1199</v>
      </c>
      <c r="H291" s="2" t="s">
        <v>1200</v>
      </c>
      <c r="I291" s="2" t="s">
        <v>1201</v>
      </c>
      <c r="J291" s="2" t="s">
        <v>558</v>
      </c>
      <c r="K291" s="2" t="s">
        <v>276</v>
      </c>
      <c r="L291" s="3">
        <v>23.8</v>
      </c>
      <c r="M291" s="3">
        <v>24.99</v>
      </c>
      <c r="N291" s="3">
        <v>49.99</v>
      </c>
      <c r="O291" s="2" t="s">
        <v>97</v>
      </c>
      <c r="P291" s="2" t="s">
        <v>483</v>
      </c>
      <c r="Q291" s="2" t="s">
        <v>99</v>
      </c>
      <c r="R291" s="2" t="s">
        <v>100</v>
      </c>
      <c r="S291" s="2" t="s">
        <v>1214</v>
      </c>
      <c r="T291" s="2" t="s">
        <v>231</v>
      </c>
      <c r="U291" s="2" t="s">
        <v>432</v>
      </c>
      <c r="V291" s="2" t="s">
        <v>1203</v>
      </c>
      <c r="W291" s="2" t="s">
        <v>636</v>
      </c>
      <c r="X291" s="2" t="s">
        <v>428</v>
      </c>
      <c r="Y291" s="2" t="s">
        <v>1204</v>
      </c>
      <c r="Z291" s="4">
        <v>2039</v>
      </c>
      <c r="AA291" s="4">
        <f>=ROUNDDOWN(226.555555555556,0)</f>
      </c>
      <c r="AB291" s="5">
        <v>9</v>
      </c>
      <c r="AC291" s="2" t="s">
        <v>100</v>
      </c>
      <c r="AD291" s="4"/>
      <c r="AE291" s="4"/>
      <c r="AF291" s="6">
        <v>63</v>
      </c>
      <c r="AG291" s="6">
        <v>46</v>
      </c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/>
      <c r="AP291" s="4">
        <v>3</v>
      </c>
      <c r="AQ291" s="8">
        <v>72.78</v>
      </c>
      <c r="AR291" s="4"/>
      <c r="AS291" s="8"/>
      <c r="AT291" s="7"/>
      <c r="AU291" s="7"/>
      <c r="AV291" s="4" t="s">
        <v>100</v>
      </c>
      <c r="AW291" s="8" t="s">
        <v>100</v>
      </c>
      <c r="AX291" s="4" t="s">
        <v>100</v>
      </c>
      <c r="AY291" s="8" t="s">
        <v>100</v>
      </c>
      <c r="AZ291" s="7" t="s">
        <v>100</v>
      </c>
      <c r="BA291" s="7" t="s">
        <v>100</v>
      </c>
      <c r="BB291" s="7">
        <v>1</v>
      </c>
      <c r="BC291" s="4" t="s">
        <v>100</v>
      </c>
      <c r="BD291" s="8" t="s">
        <v>100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 t="s">
        <v>100</v>
      </c>
      <c r="BJ291" s="4">
        <v>32</v>
      </c>
      <c r="BK291" s="8">
        <v>773.1</v>
      </c>
      <c r="BL291" s="2" t="s">
        <v>1123</v>
      </c>
      <c r="BM291" s="7">
        <v>0.0938</v>
      </c>
      <c r="BN291" s="7">
        <v>0.0941</v>
      </c>
      <c r="BO291" s="4">
        <v>3</v>
      </c>
      <c r="BP291" s="8">
        <v>72.78</v>
      </c>
      <c r="BQ291" s="4"/>
      <c r="BR291" s="8"/>
      <c r="BS291" s="7"/>
      <c r="BT291" s="7"/>
      <c r="BU291" s="2" t="s">
        <v>109</v>
      </c>
      <c r="BV291" s="2" t="s">
        <v>97</v>
      </c>
      <c r="BW291" s="2" t="s">
        <v>1216</v>
      </c>
      <c r="BX291" s="2" t="s">
        <v>1133</v>
      </c>
      <c r="BY291" s="2" t="s">
        <v>112</v>
      </c>
      <c r="BZ291" s="2" t="s">
        <v>100</v>
      </c>
    </row>
    <row r="292">
      <c r="A292" s="2" t="s">
        <v>1218</v>
      </c>
      <c r="B292" s="2" t="s">
        <v>87</v>
      </c>
      <c r="C292" s="2" t="s">
        <v>785</v>
      </c>
      <c r="D292" s="2" t="s">
        <v>89</v>
      </c>
      <c r="E292" s="2" t="s">
        <v>786</v>
      </c>
      <c r="F292" s="2" t="s">
        <v>1198</v>
      </c>
      <c r="G292" s="2" t="s">
        <v>1199</v>
      </c>
      <c r="H292" s="2" t="s">
        <v>1200</v>
      </c>
      <c r="I292" s="2" t="s">
        <v>1201</v>
      </c>
      <c r="J292" s="2" t="s">
        <v>563</v>
      </c>
      <c r="K292" s="2" t="s">
        <v>276</v>
      </c>
      <c r="L292" s="3">
        <v>26.19</v>
      </c>
      <c r="M292" s="3">
        <v>27.5</v>
      </c>
      <c r="N292" s="3">
        <v>54.99</v>
      </c>
      <c r="O292" s="2" t="s">
        <v>97</v>
      </c>
      <c r="P292" s="2" t="s">
        <v>483</v>
      </c>
      <c r="Q292" s="2" t="s">
        <v>99</v>
      </c>
      <c r="R292" s="2" t="s">
        <v>100</v>
      </c>
      <c r="S292" s="2" t="s">
        <v>1214</v>
      </c>
      <c r="T292" s="2" t="s">
        <v>231</v>
      </c>
      <c r="U292" s="2" t="s">
        <v>432</v>
      </c>
      <c r="V292" s="2" t="s">
        <v>1203</v>
      </c>
      <c r="W292" s="2" t="s">
        <v>636</v>
      </c>
      <c r="X292" s="2" t="s">
        <v>428</v>
      </c>
      <c r="Y292" s="2" t="s">
        <v>1138</v>
      </c>
      <c r="Z292" s="4">
        <v>1761</v>
      </c>
      <c r="AA292" s="4">
        <f>=ROUNDDOWN(391.333333333333,0)</f>
      </c>
      <c r="AB292" s="5">
        <v>4.5</v>
      </c>
      <c r="AC292" s="2" t="s">
        <v>100</v>
      </c>
      <c r="AD292" s="4"/>
      <c r="AE292" s="4"/>
      <c r="AF292" s="6">
        <v>63</v>
      </c>
      <c r="AG292" s="6">
        <v>46</v>
      </c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100</v>
      </c>
      <c r="AW292" s="8" t="s">
        <v>100</v>
      </c>
      <c r="AX292" s="4" t="s">
        <v>100</v>
      </c>
      <c r="AY292" s="8" t="s">
        <v>100</v>
      </c>
      <c r="AZ292" s="7" t="s">
        <v>100</v>
      </c>
      <c r="BA292" s="7" t="s">
        <v>100</v>
      </c>
      <c r="BB292" s="7"/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 t="s">
        <v>100</v>
      </c>
      <c r="BJ292" s="4">
        <v>23</v>
      </c>
      <c r="BK292" s="8">
        <v>574.94</v>
      </c>
      <c r="BL292" s="2" t="s">
        <v>1211</v>
      </c>
      <c r="BM292" s="7"/>
      <c r="BN292" s="7"/>
      <c r="BO292" s="4"/>
      <c r="BP292" s="8"/>
      <c r="BQ292" s="4"/>
      <c r="BR292" s="8"/>
      <c r="BS292" s="7"/>
      <c r="BT292" s="7"/>
      <c r="BU292" s="2" t="s">
        <v>109</v>
      </c>
      <c r="BV292" s="2" t="s">
        <v>97</v>
      </c>
      <c r="BW292" s="2" t="s">
        <v>1216</v>
      </c>
      <c r="BX292" s="2" t="s">
        <v>1209</v>
      </c>
      <c r="BY292" s="2" t="s">
        <v>112</v>
      </c>
      <c r="BZ292" s="2" t="s">
        <v>100</v>
      </c>
    </row>
    <row r="293">
      <c r="A293" s="2" t="s">
        <v>1219</v>
      </c>
      <c r="B293" s="2" t="s">
        <v>87</v>
      </c>
      <c r="C293" s="2" t="s">
        <v>785</v>
      </c>
      <c r="D293" s="2" t="s">
        <v>89</v>
      </c>
      <c r="E293" s="2" t="s">
        <v>786</v>
      </c>
      <c r="F293" s="2" t="s">
        <v>1198</v>
      </c>
      <c r="G293" s="2" t="s">
        <v>1199</v>
      </c>
      <c r="H293" s="2" t="s">
        <v>1200</v>
      </c>
      <c r="I293" s="2" t="s">
        <v>1201</v>
      </c>
      <c r="J293" s="2" t="s">
        <v>791</v>
      </c>
      <c r="K293" s="2" t="s">
        <v>1220</v>
      </c>
      <c r="L293" s="3">
        <v>19.04</v>
      </c>
      <c r="M293" s="3">
        <v>19.99</v>
      </c>
      <c r="N293" s="3">
        <v>39.99</v>
      </c>
      <c r="O293" s="2" t="s">
        <v>97</v>
      </c>
      <c r="P293" s="2" t="s">
        <v>483</v>
      </c>
      <c r="Q293" s="2" t="s">
        <v>99</v>
      </c>
      <c r="R293" s="2" t="s">
        <v>100</v>
      </c>
      <c r="S293" s="2" t="s">
        <v>1221</v>
      </c>
      <c r="T293" s="2" t="s">
        <v>231</v>
      </c>
      <c r="U293" s="2" t="s">
        <v>426</v>
      </c>
      <c r="V293" s="2" t="s">
        <v>1203</v>
      </c>
      <c r="W293" s="2" t="s">
        <v>636</v>
      </c>
      <c r="X293" s="2" t="s">
        <v>428</v>
      </c>
      <c r="Y293" s="2" t="s">
        <v>1138</v>
      </c>
      <c r="Z293" s="4">
        <v>513</v>
      </c>
      <c r="AA293" s="4">
        <f>=ROUNDDOWN(256.5,0)</f>
      </c>
      <c r="AB293" s="5">
        <v>2</v>
      </c>
      <c r="AC293" s="2" t="s">
        <v>100</v>
      </c>
      <c r="AD293" s="4"/>
      <c r="AE293" s="4"/>
      <c r="AF293" s="6">
        <v>63</v>
      </c>
      <c r="AG293" s="6">
        <v>46</v>
      </c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>
        <v>2</v>
      </c>
      <c r="AW293" s="8">
        <v>56.69</v>
      </c>
      <c r="AX293" s="4" t="s">
        <v>100</v>
      </c>
      <c r="AY293" s="8" t="s">
        <v>100</v>
      </c>
      <c r="AZ293" s="7" t="s">
        <v>100</v>
      </c>
      <c r="BA293" s="7" t="s">
        <v>100</v>
      </c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>
        <v>0.2285</v>
      </c>
      <c r="BJ293" s="4">
        <v>2</v>
      </c>
      <c r="BK293" s="8">
        <v>37.38</v>
      </c>
      <c r="BL293" s="2" t="s">
        <v>1222</v>
      </c>
      <c r="BM293" s="7"/>
      <c r="BN293" s="7"/>
      <c r="BO293" s="4"/>
      <c r="BP293" s="8"/>
      <c r="BQ293" s="4"/>
      <c r="BR293" s="8"/>
      <c r="BS293" s="7"/>
      <c r="BT293" s="7"/>
      <c r="BU293" s="2" t="s">
        <v>109</v>
      </c>
      <c r="BV293" s="2" t="s">
        <v>97</v>
      </c>
      <c r="BW293" s="2" t="s">
        <v>1133</v>
      </c>
      <c r="BX293" s="2" t="s">
        <v>1223</v>
      </c>
      <c r="BY293" s="2" t="s">
        <v>112</v>
      </c>
      <c r="BZ293" s="2" t="s">
        <v>100</v>
      </c>
    </row>
    <row r="294">
      <c r="A294" s="2" t="s">
        <v>1224</v>
      </c>
      <c r="B294" s="2" t="s">
        <v>87</v>
      </c>
      <c r="C294" s="2" t="s">
        <v>785</v>
      </c>
      <c r="D294" s="2" t="s">
        <v>89</v>
      </c>
      <c r="E294" s="2" t="s">
        <v>786</v>
      </c>
      <c r="F294" s="2" t="s">
        <v>1198</v>
      </c>
      <c r="G294" s="2" t="s">
        <v>1199</v>
      </c>
      <c r="H294" s="2" t="s">
        <v>1200</v>
      </c>
      <c r="I294" s="2" t="s">
        <v>1201</v>
      </c>
      <c r="J294" s="2" t="s">
        <v>558</v>
      </c>
      <c r="K294" s="2" t="s">
        <v>1220</v>
      </c>
      <c r="L294" s="3">
        <v>23.8</v>
      </c>
      <c r="M294" s="3">
        <v>24.99</v>
      </c>
      <c r="N294" s="3">
        <v>49.99</v>
      </c>
      <c r="O294" s="2" t="s">
        <v>97</v>
      </c>
      <c r="P294" s="2" t="s">
        <v>483</v>
      </c>
      <c r="Q294" s="2" t="s">
        <v>99</v>
      </c>
      <c r="R294" s="2" t="s">
        <v>100</v>
      </c>
      <c r="S294" s="2" t="s">
        <v>1221</v>
      </c>
      <c r="T294" s="2" t="s">
        <v>231</v>
      </c>
      <c r="U294" s="2" t="s">
        <v>432</v>
      </c>
      <c r="V294" s="2" t="s">
        <v>1203</v>
      </c>
      <c r="W294" s="2" t="s">
        <v>636</v>
      </c>
      <c r="X294" s="2" t="s">
        <v>428</v>
      </c>
      <c r="Y294" s="2" t="s">
        <v>1136</v>
      </c>
      <c r="Z294" s="4">
        <v>1498</v>
      </c>
      <c r="AA294" s="4">
        <f>=ROUNDDOWN(404.864864864865,0)</f>
      </c>
      <c r="AB294" s="5">
        <v>3.7</v>
      </c>
      <c r="AC294" s="2" t="s">
        <v>100</v>
      </c>
      <c r="AD294" s="4"/>
      <c r="AE294" s="4"/>
      <c r="AF294" s="6">
        <v>63</v>
      </c>
      <c r="AG294" s="6">
        <v>46</v>
      </c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/>
      <c r="AP294" s="4">
        <v>1</v>
      </c>
      <c r="AQ294" s="8">
        <v>26.99</v>
      </c>
      <c r="AR294" s="4"/>
      <c r="AS294" s="8"/>
      <c r="AT294" s="7"/>
      <c r="AU294" s="7"/>
      <c r="AV294" s="4" t="s">
        <v>100</v>
      </c>
      <c r="AW294" s="8" t="s">
        <v>100</v>
      </c>
      <c r="AX294" s="4" t="s">
        <v>100</v>
      </c>
      <c r="AY294" s="8" t="s">
        <v>100</v>
      </c>
      <c r="AZ294" s="7" t="s">
        <v>100</v>
      </c>
      <c r="BA294" s="7" t="s">
        <v>100</v>
      </c>
      <c r="BB294" s="7">
        <v>0.4761</v>
      </c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 t="s">
        <v>100</v>
      </c>
      <c r="BJ294" s="4">
        <v>12</v>
      </c>
      <c r="BK294" s="8">
        <v>295.74</v>
      </c>
      <c r="BL294" s="2" t="s">
        <v>1225</v>
      </c>
      <c r="BM294" s="7">
        <v>0.0833</v>
      </c>
      <c r="BN294" s="7">
        <v>0.0913</v>
      </c>
      <c r="BO294" s="4">
        <v>1</v>
      </c>
      <c r="BP294" s="8">
        <v>26.99</v>
      </c>
      <c r="BQ294" s="4"/>
      <c r="BR294" s="8"/>
      <c r="BS294" s="7"/>
      <c r="BT294" s="7"/>
      <c r="BU294" s="2" t="s">
        <v>109</v>
      </c>
      <c r="BV294" s="2" t="s">
        <v>97</v>
      </c>
      <c r="BW294" s="2" t="s">
        <v>1133</v>
      </c>
      <c r="BX294" s="2" t="s">
        <v>1226</v>
      </c>
      <c r="BY294" s="2" t="s">
        <v>112</v>
      </c>
      <c r="BZ294" s="2" t="s">
        <v>100</v>
      </c>
    </row>
    <row r="295">
      <c r="A295" s="2" t="s">
        <v>1227</v>
      </c>
      <c r="B295" s="2" t="s">
        <v>87</v>
      </c>
      <c r="C295" s="2" t="s">
        <v>785</v>
      </c>
      <c r="D295" s="2" t="s">
        <v>89</v>
      </c>
      <c r="E295" s="2" t="s">
        <v>786</v>
      </c>
      <c r="F295" s="2" t="s">
        <v>1198</v>
      </c>
      <c r="G295" s="2" t="s">
        <v>1199</v>
      </c>
      <c r="H295" s="2" t="s">
        <v>1200</v>
      </c>
      <c r="I295" s="2" t="s">
        <v>1201</v>
      </c>
      <c r="J295" s="2" t="s">
        <v>563</v>
      </c>
      <c r="K295" s="2" t="s">
        <v>1220</v>
      </c>
      <c r="L295" s="3">
        <v>26.19</v>
      </c>
      <c r="M295" s="3">
        <v>27.5</v>
      </c>
      <c r="N295" s="3">
        <v>54.99</v>
      </c>
      <c r="O295" s="2" t="s">
        <v>97</v>
      </c>
      <c r="P295" s="2" t="s">
        <v>483</v>
      </c>
      <c r="Q295" s="2" t="s">
        <v>99</v>
      </c>
      <c r="R295" s="2" t="s">
        <v>100</v>
      </c>
      <c r="S295" s="2" t="s">
        <v>1221</v>
      </c>
      <c r="T295" s="2" t="s">
        <v>231</v>
      </c>
      <c r="U295" s="2" t="s">
        <v>432</v>
      </c>
      <c r="V295" s="2" t="s">
        <v>1203</v>
      </c>
      <c r="W295" s="2" t="s">
        <v>636</v>
      </c>
      <c r="X295" s="2" t="s">
        <v>428</v>
      </c>
      <c r="Y295" s="2" t="s">
        <v>1136</v>
      </c>
      <c r="Z295" s="4">
        <v>1235</v>
      </c>
      <c r="AA295" s="4">
        <f>=ROUNDDOWN(650,0)</f>
      </c>
      <c r="AB295" s="5">
        <v>1.9</v>
      </c>
      <c r="AC295" s="2" t="s">
        <v>100</v>
      </c>
      <c r="AD295" s="4"/>
      <c r="AE295" s="4"/>
      <c r="AF295" s="6">
        <v>63</v>
      </c>
      <c r="AG295" s="6">
        <v>46</v>
      </c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/>
      <c r="AP295" s="4">
        <v>1</v>
      </c>
      <c r="AQ295" s="8">
        <v>29.7</v>
      </c>
      <c r="AR295" s="4"/>
      <c r="AS295" s="8"/>
      <c r="AT295" s="7"/>
      <c r="AU295" s="7"/>
      <c r="AV295" s="4" t="s">
        <v>100</v>
      </c>
      <c r="AW295" s="8" t="s">
        <v>100</v>
      </c>
      <c r="AX295" s="4" t="s">
        <v>100</v>
      </c>
      <c r="AY295" s="8" t="s">
        <v>100</v>
      </c>
      <c r="AZ295" s="7" t="s">
        <v>100</v>
      </c>
      <c r="BA295" s="7" t="s">
        <v>100</v>
      </c>
      <c r="BB295" s="7">
        <v>0.5239</v>
      </c>
      <c r="BC295" s="4" t="s">
        <v>100</v>
      </c>
      <c r="BD295" s="8" t="s">
        <v>100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 t="s">
        <v>100</v>
      </c>
      <c r="BJ295" s="4">
        <v>4</v>
      </c>
      <c r="BK295" s="8">
        <v>150.79</v>
      </c>
      <c r="BL295" s="2" t="s">
        <v>1228</v>
      </c>
      <c r="BM295" s="7">
        <v>0.25</v>
      </c>
      <c r="BN295" s="7">
        <v>0.197</v>
      </c>
      <c r="BO295" s="4">
        <v>1</v>
      </c>
      <c r="BP295" s="8">
        <v>29.7</v>
      </c>
      <c r="BQ295" s="4"/>
      <c r="BR295" s="8"/>
      <c r="BS295" s="7"/>
      <c r="BT295" s="7"/>
      <c r="BU295" s="2" t="s">
        <v>109</v>
      </c>
      <c r="BV295" s="2" t="s">
        <v>97</v>
      </c>
      <c r="BW295" s="2" t="s">
        <v>1133</v>
      </c>
      <c r="BX295" s="2" t="s">
        <v>993</v>
      </c>
      <c r="BY295" s="2" t="s">
        <v>112</v>
      </c>
      <c r="BZ295" s="2" t="s">
        <v>100</v>
      </c>
    </row>
    <row r="296">
      <c r="A296" s="2" t="s">
        <v>1229</v>
      </c>
      <c r="B296" s="2" t="s">
        <v>87</v>
      </c>
      <c r="C296" s="2" t="s">
        <v>785</v>
      </c>
      <c r="D296" s="2" t="s">
        <v>89</v>
      </c>
      <c r="E296" s="2" t="s">
        <v>786</v>
      </c>
      <c r="F296" s="2" t="s">
        <v>1230</v>
      </c>
      <c r="G296" s="2" t="s">
        <v>1231</v>
      </c>
      <c r="H296" s="2" t="s">
        <v>1232</v>
      </c>
      <c r="I296" s="2" t="s">
        <v>1233</v>
      </c>
      <c r="J296" s="2" t="s">
        <v>791</v>
      </c>
      <c r="K296" s="2" t="s">
        <v>1177</v>
      </c>
      <c r="L296" s="3">
        <v>19.04</v>
      </c>
      <c r="M296" s="3">
        <v>19.99</v>
      </c>
      <c r="N296" s="3">
        <v>39.99</v>
      </c>
      <c r="O296" s="2" t="s">
        <v>97</v>
      </c>
      <c r="P296" s="2" t="s">
        <v>576</v>
      </c>
      <c r="Q296" s="2" t="s">
        <v>99</v>
      </c>
      <c r="R296" s="2" t="s">
        <v>100</v>
      </c>
      <c r="S296" s="2" t="s">
        <v>1234</v>
      </c>
      <c r="T296" s="2" t="s">
        <v>231</v>
      </c>
      <c r="U296" s="2" t="s">
        <v>426</v>
      </c>
      <c r="V296" s="2" t="s">
        <v>103</v>
      </c>
      <c r="W296" s="2" t="s">
        <v>636</v>
      </c>
      <c r="X296" s="2" t="s">
        <v>428</v>
      </c>
      <c r="Y296" s="2" t="s">
        <v>1180</v>
      </c>
      <c r="Z296" s="4">
        <v>532</v>
      </c>
      <c r="AA296" s="4">
        <f>=ROUNDDOWN(24.1818181818182,0)</f>
      </c>
      <c r="AB296" s="5">
        <v>22</v>
      </c>
      <c r="AC296" s="2" t="s">
        <v>1235</v>
      </c>
      <c r="AD296" s="4">
        <v>240</v>
      </c>
      <c r="AE296" s="4">
        <v>540</v>
      </c>
      <c r="AF296" s="6">
        <v>63</v>
      </c>
      <c r="AG296" s="6">
        <v>46</v>
      </c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>
        <v>2</v>
      </c>
      <c r="AW296" s="8">
        <v>53.98</v>
      </c>
      <c r="AX296" s="4" t="s">
        <v>100</v>
      </c>
      <c r="AY296" s="8" t="s">
        <v>100</v>
      </c>
      <c r="AZ296" s="7" t="s">
        <v>100</v>
      </c>
      <c r="BA296" s="7" t="s">
        <v>100</v>
      </c>
      <c r="BB296" s="7"/>
      <c r="BC296" s="4">
        <v>3</v>
      </c>
      <c r="BD296" s="8">
        <v>83.68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>
        <v>0.6451</v>
      </c>
      <c r="BJ296" s="4">
        <v>43</v>
      </c>
      <c r="BK296" s="8">
        <v>779.87</v>
      </c>
      <c r="BL296" s="2" t="s">
        <v>1236</v>
      </c>
      <c r="BM296" s="7"/>
      <c r="BN296" s="7"/>
      <c r="BO296" s="4"/>
      <c r="BP296" s="8"/>
      <c r="BQ296" s="4"/>
      <c r="BR296" s="8"/>
      <c r="BS296" s="7"/>
      <c r="BT296" s="7"/>
      <c r="BU296" s="2" t="s">
        <v>109</v>
      </c>
      <c r="BV296" s="2" t="s">
        <v>97</v>
      </c>
      <c r="BW296" s="2" t="s">
        <v>1237</v>
      </c>
      <c r="BX296" s="2" t="s">
        <v>890</v>
      </c>
      <c r="BY296" s="2" t="s">
        <v>112</v>
      </c>
      <c r="BZ296" s="2" t="s">
        <v>100</v>
      </c>
    </row>
    <row r="297">
      <c r="A297" s="2" t="s">
        <v>1238</v>
      </c>
      <c r="B297" s="2" t="s">
        <v>87</v>
      </c>
      <c r="C297" s="2" t="s">
        <v>785</v>
      </c>
      <c r="D297" s="2" t="s">
        <v>89</v>
      </c>
      <c r="E297" s="2" t="s">
        <v>786</v>
      </c>
      <c r="F297" s="2" t="s">
        <v>1230</v>
      </c>
      <c r="G297" s="2" t="s">
        <v>1231</v>
      </c>
      <c r="H297" s="2" t="s">
        <v>1232</v>
      </c>
      <c r="I297" s="2" t="s">
        <v>1233</v>
      </c>
      <c r="J297" s="2" t="s">
        <v>558</v>
      </c>
      <c r="K297" s="2" t="s">
        <v>1177</v>
      </c>
      <c r="L297" s="3">
        <v>23.8</v>
      </c>
      <c r="M297" s="3">
        <v>24.99</v>
      </c>
      <c r="N297" s="3">
        <v>49.99</v>
      </c>
      <c r="O297" s="2" t="s">
        <v>97</v>
      </c>
      <c r="P297" s="2" t="s">
        <v>576</v>
      </c>
      <c r="Q297" s="2" t="s">
        <v>99</v>
      </c>
      <c r="R297" s="2" t="s">
        <v>100</v>
      </c>
      <c r="S297" s="2" t="s">
        <v>1234</v>
      </c>
      <c r="T297" s="2" t="s">
        <v>231</v>
      </c>
      <c r="U297" s="2" t="s">
        <v>432</v>
      </c>
      <c r="V297" s="2" t="s">
        <v>103</v>
      </c>
      <c r="W297" s="2" t="s">
        <v>636</v>
      </c>
      <c r="X297" s="2" t="s">
        <v>428</v>
      </c>
      <c r="Y297" s="2" t="s">
        <v>1180</v>
      </c>
      <c r="Z297" s="4">
        <v>971</v>
      </c>
      <c r="AA297" s="4">
        <f>=ROUNDDOWN(44.1363636363636,0)</f>
      </c>
      <c r="AB297" s="5">
        <v>22</v>
      </c>
      <c r="AC297" s="2" t="s">
        <v>1235</v>
      </c>
      <c r="AD297" s="4">
        <v>300</v>
      </c>
      <c r="AE297" s="4">
        <v>300</v>
      </c>
      <c r="AF297" s="6">
        <v>63</v>
      </c>
      <c r="AG297" s="6">
        <v>46</v>
      </c>
      <c r="AH297" s="7">
        <v>1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/>
      <c r="AP297" s="4">
        <v>2</v>
      </c>
      <c r="AQ297" s="8">
        <v>53.98</v>
      </c>
      <c r="AR297" s="4"/>
      <c r="AS297" s="8"/>
      <c r="AT297" s="7"/>
      <c r="AU297" s="7"/>
      <c r="AV297" s="4" t="s">
        <v>100</v>
      </c>
      <c r="AW297" s="8" t="s">
        <v>100</v>
      </c>
      <c r="AX297" s="4" t="s">
        <v>100</v>
      </c>
      <c r="AY297" s="8" t="s">
        <v>100</v>
      </c>
      <c r="AZ297" s="7" t="s">
        <v>100</v>
      </c>
      <c r="BA297" s="7" t="s">
        <v>100</v>
      </c>
      <c r="BB297" s="7">
        <v>1</v>
      </c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 t="s">
        <v>100</v>
      </c>
      <c r="BJ297" s="4">
        <v>65</v>
      </c>
      <c r="BK297" s="8">
        <v>1461.74</v>
      </c>
      <c r="BL297" s="2" t="s">
        <v>1239</v>
      </c>
      <c r="BM297" s="7">
        <v>0.0308</v>
      </c>
      <c r="BN297" s="7">
        <v>0.0369</v>
      </c>
      <c r="BO297" s="4">
        <v>2</v>
      </c>
      <c r="BP297" s="8">
        <v>53.98</v>
      </c>
      <c r="BQ297" s="4"/>
      <c r="BR297" s="8"/>
      <c r="BS297" s="7"/>
      <c r="BT297" s="7"/>
      <c r="BU297" s="2" t="s">
        <v>109</v>
      </c>
      <c r="BV297" s="2" t="s">
        <v>97</v>
      </c>
      <c r="BW297" s="2" t="s">
        <v>1237</v>
      </c>
      <c r="BX297" s="2" t="s">
        <v>1240</v>
      </c>
      <c r="BY297" s="2" t="s">
        <v>112</v>
      </c>
      <c r="BZ297" s="2" t="s">
        <v>100</v>
      </c>
    </row>
    <row r="298">
      <c r="A298" s="2" t="s">
        <v>1241</v>
      </c>
      <c r="B298" s="2" t="s">
        <v>87</v>
      </c>
      <c r="C298" s="2" t="s">
        <v>785</v>
      </c>
      <c r="D298" s="2" t="s">
        <v>89</v>
      </c>
      <c r="E298" s="2" t="s">
        <v>786</v>
      </c>
      <c r="F298" s="2" t="s">
        <v>1230</v>
      </c>
      <c r="G298" s="2" t="s">
        <v>1231</v>
      </c>
      <c r="H298" s="2" t="s">
        <v>1232</v>
      </c>
      <c r="I298" s="2" t="s">
        <v>1233</v>
      </c>
      <c r="J298" s="2" t="s">
        <v>563</v>
      </c>
      <c r="K298" s="2" t="s">
        <v>1177</v>
      </c>
      <c r="L298" s="3">
        <v>26.19</v>
      </c>
      <c r="M298" s="3">
        <v>27.5</v>
      </c>
      <c r="N298" s="3">
        <v>54.99</v>
      </c>
      <c r="O298" s="2" t="s">
        <v>97</v>
      </c>
      <c r="P298" s="2" t="s">
        <v>576</v>
      </c>
      <c r="Q298" s="2" t="s">
        <v>99</v>
      </c>
      <c r="R298" s="2" t="s">
        <v>100</v>
      </c>
      <c r="S298" s="2" t="s">
        <v>1234</v>
      </c>
      <c r="T298" s="2" t="s">
        <v>231</v>
      </c>
      <c r="U298" s="2" t="s">
        <v>432</v>
      </c>
      <c r="V298" s="2" t="s">
        <v>103</v>
      </c>
      <c r="W298" s="2" t="s">
        <v>636</v>
      </c>
      <c r="X298" s="2" t="s">
        <v>428</v>
      </c>
      <c r="Y298" s="2" t="s">
        <v>1242</v>
      </c>
      <c r="Z298" s="4">
        <v>486</v>
      </c>
      <c r="AA298" s="4">
        <f>=ROUNDDOWN(44.1818181818182,0)</f>
      </c>
      <c r="AB298" s="5">
        <v>11</v>
      </c>
      <c r="AC298" s="2" t="s">
        <v>1235</v>
      </c>
      <c r="AD298" s="4">
        <v>150</v>
      </c>
      <c r="AE298" s="4">
        <v>150</v>
      </c>
      <c r="AF298" s="6">
        <v>63</v>
      </c>
      <c r="AG298" s="6">
        <v>46</v>
      </c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100</v>
      </c>
      <c r="AW298" s="8" t="s">
        <v>100</v>
      </c>
      <c r="AX298" s="4" t="s">
        <v>100</v>
      </c>
      <c r="AY298" s="8" t="s">
        <v>100</v>
      </c>
      <c r="AZ298" s="7" t="s">
        <v>100</v>
      </c>
      <c r="BA298" s="7" t="s">
        <v>100</v>
      </c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 t="s">
        <v>100</v>
      </c>
      <c r="BJ298" s="4">
        <v>26</v>
      </c>
      <c r="BK298" s="8">
        <v>590.19</v>
      </c>
      <c r="BL298" s="2" t="s">
        <v>1243</v>
      </c>
      <c r="BM298" s="7"/>
      <c r="BN298" s="7"/>
      <c r="BO298" s="4"/>
      <c r="BP298" s="8"/>
      <c r="BQ298" s="4"/>
      <c r="BR298" s="8"/>
      <c r="BS298" s="7"/>
      <c r="BT298" s="7"/>
      <c r="BU298" s="2" t="s">
        <v>109</v>
      </c>
      <c r="BV298" s="2" t="s">
        <v>97</v>
      </c>
      <c r="BW298" s="2" t="s">
        <v>1237</v>
      </c>
      <c r="BX298" s="2" t="s">
        <v>1244</v>
      </c>
      <c r="BY298" s="2" t="s">
        <v>112</v>
      </c>
      <c r="BZ298" s="2" t="s">
        <v>100</v>
      </c>
    </row>
    <row r="299">
      <c r="A299" s="2" t="s">
        <v>1245</v>
      </c>
      <c r="B299" s="2" t="s">
        <v>87</v>
      </c>
      <c r="C299" s="2" t="s">
        <v>785</v>
      </c>
      <c r="D299" s="2" t="s">
        <v>89</v>
      </c>
      <c r="E299" s="2" t="s">
        <v>786</v>
      </c>
      <c r="F299" s="2" t="s">
        <v>1230</v>
      </c>
      <c r="G299" s="2" t="s">
        <v>1231</v>
      </c>
      <c r="H299" s="2" t="s">
        <v>1232</v>
      </c>
      <c r="I299" s="2" t="s">
        <v>1233</v>
      </c>
      <c r="J299" s="2" t="s">
        <v>791</v>
      </c>
      <c r="K299" s="2" t="s">
        <v>1246</v>
      </c>
      <c r="L299" s="3">
        <v>19.04</v>
      </c>
      <c r="M299" s="3">
        <v>19.99</v>
      </c>
      <c r="N299" s="3">
        <v>39.99</v>
      </c>
      <c r="O299" s="2" t="s">
        <v>97</v>
      </c>
      <c r="P299" s="2" t="s">
        <v>126</v>
      </c>
      <c r="Q299" s="2" t="s">
        <v>99</v>
      </c>
      <c r="R299" s="2" t="s">
        <v>100</v>
      </c>
      <c r="S299" s="2" t="s">
        <v>1247</v>
      </c>
      <c r="T299" s="2" t="s">
        <v>231</v>
      </c>
      <c r="U299" s="2" t="s">
        <v>426</v>
      </c>
      <c r="V299" s="2" t="s">
        <v>103</v>
      </c>
      <c r="W299" s="2" t="s">
        <v>636</v>
      </c>
      <c r="X299" s="2" t="s">
        <v>428</v>
      </c>
      <c r="Y299" s="2" t="s">
        <v>1180</v>
      </c>
      <c r="Z299" s="4">
        <v>414</v>
      </c>
      <c r="AA299" s="4">
        <f>=ROUNDDOWN(69,0)</f>
      </c>
      <c r="AB299" s="5">
        <v>6</v>
      </c>
      <c r="AC299" s="2" t="s">
        <v>752</v>
      </c>
      <c r="AD299" s="4">
        <v>51</v>
      </c>
      <c r="AE299" s="4">
        <v>51</v>
      </c>
      <c r="AF299" s="6">
        <v>63</v>
      </c>
      <c r="AG299" s="6">
        <v>46</v>
      </c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>
        <v>1</v>
      </c>
      <c r="AW299" s="8">
        <v>29.7</v>
      </c>
      <c r="AX299" s="4" t="s">
        <v>100</v>
      </c>
      <c r="AY299" s="8" t="s">
        <v>100</v>
      </c>
      <c r="AZ299" s="7" t="s">
        <v>100</v>
      </c>
      <c r="BA299" s="7" t="s">
        <v>100</v>
      </c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>
        <v>0.3549</v>
      </c>
      <c r="BJ299" s="4">
        <v>16</v>
      </c>
      <c r="BK299" s="8">
        <v>288.54</v>
      </c>
      <c r="BL299" s="2" t="s">
        <v>1248</v>
      </c>
      <c r="BM299" s="7"/>
      <c r="BN299" s="7"/>
      <c r="BO299" s="4"/>
      <c r="BP299" s="8"/>
      <c r="BQ299" s="4"/>
      <c r="BR299" s="8"/>
      <c r="BS299" s="7"/>
      <c r="BT299" s="7"/>
      <c r="BU299" s="2" t="s">
        <v>109</v>
      </c>
      <c r="BV299" s="2" t="s">
        <v>97</v>
      </c>
      <c r="BW299" s="2" t="s">
        <v>1237</v>
      </c>
      <c r="BX299" s="2" t="s">
        <v>877</v>
      </c>
      <c r="BY299" s="2" t="s">
        <v>112</v>
      </c>
      <c r="BZ299" s="2" t="s">
        <v>100</v>
      </c>
    </row>
    <row r="300">
      <c r="A300" s="2" t="s">
        <v>1249</v>
      </c>
      <c r="B300" s="2" t="s">
        <v>87</v>
      </c>
      <c r="C300" s="2" t="s">
        <v>785</v>
      </c>
      <c r="D300" s="2" t="s">
        <v>89</v>
      </c>
      <c r="E300" s="2" t="s">
        <v>786</v>
      </c>
      <c r="F300" s="2" t="s">
        <v>1230</v>
      </c>
      <c r="G300" s="2" t="s">
        <v>1231</v>
      </c>
      <c r="H300" s="2" t="s">
        <v>1232</v>
      </c>
      <c r="I300" s="2" t="s">
        <v>1233</v>
      </c>
      <c r="J300" s="2" t="s">
        <v>558</v>
      </c>
      <c r="K300" s="2" t="s">
        <v>1246</v>
      </c>
      <c r="L300" s="3">
        <v>23.8</v>
      </c>
      <c r="M300" s="3">
        <v>24.99</v>
      </c>
      <c r="N300" s="3">
        <v>49.99</v>
      </c>
      <c r="O300" s="2" t="s">
        <v>97</v>
      </c>
      <c r="P300" s="2" t="s">
        <v>126</v>
      </c>
      <c r="Q300" s="2" t="s">
        <v>99</v>
      </c>
      <c r="R300" s="2" t="s">
        <v>100</v>
      </c>
      <c r="S300" s="2" t="s">
        <v>1247</v>
      </c>
      <c r="T300" s="2" t="s">
        <v>231</v>
      </c>
      <c r="U300" s="2" t="s">
        <v>432</v>
      </c>
      <c r="V300" s="2" t="s">
        <v>103</v>
      </c>
      <c r="W300" s="2" t="s">
        <v>636</v>
      </c>
      <c r="X300" s="2" t="s">
        <v>428</v>
      </c>
      <c r="Y300" s="2" t="s">
        <v>1180</v>
      </c>
      <c r="Z300" s="4">
        <v>1098</v>
      </c>
      <c r="AA300" s="4">
        <f>=ROUNDDOWN(84.4615384615385,0)</f>
      </c>
      <c r="AB300" s="5">
        <v>13</v>
      </c>
      <c r="AC300" s="2" t="s">
        <v>100</v>
      </c>
      <c r="AD300" s="4"/>
      <c r="AE300" s="4"/>
      <c r="AF300" s="6">
        <v>63</v>
      </c>
      <c r="AG300" s="6">
        <v>46</v>
      </c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100</v>
      </c>
      <c r="AW300" s="8" t="s">
        <v>100</v>
      </c>
      <c r="AX300" s="4" t="s">
        <v>100</v>
      </c>
      <c r="AY300" s="8" t="s">
        <v>100</v>
      </c>
      <c r="AZ300" s="7" t="s">
        <v>100</v>
      </c>
      <c r="BA300" s="7" t="s">
        <v>100</v>
      </c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 t="s">
        <v>100</v>
      </c>
      <c r="BJ300" s="4">
        <v>50</v>
      </c>
      <c r="BK300" s="8">
        <v>1087.28</v>
      </c>
      <c r="BL300" s="2" t="s">
        <v>1250</v>
      </c>
      <c r="BM300" s="7"/>
      <c r="BN300" s="7"/>
      <c r="BO300" s="4"/>
      <c r="BP300" s="8"/>
      <c r="BQ300" s="4"/>
      <c r="BR300" s="8"/>
      <c r="BS300" s="7"/>
      <c r="BT300" s="7"/>
      <c r="BU300" s="2" t="s">
        <v>109</v>
      </c>
      <c r="BV300" s="2" t="s">
        <v>97</v>
      </c>
      <c r="BW300" s="2" t="s">
        <v>1237</v>
      </c>
      <c r="BX300" s="2" t="s">
        <v>1251</v>
      </c>
      <c r="BY300" s="2" t="s">
        <v>112</v>
      </c>
      <c r="BZ300" s="2" t="s">
        <v>100</v>
      </c>
    </row>
    <row r="301">
      <c r="A301" s="2" t="s">
        <v>1252</v>
      </c>
      <c r="B301" s="2" t="s">
        <v>87</v>
      </c>
      <c r="C301" s="2" t="s">
        <v>785</v>
      </c>
      <c r="D301" s="2" t="s">
        <v>89</v>
      </c>
      <c r="E301" s="2" t="s">
        <v>786</v>
      </c>
      <c r="F301" s="2" t="s">
        <v>1230</v>
      </c>
      <c r="G301" s="2" t="s">
        <v>1231</v>
      </c>
      <c r="H301" s="2" t="s">
        <v>1232</v>
      </c>
      <c r="I301" s="2" t="s">
        <v>1233</v>
      </c>
      <c r="J301" s="2" t="s">
        <v>563</v>
      </c>
      <c r="K301" s="2" t="s">
        <v>1246</v>
      </c>
      <c r="L301" s="3">
        <v>26.19</v>
      </c>
      <c r="M301" s="3">
        <v>27.5</v>
      </c>
      <c r="N301" s="3">
        <v>54.99</v>
      </c>
      <c r="O301" s="2" t="s">
        <v>97</v>
      </c>
      <c r="P301" s="2" t="s">
        <v>126</v>
      </c>
      <c r="Q301" s="2" t="s">
        <v>99</v>
      </c>
      <c r="R301" s="2" t="s">
        <v>100</v>
      </c>
      <c r="S301" s="2" t="s">
        <v>1247</v>
      </c>
      <c r="T301" s="2" t="s">
        <v>231</v>
      </c>
      <c r="U301" s="2" t="s">
        <v>432</v>
      </c>
      <c r="V301" s="2" t="s">
        <v>103</v>
      </c>
      <c r="W301" s="2" t="s">
        <v>636</v>
      </c>
      <c r="X301" s="2" t="s">
        <v>428</v>
      </c>
      <c r="Y301" s="2" t="s">
        <v>1242</v>
      </c>
      <c r="Z301" s="4">
        <v>404</v>
      </c>
      <c r="AA301" s="4">
        <f>=ROUNDDOWN(67.3333333333333,0)</f>
      </c>
      <c r="AB301" s="5">
        <v>6</v>
      </c>
      <c r="AC301" s="2" t="s">
        <v>100</v>
      </c>
      <c r="AD301" s="4"/>
      <c r="AE301" s="4"/>
      <c r="AF301" s="6">
        <v>63</v>
      </c>
      <c r="AG301" s="6">
        <v>46</v>
      </c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/>
      <c r="AP301" s="4">
        <v>1</v>
      </c>
      <c r="AQ301" s="8">
        <v>29.7</v>
      </c>
      <c r="AR301" s="4"/>
      <c r="AS301" s="8"/>
      <c r="AT301" s="7"/>
      <c r="AU301" s="7"/>
      <c r="AV301" s="4" t="s">
        <v>100</v>
      </c>
      <c r="AW301" s="8" t="s">
        <v>100</v>
      </c>
      <c r="AX301" s="4" t="s">
        <v>100</v>
      </c>
      <c r="AY301" s="8" t="s">
        <v>100</v>
      </c>
      <c r="AZ301" s="7" t="s">
        <v>100</v>
      </c>
      <c r="BA301" s="7" t="s">
        <v>100</v>
      </c>
      <c r="BB301" s="7">
        <v>1</v>
      </c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 t="s">
        <v>100</v>
      </c>
      <c r="BJ301" s="4">
        <v>33</v>
      </c>
      <c r="BK301" s="8">
        <v>812.15</v>
      </c>
      <c r="BL301" s="2" t="s">
        <v>1181</v>
      </c>
      <c r="BM301" s="7">
        <v>0.0303</v>
      </c>
      <c r="BN301" s="7">
        <v>0.0366</v>
      </c>
      <c r="BO301" s="4">
        <v>1</v>
      </c>
      <c r="BP301" s="8">
        <v>29.7</v>
      </c>
      <c r="BQ301" s="4"/>
      <c r="BR301" s="8"/>
      <c r="BS301" s="7"/>
      <c r="BT301" s="7"/>
      <c r="BU301" s="2" t="s">
        <v>109</v>
      </c>
      <c r="BV301" s="2" t="s">
        <v>97</v>
      </c>
      <c r="BW301" s="2" t="s">
        <v>1237</v>
      </c>
      <c r="BX301" s="2" t="s">
        <v>1253</v>
      </c>
      <c r="BY301" s="2" t="s">
        <v>112</v>
      </c>
      <c r="BZ301" s="2" t="s">
        <v>100</v>
      </c>
    </row>
    <row r="302">
      <c r="A302" s="2" t="s">
        <v>1254</v>
      </c>
      <c r="B302" s="2" t="s">
        <v>87</v>
      </c>
      <c r="C302" s="2" t="s">
        <v>785</v>
      </c>
      <c r="D302" s="2" t="s">
        <v>1255</v>
      </c>
      <c r="E302" s="2" t="s">
        <v>1256</v>
      </c>
      <c r="F302" s="2" t="s">
        <v>787</v>
      </c>
      <c r="G302" s="2" t="s">
        <v>788</v>
      </c>
      <c r="H302" s="2" t="s">
        <v>789</v>
      </c>
      <c r="I302" s="2" t="s">
        <v>1257</v>
      </c>
      <c r="J302" s="2" t="s">
        <v>791</v>
      </c>
      <c r="K302" s="2" t="s">
        <v>440</v>
      </c>
      <c r="L302" s="3">
        <v>16.9</v>
      </c>
      <c r="M302" s="3">
        <v>17.75</v>
      </c>
      <c r="N302" s="3">
        <v>35.49</v>
      </c>
      <c r="O302" s="2" t="s">
        <v>97</v>
      </c>
      <c r="P302" s="2" t="s">
        <v>576</v>
      </c>
      <c r="Q302" s="2" t="s">
        <v>99</v>
      </c>
      <c r="R302" s="2" t="s">
        <v>100</v>
      </c>
      <c r="S302" s="2" t="s">
        <v>792</v>
      </c>
      <c r="T302" s="2" t="s">
        <v>793</v>
      </c>
      <c r="U302" s="2" t="s">
        <v>426</v>
      </c>
      <c r="V302" s="2" t="s">
        <v>427</v>
      </c>
      <c r="W302" s="2" t="s">
        <v>428</v>
      </c>
      <c r="X302" s="2" t="s">
        <v>636</v>
      </c>
      <c r="Y302" s="2" t="s">
        <v>794</v>
      </c>
      <c r="Z302" s="4">
        <v>683</v>
      </c>
      <c r="AA302" s="4">
        <f>=ROUNDDOWN(40.1764705882353,0)</f>
      </c>
      <c r="AB302" s="5">
        <v>17</v>
      </c>
      <c r="AC302" s="2" t="s">
        <v>162</v>
      </c>
      <c r="AD302" s="4">
        <v>1200</v>
      </c>
      <c r="AE302" s="4">
        <v>1960</v>
      </c>
      <c r="AF302" s="6">
        <v>63</v>
      </c>
      <c r="AG302" s="6">
        <v>46</v>
      </c>
      <c r="AH302" s="7">
        <v>0.963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/>
      <c r="AP302" s="4">
        <v>1</v>
      </c>
      <c r="AQ302" s="8">
        <v>20.45</v>
      </c>
      <c r="AR302" s="4"/>
      <c r="AS302" s="8"/>
      <c r="AT302" s="7"/>
      <c r="AU302" s="7"/>
      <c r="AV302" s="4">
        <v>50</v>
      </c>
      <c r="AW302" s="8">
        <v>1248.8</v>
      </c>
      <c r="AX302" s="4" t="s">
        <v>100</v>
      </c>
      <c r="AY302" s="8" t="s">
        <v>100</v>
      </c>
      <c r="AZ302" s="7" t="s">
        <v>100</v>
      </c>
      <c r="BA302" s="7" t="s">
        <v>100</v>
      </c>
      <c r="BB302" s="7">
        <v>0.0164</v>
      </c>
      <c r="BC302" s="4">
        <v>95</v>
      </c>
      <c r="BD302" s="8">
        <v>2364.35</v>
      </c>
      <c r="BE302" s="4" t="s">
        <v>100</v>
      </c>
      <c r="BF302" s="8" t="s">
        <v>100</v>
      </c>
      <c r="BG302" s="7" t="s">
        <v>100</v>
      </c>
      <c r="BH302" s="7" t="s">
        <v>100</v>
      </c>
      <c r="BI302" s="7">
        <v>0.5282</v>
      </c>
      <c r="BJ302" s="4">
        <v>258</v>
      </c>
      <c r="BK302" s="8">
        <v>4428.55</v>
      </c>
      <c r="BL302" s="2" t="s">
        <v>1258</v>
      </c>
      <c r="BM302" s="7">
        <v>0.0039</v>
      </c>
      <c r="BN302" s="7">
        <v>0.0046</v>
      </c>
      <c r="BO302" s="4">
        <v>1</v>
      </c>
      <c r="BP302" s="8">
        <v>20.45</v>
      </c>
      <c r="BQ302" s="4"/>
      <c r="BR302" s="8"/>
      <c r="BS302" s="7"/>
      <c r="BT302" s="7"/>
      <c r="BU302" s="2" t="s">
        <v>109</v>
      </c>
      <c r="BV302" s="2" t="s">
        <v>97</v>
      </c>
      <c r="BW302" s="2" t="s">
        <v>797</v>
      </c>
      <c r="BX302" s="2" t="s">
        <v>810</v>
      </c>
      <c r="BY302" s="2" t="s">
        <v>112</v>
      </c>
      <c r="BZ302" s="2" t="s">
        <v>100</v>
      </c>
    </row>
    <row r="303">
      <c r="A303" s="2" t="s">
        <v>1259</v>
      </c>
      <c r="B303" s="2" t="s">
        <v>87</v>
      </c>
      <c r="C303" s="2" t="s">
        <v>785</v>
      </c>
      <c r="D303" s="2" t="s">
        <v>1255</v>
      </c>
      <c r="E303" s="2" t="s">
        <v>1256</v>
      </c>
      <c r="F303" s="2" t="s">
        <v>787</v>
      </c>
      <c r="G303" s="2" t="s">
        <v>788</v>
      </c>
      <c r="H303" s="2" t="s">
        <v>789</v>
      </c>
      <c r="I303" s="2" t="s">
        <v>1257</v>
      </c>
      <c r="J303" s="2" t="s">
        <v>558</v>
      </c>
      <c r="K303" s="2" t="s">
        <v>440</v>
      </c>
      <c r="L303" s="3">
        <v>20.23</v>
      </c>
      <c r="M303" s="3">
        <v>21.24</v>
      </c>
      <c r="N303" s="3">
        <v>42.49</v>
      </c>
      <c r="O303" s="2" t="s">
        <v>97</v>
      </c>
      <c r="P303" s="2" t="s">
        <v>576</v>
      </c>
      <c r="Q303" s="2" t="s">
        <v>99</v>
      </c>
      <c r="R303" s="2" t="s">
        <v>100</v>
      </c>
      <c r="S303" s="2" t="s">
        <v>792</v>
      </c>
      <c r="T303" s="2" t="s">
        <v>793</v>
      </c>
      <c r="U303" s="2" t="s">
        <v>432</v>
      </c>
      <c r="V303" s="2" t="s">
        <v>427</v>
      </c>
      <c r="W303" s="2" t="s">
        <v>428</v>
      </c>
      <c r="X303" s="2" t="s">
        <v>636</v>
      </c>
      <c r="Y303" s="2" t="s">
        <v>794</v>
      </c>
      <c r="Z303" s="4">
        <v>545</v>
      </c>
      <c r="AA303" s="4">
        <f>=ROUNDDOWN(6.64634146341463,0)</f>
      </c>
      <c r="AB303" s="5">
        <v>82</v>
      </c>
      <c r="AC303" s="2" t="s">
        <v>162</v>
      </c>
      <c r="AD303" s="4">
        <v>1000</v>
      </c>
      <c r="AE303" s="4">
        <v>2892</v>
      </c>
      <c r="AF303" s="6">
        <v>63</v>
      </c>
      <c r="AG303" s="6">
        <v>46</v>
      </c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>
        <v>25</v>
      </c>
      <c r="AQ303" s="8">
        <v>588.75</v>
      </c>
      <c r="AR303" s="4"/>
      <c r="AS303" s="8"/>
      <c r="AT303" s="7"/>
      <c r="AU303" s="7"/>
      <c r="AV303" s="4" t="s">
        <v>100</v>
      </c>
      <c r="AW303" s="8" t="s">
        <v>100</v>
      </c>
      <c r="AX303" s="4" t="s">
        <v>100</v>
      </c>
      <c r="AY303" s="8" t="s">
        <v>100</v>
      </c>
      <c r="AZ303" s="7" t="s">
        <v>100</v>
      </c>
      <c r="BA303" s="7" t="s">
        <v>100</v>
      </c>
      <c r="BB303" s="7">
        <v>0.4715</v>
      </c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 t="s">
        <v>100</v>
      </c>
      <c r="BJ303" s="4">
        <v>815</v>
      </c>
      <c r="BK303" s="8">
        <v>17934.64</v>
      </c>
      <c r="BL303" s="2" t="s">
        <v>915</v>
      </c>
      <c r="BM303" s="7">
        <v>0.0307</v>
      </c>
      <c r="BN303" s="7">
        <v>0.0328</v>
      </c>
      <c r="BO303" s="4">
        <v>25</v>
      </c>
      <c r="BP303" s="8">
        <v>588.75</v>
      </c>
      <c r="BQ303" s="4"/>
      <c r="BR303" s="8"/>
      <c r="BS303" s="7"/>
      <c r="BT303" s="7"/>
      <c r="BU303" s="2" t="s">
        <v>109</v>
      </c>
      <c r="BV303" s="2" t="s">
        <v>97</v>
      </c>
      <c r="BW303" s="2" t="s">
        <v>797</v>
      </c>
      <c r="BX303" s="2" t="s">
        <v>805</v>
      </c>
      <c r="BY303" s="2" t="s">
        <v>112</v>
      </c>
      <c r="BZ303" s="2" t="s">
        <v>100</v>
      </c>
    </row>
    <row r="304">
      <c r="A304" s="2" t="s">
        <v>1260</v>
      </c>
      <c r="B304" s="2" t="s">
        <v>87</v>
      </c>
      <c r="C304" s="2" t="s">
        <v>785</v>
      </c>
      <c r="D304" s="2" t="s">
        <v>1255</v>
      </c>
      <c r="E304" s="2" t="s">
        <v>1256</v>
      </c>
      <c r="F304" s="2" t="s">
        <v>787</v>
      </c>
      <c r="G304" s="2" t="s">
        <v>788</v>
      </c>
      <c r="H304" s="2" t="s">
        <v>789</v>
      </c>
      <c r="I304" s="2" t="s">
        <v>1257</v>
      </c>
      <c r="J304" s="2" t="s">
        <v>563</v>
      </c>
      <c r="K304" s="2" t="s">
        <v>440</v>
      </c>
      <c r="L304" s="3">
        <v>23.57</v>
      </c>
      <c r="M304" s="3">
        <v>24.75</v>
      </c>
      <c r="N304" s="3">
        <v>49.49</v>
      </c>
      <c r="O304" s="2" t="s">
        <v>97</v>
      </c>
      <c r="P304" s="2" t="s">
        <v>576</v>
      </c>
      <c r="Q304" s="2" t="s">
        <v>99</v>
      </c>
      <c r="R304" s="2" t="s">
        <v>100</v>
      </c>
      <c r="S304" s="2" t="s">
        <v>792</v>
      </c>
      <c r="T304" s="2" t="s">
        <v>793</v>
      </c>
      <c r="U304" s="2" t="s">
        <v>432</v>
      </c>
      <c r="V304" s="2" t="s">
        <v>427</v>
      </c>
      <c r="W304" s="2" t="s">
        <v>428</v>
      </c>
      <c r="X304" s="2" t="s">
        <v>636</v>
      </c>
      <c r="Y304" s="2" t="s">
        <v>797</v>
      </c>
      <c r="Z304" s="4">
        <v>1180</v>
      </c>
      <c r="AA304" s="4">
        <f>=ROUNDDOWN(19.344262295082,0)</f>
      </c>
      <c r="AB304" s="5">
        <v>61</v>
      </c>
      <c r="AC304" s="2" t="s">
        <v>162</v>
      </c>
      <c r="AD304" s="4">
        <v>4000</v>
      </c>
      <c r="AE304" s="4">
        <v>5200</v>
      </c>
      <c r="AF304" s="6">
        <v>63</v>
      </c>
      <c r="AG304" s="6">
        <v>46</v>
      </c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/>
      <c r="AP304" s="4">
        <v>24</v>
      </c>
      <c r="AQ304" s="8">
        <v>639.6</v>
      </c>
      <c r="AR304" s="4"/>
      <c r="AS304" s="8"/>
      <c r="AT304" s="7"/>
      <c r="AU304" s="7"/>
      <c r="AV304" s="4" t="s">
        <v>100</v>
      </c>
      <c r="AW304" s="8" t="s">
        <v>100</v>
      </c>
      <c r="AX304" s="4" t="s">
        <v>100</v>
      </c>
      <c r="AY304" s="8" t="s">
        <v>100</v>
      </c>
      <c r="AZ304" s="7" t="s">
        <v>100</v>
      </c>
      <c r="BA304" s="7" t="s">
        <v>100</v>
      </c>
      <c r="BB304" s="7">
        <v>0.5122</v>
      </c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 t="s">
        <v>100</v>
      </c>
      <c r="BJ304" s="4">
        <v>207</v>
      </c>
      <c r="BK304" s="8">
        <v>5411.35</v>
      </c>
      <c r="BL304" s="2" t="s">
        <v>1097</v>
      </c>
      <c r="BM304" s="7">
        <v>0.1159</v>
      </c>
      <c r="BN304" s="7">
        <v>0.1182</v>
      </c>
      <c r="BO304" s="4">
        <v>24</v>
      </c>
      <c r="BP304" s="8">
        <v>639.6</v>
      </c>
      <c r="BQ304" s="4"/>
      <c r="BR304" s="8"/>
      <c r="BS304" s="7"/>
      <c r="BT304" s="7"/>
      <c r="BU304" s="2" t="s">
        <v>109</v>
      </c>
      <c r="BV304" s="2" t="s">
        <v>97</v>
      </c>
      <c r="BW304" s="2" t="s">
        <v>797</v>
      </c>
      <c r="BX304" s="2" t="s">
        <v>798</v>
      </c>
      <c r="BY304" s="2" t="s">
        <v>112</v>
      </c>
      <c r="BZ304" s="2" t="s">
        <v>100</v>
      </c>
    </row>
    <row r="305">
      <c r="A305" s="2" t="s">
        <v>1261</v>
      </c>
      <c r="B305" s="2" t="s">
        <v>87</v>
      </c>
      <c r="C305" s="2" t="s">
        <v>785</v>
      </c>
      <c r="D305" s="2" t="s">
        <v>1255</v>
      </c>
      <c r="E305" s="2" t="s">
        <v>1256</v>
      </c>
      <c r="F305" s="2" t="s">
        <v>787</v>
      </c>
      <c r="G305" s="2" t="s">
        <v>788</v>
      </c>
      <c r="H305" s="2" t="s">
        <v>789</v>
      </c>
      <c r="I305" s="2" t="s">
        <v>1257</v>
      </c>
      <c r="J305" s="2" t="s">
        <v>791</v>
      </c>
      <c r="K305" s="2" t="s">
        <v>623</v>
      </c>
      <c r="L305" s="3">
        <v>16.9</v>
      </c>
      <c r="M305" s="3">
        <v>17.75</v>
      </c>
      <c r="N305" s="3">
        <v>35.49</v>
      </c>
      <c r="O305" s="2" t="s">
        <v>97</v>
      </c>
      <c r="P305" s="2" t="s">
        <v>576</v>
      </c>
      <c r="Q305" s="2" t="s">
        <v>99</v>
      </c>
      <c r="R305" s="2" t="s">
        <v>100</v>
      </c>
      <c r="S305" s="2" t="s">
        <v>807</v>
      </c>
      <c r="T305" s="2" t="s">
        <v>793</v>
      </c>
      <c r="U305" s="2" t="s">
        <v>426</v>
      </c>
      <c r="V305" s="2" t="s">
        <v>427</v>
      </c>
      <c r="W305" s="2" t="s">
        <v>428</v>
      </c>
      <c r="X305" s="2" t="s">
        <v>636</v>
      </c>
      <c r="Y305" s="2" t="s">
        <v>808</v>
      </c>
      <c r="Z305" s="4">
        <v>185</v>
      </c>
      <c r="AA305" s="4">
        <f>=ROUNDDOWN(23.125,0)</f>
      </c>
      <c r="AB305" s="5">
        <v>8</v>
      </c>
      <c r="AC305" s="2" t="s">
        <v>752</v>
      </c>
      <c r="AD305" s="4">
        <v>100</v>
      </c>
      <c r="AE305" s="4">
        <v>168</v>
      </c>
      <c r="AF305" s="6">
        <v>63</v>
      </c>
      <c r="AG305" s="6">
        <v>46</v>
      </c>
      <c r="AH305" s="7">
        <v>1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/>
      <c r="AP305" s="4">
        <v>2</v>
      </c>
      <c r="AQ305" s="8">
        <v>40.9</v>
      </c>
      <c r="AR305" s="4"/>
      <c r="AS305" s="8"/>
      <c r="AT305" s="7"/>
      <c r="AU305" s="7"/>
      <c r="AV305" s="4">
        <v>26</v>
      </c>
      <c r="AW305" s="8">
        <v>643.3</v>
      </c>
      <c r="AX305" s="4" t="s">
        <v>100</v>
      </c>
      <c r="AY305" s="8" t="s">
        <v>100</v>
      </c>
      <c r="AZ305" s="7" t="s">
        <v>100</v>
      </c>
      <c r="BA305" s="7" t="s">
        <v>100</v>
      </c>
      <c r="BB305" s="7">
        <v>0.0636</v>
      </c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>
        <v>0.2721</v>
      </c>
      <c r="BJ305" s="4">
        <v>23</v>
      </c>
      <c r="BK305" s="8">
        <v>416.32</v>
      </c>
      <c r="BL305" s="2" t="s">
        <v>1262</v>
      </c>
      <c r="BM305" s="7">
        <v>0.087</v>
      </c>
      <c r="BN305" s="7">
        <v>0.0982</v>
      </c>
      <c r="BO305" s="4">
        <v>2</v>
      </c>
      <c r="BP305" s="8">
        <v>40.9</v>
      </c>
      <c r="BQ305" s="4"/>
      <c r="BR305" s="8"/>
      <c r="BS305" s="7"/>
      <c r="BT305" s="7"/>
      <c r="BU305" s="2" t="s">
        <v>109</v>
      </c>
      <c r="BV305" s="2" t="s">
        <v>97</v>
      </c>
      <c r="BW305" s="2" t="s">
        <v>808</v>
      </c>
      <c r="BX305" s="2" t="s">
        <v>1110</v>
      </c>
      <c r="BY305" s="2" t="s">
        <v>112</v>
      </c>
      <c r="BZ305" s="2" t="s">
        <v>100</v>
      </c>
    </row>
    <row r="306">
      <c r="A306" s="2" t="s">
        <v>1263</v>
      </c>
      <c r="B306" s="2" t="s">
        <v>87</v>
      </c>
      <c r="C306" s="2" t="s">
        <v>785</v>
      </c>
      <c r="D306" s="2" t="s">
        <v>1255</v>
      </c>
      <c r="E306" s="2" t="s">
        <v>1256</v>
      </c>
      <c r="F306" s="2" t="s">
        <v>787</v>
      </c>
      <c r="G306" s="2" t="s">
        <v>788</v>
      </c>
      <c r="H306" s="2" t="s">
        <v>789</v>
      </c>
      <c r="I306" s="2" t="s">
        <v>1257</v>
      </c>
      <c r="J306" s="2" t="s">
        <v>558</v>
      </c>
      <c r="K306" s="2" t="s">
        <v>623</v>
      </c>
      <c r="L306" s="3">
        <v>20.23</v>
      </c>
      <c r="M306" s="3">
        <v>21.24</v>
      </c>
      <c r="N306" s="3">
        <v>42.49</v>
      </c>
      <c r="O306" s="2" t="s">
        <v>97</v>
      </c>
      <c r="P306" s="2" t="s">
        <v>576</v>
      </c>
      <c r="Q306" s="2" t="s">
        <v>99</v>
      </c>
      <c r="R306" s="2" t="s">
        <v>100</v>
      </c>
      <c r="S306" s="2" t="s">
        <v>807</v>
      </c>
      <c r="T306" s="2" t="s">
        <v>793</v>
      </c>
      <c r="U306" s="2" t="s">
        <v>432</v>
      </c>
      <c r="V306" s="2" t="s">
        <v>427</v>
      </c>
      <c r="W306" s="2" t="s">
        <v>428</v>
      </c>
      <c r="X306" s="2" t="s">
        <v>636</v>
      </c>
      <c r="Y306" s="2" t="s">
        <v>808</v>
      </c>
      <c r="Z306" s="4">
        <v>1566</v>
      </c>
      <c r="AA306" s="4">
        <f>=ROUNDDOWN(47.4545454545455,0)</f>
      </c>
      <c r="AB306" s="5">
        <v>33</v>
      </c>
      <c r="AC306" s="2" t="s">
        <v>752</v>
      </c>
      <c r="AD306" s="4">
        <v>700</v>
      </c>
      <c r="AE306" s="4">
        <v>700</v>
      </c>
      <c r="AF306" s="6">
        <v>63</v>
      </c>
      <c r="AG306" s="6">
        <v>46</v>
      </c>
      <c r="AH306" s="7">
        <v>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/>
      <c r="AP306" s="4">
        <v>12</v>
      </c>
      <c r="AQ306" s="8">
        <v>282.6</v>
      </c>
      <c r="AR306" s="4"/>
      <c r="AS306" s="8"/>
      <c r="AT306" s="7"/>
      <c r="AU306" s="7"/>
      <c r="AV306" s="4" t="s">
        <v>100</v>
      </c>
      <c r="AW306" s="8" t="s">
        <v>100</v>
      </c>
      <c r="AX306" s="4" t="s">
        <v>100</v>
      </c>
      <c r="AY306" s="8" t="s">
        <v>100</v>
      </c>
      <c r="AZ306" s="7" t="s">
        <v>100</v>
      </c>
      <c r="BA306" s="7" t="s">
        <v>100</v>
      </c>
      <c r="BB306" s="7">
        <v>0.4393</v>
      </c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 t="s">
        <v>100</v>
      </c>
      <c r="BJ306" s="4">
        <v>193</v>
      </c>
      <c r="BK306" s="8">
        <v>4314.39</v>
      </c>
      <c r="BL306" s="2" t="s">
        <v>1264</v>
      </c>
      <c r="BM306" s="7">
        <v>0.0622</v>
      </c>
      <c r="BN306" s="7">
        <v>0.0655</v>
      </c>
      <c r="BO306" s="4">
        <v>12</v>
      </c>
      <c r="BP306" s="8">
        <v>282.6</v>
      </c>
      <c r="BQ306" s="4"/>
      <c r="BR306" s="8"/>
      <c r="BS306" s="7"/>
      <c r="BT306" s="7"/>
      <c r="BU306" s="2" t="s">
        <v>109</v>
      </c>
      <c r="BV306" s="2" t="s">
        <v>97</v>
      </c>
      <c r="BW306" s="2" t="s">
        <v>808</v>
      </c>
      <c r="BX306" s="2" t="s">
        <v>1265</v>
      </c>
      <c r="BY306" s="2" t="s">
        <v>112</v>
      </c>
      <c r="BZ306" s="2" t="s">
        <v>100</v>
      </c>
    </row>
    <row r="307">
      <c r="A307" s="2" t="s">
        <v>1266</v>
      </c>
      <c r="B307" s="2" t="s">
        <v>87</v>
      </c>
      <c r="C307" s="2" t="s">
        <v>785</v>
      </c>
      <c r="D307" s="2" t="s">
        <v>1255</v>
      </c>
      <c r="E307" s="2" t="s">
        <v>1256</v>
      </c>
      <c r="F307" s="2" t="s">
        <v>787</v>
      </c>
      <c r="G307" s="2" t="s">
        <v>788</v>
      </c>
      <c r="H307" s="2" t="s">
        <v>789</v>
      </c>
      <c r="I307" s="2" t="s">
        <v>1257</v>
      </c>
      <c r="J307" s="2" t="s">
        <v>563</v>
      </c>
      <c r="K307" s="2" t="s">
        <v>623</v>
      </c>
      <c r="L307" s="3">
        <v>23.57</v>
      </c>
      <c r="M307" s="3">
        <v>24.75</v>
      </c>
      <c r="N307" s="3">
        <v>49.49</v>
      </c>
      <c r="O307" s="2" t="s">
        <v>97</v>
      </c>
      <c r="P307" s="2" t="s">
        <v>576</v>
      </c>
      <c r="Q307" s="2" t="s">
        <v>99</v>
      </c>
      <c r="R307" s="2" t="s">
        <v>100</v>
      </c>
      <c r="S307" s="2" t="s">
        <v>807</v>
      </c>
      <c r="T307" s="2" t="s">
        <v>793</v>
      </c>
      <c r="U307" s="2" t="s">
        <v>432</v>
      </c>
      <c r="V307" s="2" t="s">
        <v>427</v>
      </c>
      <c r="W307" s="2" t="s">
        <v>428</v>
      </c>
      <c r="X307" s="2" t="s">
        <v>636</v>
      </c>
      <c r="Y307" s="2" t="s">
        <v>808</v>
      </c>
      <c r="Z307" s="4">
        <v>1175</v>
      </c>
      <c r="AA307" s="4">
        <f>=ROUNDDOWN(35.6060606060606,0)</f>
      </c>
      <c r="AB307" s="5">
        <v>33</v>
      </c>
      <c r="AC307" s="2" t="s">
        <v>162</v>
      </c>
      <c r="AD307" s="4">
        <v>4000</v>
      </c>
      <c r="AE307" s="4">
        <v>4500</v>
      </c>
      <c r="AF307" s="6">
        <v>63</v>
      </c>
      <c r="AG307" s="6">
        <v>46</v>
      </c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>
        <v>12</v>
      </c>
      <c r="AQ307" s="8">
        <v>319.8</v>
      </c>
      <c r="AR307" s="4"/>
      <c r="AS307" s="8"/>
      <c r="AT307" s="7"/>
      <c r="AU307" s="7"/>
      <c r="AV307" s="4" t="s">
        <v>100</v>
      </c>
      <c r="AW307" s="8" t="s">
        <v>100</v>
      </c>
      <c r="AX307" s="4" t="s">
        <v>100</v>
      </c>
      <c r="AY307" s="8" t="s">
        <v>100</v>
      </c>
      <c r="AZ307" s="7" t="s">
        <v>100</v>
      </c>
      <c r="BA307" s="7" t="s">
        <v>100</v>
      </c>
      <c r="BB307" s="7">
        <v>0.4971</v>
      </c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 t="s">
        <v>100</v>
      </c>
      <c r="BJ307" s="4">
        <v>179</v>
      </c>
      <c r="BK307" s="8">
        <v>4707.25</v>
      </c>
      <c r="BL307" s="2" t="s">
        <v>1097</v>
      </c>
      <c r="BM307" s="7">
        <v>0.067</v>
      </c>
      <c r="BN307" s="7">
        <v>0.0679</v>
      </c>
      <c r="BO307" s="4">
        <v>12</v>
      </c>
      <c r="BP307" s="8">
        <v>319.8</v>
      </c>
      <c r="BQ307" s="4"/>
      <c r="BR307" s="8"/>
      <c r="BS307" s="7"/>
      <c r="BT307" s="7"/>
      <c r="BU307" s="2" t="s">
        <v>109</v>
      </c>
      <c r="BV307" s="2" t="s">
        <v>97</v>
      </c>
      <c r="BW307" s="2" t="s">
        <v>808</v>
      </c>
      <c r="BX307" s="2" t="s">
        <v>1267</v>
      </c>
      <c r="BY307" s="2" t="s">
        <v>112</v>
      </c>
      <c r="BZ307" s="2" t="s">
        <v>100</v>
      </c>
    </row>
    <row r="308">
      <c r="A308" s="2" t="s">
        <v>1268</v>
      </c>
      <c r="B308" s="2" t="s">
        <v>87</v>
      </c>
      <c r="C308" s="2" t="s">
        <v>785</v>
      </c>
      <c r="D308" s="2" t="s">
        <v>1255</v>
      </c>
      <c r="E308" s="2" t="s">
        <v>1256</v>
      </c>
      <c r="F308" s="2" t="s">
        <v>787</v>
      </c>
      <c r="G308" s="2" t="s">
        <v>788</v>
      </c>
      <c r="H308" s="2" t="s">
        <v>789</v>
      </c>
      <c r="I308" s="2" t="s">
        <v>1257</v>
      </c>
      <c r="J308" s="2" t="s">
        <v>791</v>
      </c>
      <c r="K308" s="2" t="s">
        <v>817</v>
      </c>
      <c r="L308" s="3">
        <v>16.9</v>
      </c>
      <c r="M308" s="3">
        <v>17.75</v>
      </c>
      <c r="N308" s="3">
        <v>35.49</v>
      </c>
      <c r="O308" s="2" t="s">
        <v>97</v>
      </c>
      <c r="P308" s="2" t="s">
        <v>576</v>
      </c>
      <c r="Q308" s="2" t="s">
        <v>99</v>
      </c>
      <c r="R308" s="2" t="s">
        <v>100</v>
      </c>
      <c r="S308" s="2" t="s">
        <v>818</v>
      </c>
      <c r="T308" s="2" t="s">
        <v>793</v>
      </c>
      <c r="U308" s="2" t="s">
        <v>426</v>
      </c>
      <c r="V308" s="2" t="s">
        <v>427</v>
      </c>
      <c r="W308" s="2" t="s">
        <v>428</v>
      </c>
      <c r="X308" s="2" t="s">
        <v>636</v>
      </c>
      <c r="Y308" s="2" t="s">
        <v>819</v>
      </c>
      <c r="Z308" s="4">
        <v>146</v>
      </c>
      <c r="AA308" s="4">
        <f>=ROUNDDOWN(14.6,0)</f>
      </c>
      <c r="AB308" s="5">
        <v>10</v>
      </c>
      <c r="AC308" s="2" t="s">
        <v>436</v>
      </c>
      <c r="AD308" s="4">
        <v>92</v>
      </c>
      <c r="AE308" s="4">
        <v>192</v>
      </c>
      <c r="AF308" s="6">
        <v>63</v>
      </c>
      <c r="AG308" s="6">
        <v>46</v>
      </c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/>
      <c r="AP308" s="4">
        <v>2</v>
      </c>
      <c r="AQ308" s="8">
        <v>40.9</v>
      </c>
      <c r="AR308" s="4"/>
      <c r="AS308" s="8"/>
      <c r="AT308" s="7"/>
      <c r="AU308" s="7"/>
      <c r="AV308" s="4">
        <v>13</v>
      </c>
      <c r="AW308" s="8">
        <v>321.65</v>
      </c>
      <c r="AX308" s="4" t="s">
        <v>100</v>
      </c>
      <c r="AY308" s="8" t="s">
        <v>100</v>
      </c>
      <c r="AZ308" s="7" t="s">
        <v>100</v>
      </c>
      <c r="BA308" s="7" t="s">
        <v>100</v>
      </c>
      <c r="BB308" s="7">
        <v>0.1272</v>
      </c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>
        <v>0.136</v>
      </c>
      <c r="BJ308" s="4">
        <v>16</v>
      </c>
      <c r="BK308" s="8">
        <v>288.04</v>
      </c>
      <c r="BL308" s="2" t="s">
        <v>1181</v>
      </c>
      <c r="BM308" s="7">
        <v>0.125</v>
      </c>
      <c r="BN308" s="7">
        <v>0.142</v>
      </c>
      <c r="BO308" s="4">
        <v>2</v>
      </c>
      <c r="BP308" s="8">
        <v>40.9</v>
      </c>
      <c r="BQ308" s="4"/>
      <c r="BR308" s="8"/>
      <c r="BS308" s="7"/>
      <c r="BT308" s="7"/>
      <c r="BU308" s="2" t="s">
        <v>109</v>
      </c>
      <c r="BV308" s="2" t="s">
        <v>97</v>
      </c>
      <c r="BW308" s="2" t="s">
        <v>819</v>
      </c>
      <c r="BX308" s="2" t="s">
        <v>1269</v>
      </c>
      <c r="BY308" s="2" t="s">
        <v>112</v>
      </c>
      <c r="BZ308" s="2" t="s">
        <v>100</v>
      </c>
    </row>
    <row r="309">
      <c r="A309" s="2" t="s">
        <v>1270</v>
      </c>
      <c r="B309" s="2" t="s">
        <v>87</v>
      </c>
      <c r="C309" s="2" t="s">
        <v>785</v>
      </c>
      <c r="D309" s="2" t="s">
        <v>1255</v>
      </c>
      <c r="E309" s="2" t="s">
        <v>1256</v>
      </c>
      <c r="F309" s="2" t="s">
        <v>787</v>
      </c>
      <c r="G309" s="2" t="s">
        <v>788</v>
      </c>
      <c r="H309" s="2" t="s">
        <v>789</v>
      </c>
      <c r="I309" s="2" t="s">
        <v>1257</v>
      </c>
      <c r="J309" s="2" t="s">
        <v>558</v>
      </c>
      <c r="K309" s="2" t="s">
        <v>817</v>
      </c>
      <c r="L309" s="3">
        <v>20.23</v>
      </c>
      <c r="M309" s="3">
        <v>21.24</v>
      </c>
      <c r="N309" s="3">
        <v>42.49</v>
      </c>
      <c r="O309" s="2" t="s">
        <v>97</v>
      </c>
      <c r="P309" s="2" t="s">
        <v>576</v>
      </c>
      <c r="Q309" s="2" t="s">
        <v>99</v>
      </c>
      <c r="R309" s="2" t="s">
        <v>100</v>
      </c>
      <c r="S309" s="2" t="s">
        <v>818</v>
      </c>
      <c r="T309" s="2" t="s">
        <v>793</v>
      </c>
      <c r="U309" s="2" t="s">
        <v>432</v>
      </c>
      <c r="V309" s="2" t="s">
        <v>427</v>
      </c>
      <c r="W309" s="2" t="s">
        <v>428</v>
      </c>
      <c r="X309" s="2" t="s">
        <v>636</v>
      </c>
      <c r="Y309" s="2" t="s">
        <v>819</v>
      </c>
      <c r="Z309" s="4">
        <v>1081</v>
      </c>
      <c r="AA309" s="4">
        <f>=ROUNDDOWN(43.24,0)</f>
      </c>
      <c r="AB309" s="5">
        <v>25</v>
      </c>
      <c r="AC309" s="2" t="s">
        <v>162</v>
      </c>
      <c r="AD309" s="4">
        <v>1600</v>
      </c>
      <c r="AE309" s="4">
        <v>2288</v>
      </c>
      <c r="AF309" s="6">
        <v>63</v>
      </c>
      <c r="AG309" s="6">
        <v>46</v>
      </c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/>
      <c r="AP309" s="4">
        <v>4</v>
      </c>
      <c r="AQ309" s="8">
        <v>94.2</v>
      </c>
      <c r="AR309" s="4"/>
      <c r="AS309" s="8"/>
      <c r="AT309" s="7"/>
      <c r="AU309" s="7"/>
      <c r="AV309" s="4" t="s">
        <v>100</v>
      </c>
      <c r="AW309" s="8" t="s">
        <v>100</v>
      </c>
      <c r="AX309" s="4" t="s">
        <v>100</v>
      </c>
      <c r="AY309" s="8" t="s">
        <v>100</v>
      </c>
      <c r="AZ309" s="7" t="s">
        <v>100</v>
      </c>
      <c r="BA309" s="7" t="s">
        <v>100</v>
      </c>
      <c r="BB309" s="7">
        <v>0.2929</v>
      </c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 t="s">
        <v>100</v>
      </c>
      <c r="BJ309" s="4">
        <v>151</v>
      </c>
      <c r="BK309" s="8">
        <v>3322.85</v>
      </c>
      <c r="BL309" s="2" t="s">
        <v>1271</v>
      </c>
      <c r="BM309" s="7">
        <v>0.0265</v>
      </c>
      <c r="BN309" s="7">
        <v>0.0283</v>
      </c>
      <c r="BO309" s="4">
        <v>4</v>
      </c>
      <c r="BP309" s="8">
        <v>94.2</v>
      </c>
      <c r="BQ309" s="4"/>
      <c r="BR309" s="8"/>
      <c r="BS309" s="7"/>
      <c r="BT309" s="7"/>
      <c r="BU309" s="2" t="s">
        <v>109</v>
      </c>
      <c r="BV309" s="2" t="s">
        <v>97</v>
      </c>
      <c r="BW309" s="2" t="s">
        <v>819</v>
      </c>
      <c r="BX309" s="2" t="s">
        <v>823</v>
      </c>
      <c r="BY309" s="2" t="s">
        <v>112</v>
      </c>
      <c r="BZ309" s="2" t="s">
        <v>100</v>
      </c>
    </row>
    <row r="310">
      <c r="A310" s="2" t="s">
        <v>1272</v>
      </c>
      <c r="B310" s="2" t="s">
        <v>87</v>
      </c>
      <c r="C310" s="2" t="s">
        <v>785</v>
      </c>
      <c r="D310" s="2" t="s">
        <v>1255</v>
      </c>
      <c r="E310" s="2" t="s">
        <v>1256</v>
      </c>
      <c r="F310" s="2" t="s">
        <v>787</v>
      </c>
      <c r="G310" s="2" t="s">
        <v>788</v>
      </c>
      <c r="H310" s="2" t="s">
        <v>789</v>
      </c>
      <c r="I310" s="2" t="s">
        <v>1257</v>
      </c>
      <c r="J310" s="2" t="s">
        <v>563</v>
      </c>
      <c r="K310" s="2" t="s">
        <v>817</v>
      </c>
      <c r="L310" s="3">
        <v>23.57</v>
      </c>
      <c r="M310" s="3">
        <v>24.75</v>
      </c>
      <c r="N310" s="3">
        <v>49.49</v>
      </c>
      <c r="O310" s="2" t="s">
        <v>97</v>
      </c>
      <c r="P310" s="2" t="s">
        <v>576</v>
      </c>
      <c r="Q310" s="2" t="s">
        <v>99</v>
      </c>
      <c r="R310" s="2" t="s">
        <v>100</v>
      </c>
      <c r="S310" s="2" t="s">
        <v>818</v>
      </c>
      <c r="T310" s="2" t="s">
        <v>793</v>
      </c>
      <c r="U310" s="2" t="s">
        <v>432</v>
      </c>
      <c r="V310" s="2" t="s">
        <v>427</v>
      </c>
      <c r="W310" s="2" t="s">
        <v>428</v>
      </c>
      <c r="X310" s="2" t="s">
        <v>636</v>
      </c>
      <c r="Y310" s="2" t="s">
        <v>819</v>
      </c>
      <c r="Z310" s="4">
        <v>1047</v>
      </c>
      <c r="AA310" s="4">
        <f>=ROUNDDOWN(38.7777777777778,0)</f>
      </c>
      <c r="AB310" s="5">
        <v>27</v>
      </c>
      <c r="AC310" s="2" t="s">
        <v>162</v>
      </c>
      <c r="AD310" s="4">
        <v>1000</v>
      </c>
      <c r="AE310" s="4">
        <v>1600</v>
      </c>
      <c r="AF310" s="6">
        <v>63</v>
      </c>
      <c r="AG310" s="6">
        <v>46</v>
      </c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/>
      <c r="AP310" s="4">
        <v>7</v>
      </c>
      <c r="AQ310" s="8">
        <v>186.55</v>
      </c>
      <c r="AR310" s="4"/>
      <c r="AS310" s="8"/>
      <c r="AT310" s="7"/>
      <c r="AU310" s="7"/>
      <c r="AV310" s="4" t="s">
        <v>100</v>
      </c>
      <c r="AW310" s="8" t="s">
        <v>100</v>
      </c>
      <c r="AX310" s="4" t="s">
        <v>100</v>
      </c>
      <c r="AY310" s="8" t="s">
        <v>100</v>
      </c>
      <c r="AZ310" s="7" t="s">
        <v>100</v>
      </c>
      <c r="BA310" s="7" t="s">
        <v>100</v>
      </c>
      <c r="BB310" s="7">
        <v>0.58</v>
      </c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 t="s">
        <v>100</v>
      </c>
      <c r="BJ310" s="4">
        <v>156</v>
      </c>
      <c r="BK310" s="8">
        <v>4056.38</v>
      </c>
      <c r="BL310" s="2" t="s">
        <v>838</v>
      </c>
      <c r="BM310" s="7">
        <v>0.0449</v>
      </c>
      <c r="BN310" s="7">
        <v>0.046</v>
      </c>
      <c r="BO310" s="4">
        <v>7</v>
      </c>
      <c r="BP310" s="8">
        <v>186.55</v>
      </c>
      <c r="BQ310" s="4"/>
      <c r="BR310" s="8"/>
      <c r="BS310" s="7"/>
      <c r="BT310" s="7"/>
      <c r="BU310" s="2" t="s">
        <v>109</v>
      </c>
      <c r="BV310" s="2" t="s">
        <v>97</v>
      </c>
      <c r="BW310" s="2" t="s">
        <v>819</v>
      </c>
      <c r="BX310" s="2" t="s">
        <v>1047</v>
      </c>
      <c r="BY310" s="2" t="s">
        <v>112</v>
      </c>
      <c r="BZ310" s="2" t="s">
        <v>100</v>
      </c>
    </row>
    <row r="311">
      <c r="A311" s="2" t="s">
        <v>1273</v>
      </c>
      <c r="B311" s="2" t="s">
        <v>87</v>
      </c>
      <c r="C311" s="2" t="s">
        <v>785</v>
      </c>
      <c r="D311" s="2" t="s">
        <v>1255</v>
      </c>
      <c r="E311" s="2" t="s">
        <v>1256</v>
      </c>
      <c r="F311" s="2" t="s">
        <v>787</v>
      </c>
      <c r="G311" s="2" t="s">
        <v>788</v>
      </c>
      <c r="H311" s="2" t="s">
        <v>789</v>
      </c>
      <c r="I311" s="2" t="s">
        <v>1257</v>
      </c>
      <c r="J311" s="2" t="s">
        <v>791</v>
      </c>
      <c r="K311" s="2" t="s">
        <v>830</v>
      </c>
      <c r="L311" s="3">
        <v>16.9</v>
      </c>
      <c r="M311" s="3">
        <v>17.75</v>
      </c>
      <c r="N311" s="3">
        <v>35.49</v>
      </c>
      <c r="O311" s="2" t="s">
        <v>97</v>
      </c>
      <c r="P311" s="2" t="s">
        <v>98</v>
      </c>
      <c r="Q311" s="2" t="s">
        <v>99</v>
      </c>
      <c r="R311" s="2" t="s">
        <v>100</v>
      </c>
      <c r="S311" s="2" t="s">
        <v>831</v>
      </c>
      <c r="T311" s="2" t="s">
        <v>793</v>
      </c>
      <c r="U311" s="2" t="s">
        <v>426</v>
      </c>
      <c r="V311" s="2" t="s">
        <v>427</v>
      </c>
      <c r="W311" s="2" t="s">
        <v>428</v>
      </c>
      <c r="X311" s="2" t="s">
        <v>636</v>
      </c>
      <c r="Y311" s="2" t="s">
        <v>794</v>
      </c>
      <c r="Z311" s="4">
        <v>215</v>
      </c>
      <c r="AA311" s="4">
        <f>=ROUNDDOWN(30.7142857142857,0)</f>
      </c>
      <c r="AB311" s="5">
        <v>7</v>
      </c>
      <c r="AC311" s="2" t="s">
        <v>1274</v>
      </c>
      <c r="AD311" s="4">
        <v>100</v>
      </c>
      <c r="AE311" s="4">
        <v>100</v>
      </c>
      <c r="AF311" s="6">
        <v>63</v>
      </c>
      <c r="AG311" s="6">
        <v>46</v>
      </c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>
        <v>6</v>
      </c>
      <c r="AW311" s="8">
        <v>150.6</v>
      </c>
      <c r="AX311" s="4" t="s">
        <v>100</v>
      </c>
      <c r="AY311" s="8" t="s">
        <v>100</v>
      </c>
      <c r="AZ311" s="7" t="s">
        <v>100</v>
      </c>
      <c r="BA311" s="7" t="s">
        <v>100</v>
      </c>
      <c r="BB311" s="7"/>
      <c r="BC311" s="4" t="s">
        <v>100</v>
      </c>
      <c r="BD311" s="8" t="s">
        <v>100</v>
      </c>
      <c r="BE311" s="4" t="s">
        <v>100</v>
      </c>
      <c r="BF311" s="8" t="s">
        <v>100</v>
      </c>
      <c r="BG311" s="7" t="s">
        <v>100</v>
      </c>
      <c r="BH311" s="7" t="s">
        <v>100</v>
      </c>
      <c r="BI311" s="7">
        <v>0.0637</v>
      </c>
      <c r="BJ311" s="4">
        <v>17</v>
      </c>
      <c r="BK311" s="8">
        <v>295.33</v>
      </c>
      <c r="BL311" s="2" t="s">
        <v>1275</v>
      </c>
      <c r="BM311" s="7"/>
      <c r="BN311" s="7"/>
      <c r="BO311" s="4"/>
      <c r="BP311" s="8"/>
      <c r="BQ311" s="4"/>
      <c r="BR311" s="8"/>
      <c r="BS311" s="7"/>
      <c r="BT311" s="7"/>
      <c r="BU311" s="2" t="s">
        <v>109</v>
      </c>
      <c r="BV311" s="2" t="s">
        <v>97</v>
      </c>
      <c r="BW311" s="2" t="s">
        <v>797</v>
      </c>
      <c r="BX311" s="2" t="s">
        <v>1276</v>
      </c>
      <c r="BY311" s="2" t="s">
        <v>112</v>
      </c>
      <c r="BZ311" s="2" t="s">
        <v>100</v>
      </c>
    </row>
    <row r="312">
      <c r="A312" s="2" t="s">
        <v>1277</v>
      </c>
      <c r="B312" s="2" t="s">
        <v>87</v>
      </c>
      <c r="C312" s="2" t="s">
        <v>785</v>
      </c>
      <c r="D312" s="2" t="s">
        <v>1255</v>
      </c>
      <c r="E312" s="2" t="s">
        <v>1256</v>
      </c>
      <c r="F312" s="2" t="s">
        <v>787</v>
      </c>
      <c r="G312" s="2" t="s">
        <v>788</v>
      </c>
      <c r="H312" s="2" t="s">
        <v>789</v>
      </c>
      <c r="I312" s="2" t="s">
        <v>1257</v>
      </c>
      <c r="J312" s="2" t="s">
        <v>558</v>
      </c>
      <c r="K312" s="2" t="s">
        <v>830</v>
      </c>
      <c r="L312" s="3">
        <v>20.23</v>
      </c>
      <c r="M312" s="3">
        <v>21.24</v>
      </c>
      <c r="N312" s="3">
        <v>42.49</v>
      </c>
      <c r="O312" s="2" t="s">
        <v>97</v>
      </c>
      <c r="P312" s="2" t="s">
        <v>98</v>
      </c>
      <c r="Q312" s="2" t="s">
        <v>99</v>
      </c>
      <c r="R312" s="2" t="s">
        <v>100</v>
      </c>
      <c r="S312" s="2" t="s">
        <v>831</v>
      </c>
      <c r="T312" s="2" t="s">
        <v>793</v>
      </c>
      <c r="U312" s="2" t="s">
        <v>432</v>
      </c>
      <c r="V312" s="2" t="s">
        <v>427</v>
      </c>
      <c r="W312" s="2" t="s">
        <v>428</v>
      </c>
      <c r="X312" s="2" t="s">
        <v>636</v>
      </c>
      <c r="Y312" s="2" t="s">
        <v>794</v>
      </c>
      <c r="Z312" s="4">
        <v>982</v>
      </c>
      <c r="AA312" s="4">
        <f>=ROUNDDOWN(44.6363636363636,0)</f>
      </c>
      <c r="AB312" s="5">
        <v>22</v>
      </c>
      <c r="AC312" s="2" t="s">
        <v>752</v>
      </c>
      <c r="AD312" s="4">
        <v>552</v>
      </c>
      <c r="AE312" s="4">
        <v>552</v>
      </c>
      <c r="AF312" s="6">
        <v>63</v>
      </c>
      <c r="AG312" s="6">
        <v>46</v>
      </c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/>
      <c r="AP312" s="4">
        <v>3</v>
      </c>
      <c r="AQ312" s="8">
        <v>70.65</v>
      </c>
      <c r="AR312" s="4"/>
      <c r="AS312" s="8"/>
      <c r="AT312" s="7"/>
      <c r="AU312" s="7"/>
      <c r="AV312" s="4" t="s">
        <v>100</v>
      </c>
      <c r="AW312" s="8" t="s">
        <v>100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>
        <v>0.4691</v>
      </c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 t="s">
        <v>100</v>
      </c>
      <c r="BJ312" s="4">
        <v>142</v>
      </c>
      <c r="BK312" s="8">
        <v>3141.44</v>
      </c>
      <c r="BL312" s="2" t="s">
        <v>1278</v>
      </c>
      <c r="BM312" s="7">
        <v>0.0211</v>
      </c>
      <c r="BN312" s="7">
        <v>0.0225</v>
      </c>
      <c r="BO312" s="4">
        <v>3</v>
      </c>
      <c r="BP312" s="8">
        <v>70.65</v>
      </c>
      <c r="BQ312" s="4"/>
      <c r="BR312" s="8"/>
      <c r="BS312" s="7"/>
      <c r="BT312" s="7"/>
      <c r="BU312" s="2" t="s">
        <v>109</v>
      </c>
      <c r="BV312" s="2" t="s">
        <v>97</v>
      </c>
      <c r="BW312" s="2" t="s">
        <v>797</v>
      </c>
      <c r="BX312" s="2" t="s">
        <v>805</v>
      </c>
      <c r="BY312" s="2" t="s">
        <v>112</v>
      </c>
      <c r="BZ312" s="2" t="s">
        <v>100</v>
      </c>
    </row>
    <row r="313">
      <c r="A313" s="2" t="s">
        <v>1279</v>
      </c>
      <c r="B313" s="2" t="s">
        <v>87</v>
      </c>
      <c r="C313" s="2" t="s">
        <v>785</v>
      </c>
      <c r="D313" s="2" t="s">
        <v>1255</v>
      </c>
      <c r="E313" s="2" t="s">
        <v>1256</v>
      </c>
      <c r="F313" s="2" t="s">
        <v>787</v>
      </c>
      <c r="G313" s="2" t="s">
        <v>788</v>
      </c>
      <c r="H313" s="2" t="s">
        <v>789</v>
      </c>
      <c r="I313" s="2" t="s">
        <v>1257</v>
      </c>
      <c r="J313" s="2" t="s">
        <v>563</v>
      </c>
      <c r="K313" s="2" t="s">
        <v>830</v>
      </c>
      <c r="L313" s="3">
        <v>23.57</v>
      </c>
      <c r="M313" s="3">
        <v>24.75</v>
      </c>
      <c r="N313" s="3">
        <v>49.49</v>
      </c>
      <c r="O313" s="2" t="s">
        <v>97</v>
      </c>
      <c r="P313" s="2" t="s">
        <v>98</v>
      </c>
      <c r="Q313" s="2" t="s">
        <v>99</v>
      </c>
      <c r="R313" s="2" t="s">
        <v>100</v>
      </c>
      <c r="S313" s="2" t="s">
        <v>831</v>
      </c>
      <c r="T313" s="2" t="s">
        <v>793</v>
      </c>
      <c r="U313" s="2" t="s">
        <v>432</v>
      </c>
      <c r="V313" s="2" t="s">
        <v>427</v>
      </c>
      <c r="W313" s="2" t="s">
        <v>428</v>
      </c>
      <c r="X313" s="2" t="s">
        <v>636</v>
      </c>
      <c r="Y313" s="2" t="s">
        <v>797</v>
      </c>
      <c r="Z313" s="4">
        <v>837</v>
      </c>
      <c r="AA313" s="4">
        <f>=ROUNDDOWN(41.85,0)</f>
      </c>
      <c r="AB313" s="5">
        <v>20</v>
      </c>
      <c r="AC313" s="2" t="s">
        <v>752</v>
      </c>
      <c r="AD313" s="4">
        <v>40</v>
      </c>
      <c r="AE313" s="4">
        <v>260</v>
      </c>
      <c r="AF313" s="6">
        <v>63</v>
      </c>
      <c r="AG313" s="6">
        <v>46</v>
      </c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/>
      <c r="AP313" s="4">
        <v>3</v>
      </c>
      <c r="AQ313" s="8">
        <v>79.95</v>
      </c>
      <c r="AR313" s="4"/>
      <c r="AS313" s="8"/>
      <c r="AT313" s="7"/>
      <c r="AU313" s="7"/>
      <c r="AV313" s="4" t="s">
        <v>100</v>
      </c>
      <c r="AW313" s="8" t="s">
        <v>100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>
        <v>0.5309</v>
      </c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 t="s">
        <v>100</v>
      </c>
      <c r="BJ313" s="4">
        <v>92</v>
      </c>
      <c r="BK313" s="8">
        <v>2350.14</v>
      </c>
      <c r="BL313" s="2" t="s">
        <v>1118</v>
      </c>
      <c r="BM313" s="7">
        <v>0.0326</v>
      </c>
      <c r="BN313" s="7">
        <v>0.034</v>
      </c>
      <c r="BO313" s="4">
        <v>3</v>
      </c>
      <c r="BP313" s="8">
        <v>79.95</v>
      </c>
      <c r="BQ313" s="4"/>
      <c r="BR313" s="8"/>
      <c r="BS313" s="7"/>
      <c r="BT313" s="7"/>
      <c r="BU313" s="2" t="s">
        <v>109</v>
      </c>
      <c r="BV313" s="2" t="s">
        <v>97</v>
      </c>
      <c r="BW313" s="2" t="s">
        <v>797</v>
      </c>
      <c r="BX313" s="2" t="s">
        <v>1043</v>
      </c>
      <c r="BY313" s="2" t="s">
        <v>112</v>
      </c>
      <c r="BZ313" s="2" t="s">
        <v>100</v>
      </c>
    </row>
    <row r="314">
      <c r="A314" s="2" t="s">
        <v>1280</v>
      </c>
      <c r="B314" s="2" t="s">
        <v>87</v>
      </c>
      <c r="C314" s="2" t="s">
        <v>785</v>
      </c>
      <c r="D314" s="2" t="s">
        <v>1255</v>
      </c>
      <c r="E314" s="2" t="s">
        <v>1256</v>
      </c>
      <c r="F314" s="2" t="s">
        <v>840</v>
      </c>
      <c r="G314" s="2" t="s">
        <v>841</v>
      </c>
      <c r="H314" s="2" t="s">
        <v>842</v>
      </c>
      <c r="I314" s="2" t="s">
        <v>1281</v>
      </c>
      <c r="J314" s="2" t="s">
        <v>791</v>
      </c>
      <c r="K314" s="2" t="s">
        <v>623</v>
      </c>
      <c r="L314" s="3">
        <v>15.47</v>
      </c>
      <c r="M314" s="3">
        <v>16.24</v>
      </c>
      <c r="N314" s="3">
        <v>32.49</v>
      </c>
      <c r="O314" s="2" t="s">
        <v>97</v>
      </c>
      <c r="P314" s="2" t="s">
        <v>576</v>
      </c>
      <c r="Q314" s="2" t="s">
        <v>99</v>
      </c>
      <c r="R314" s="2" t="s">
        <v>100</v>
      </c>
      <c r="S314" s="2" t="s">
        <v>844</v>
      </c>
      <c r="T314" s="2" t="s">
        <v>231</v>
      </c>
      <c r="U314" s="2" t="s">
        <v>426</v>
      </c>
      <c r="V314" s="2" t="s">
        <v>427</v>
      </c>
      <c r="W314" s="2" t="s">
        <v>428</v>
      </c>
      <c r="X314" s="2" t="s">
        <v>636</v>
      </c>
      <c r="Y314" s="2" t="s">
        <v>794</v>
      </c>
      <c r="Z314" s="4">
        <v>495</v>
      </c>
      <c r="AA314" s="4">
        <f>=ROUNDDOWN(13.0263157894737,0)</f>
      </c>
      <c r="AB314" s="5">
        <v>38</v>
      </c>
      <c r="AC314" s="2" t="s">
        <v>1282</v>
      </c>
      <c r="AD314" s="4">
        <v>300</v>
      </c>
      <c r="AE314" s="4">
        <v>300</v>
      </c>
      <c r="AF314" s="6">
        <v>63</v>
      </c>
      <c r="AG314" s="6">
        <v>46</v>
      </c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>
        <v>20</v>
      </c>
      <c r="AW314" s="8">
        <v>497.6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/>
      <c r="BC314" s="4">
        <v>87</v>
      </c>
      <c r="BD314" s="8">
        <v>2139.12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>
        <v>0.2326</v>
      </c>
      <c r="BJ314" s="4">
        <v>46</v>
      </c>
      <c r="BK314" s="8">
        <v>814.5</v>
      </c>
      <c r="BL314" s="2" t="s">
        <v>1283</v>
      </c>
      <c r="BM314" s="7"/>
      <c r="BN314" s="7"/>
      <c r="BO314" s="4"/>
      <c r="BP314" s="8"/>
      <c r="BQ314" s="4"/>
      <c r="BR314" s="8"/>
      <c r="BS314" s="7"/>
      <c r="BT314" s="7"/>
      <c r="BU314" s="2" t="s">
        <v>109</v>
      </c>
      <c r="BV314" s="2" t="s">
        <v>97</v>
      </c>
      <c r="BW314" s="2" t="s">
        <v>819</v>
      </c>
      <c r="BX314" s="2" t="s">
        <v>856</v>
      </c>
      <c r="BY314" s="2" t="s">
        <v>112</v>
      </c>
      <c r="BZ314" s="2" t="s">
        <v>100</v>
      </c>
    </row>
    <row r="315">
      <c r="A315" s="2" t="s">
        <v>1284</v>
      </c>
      <c r="B315" s="2" t="s">
        <v>87</v>
      </c>
      <c r="C315" s="2" t="s">
        <v>785</v>
      </c>
      <c r="D315" s="2" t="s">
        <v>1255</v>
      </c>
      <c r="E315" s="2" t="s">
        <v>1256</v>
      </c>
      <c r="F315" s="2" t="s">
        <v>840</v>
      </c>
      <c r="G315" s="2" t="s">
        <v>841</v>
      </c>
      <c r="H315" s="2" t="s">
        <v>842</v>
      </c>
      <c r="I315" s="2" t="s">
        <v>1281</v>
      </c>
      <c r="J315" s="2" t="s">
        <v>157</v>
      </c>
      <c r="K315" s="2" t="s">
        <v>623</v>
      </c>
      <c r="L315" s="3">
        <v>19.76</v>
      </c>
      <c r="M315" s="3">
        <v>20.75</v>
      </c>
      <c r="N315" s="3">
        <v>39.99</v>
      </c>
      <c r="O315" s="2" t="s">
        <v>97</v>
      </c>
      <c r="P315" s="2" t="s">
        <v>483</v>
      </c>
      <c r="Q315" s="2" t="s">
        <v>99</v>
      </c>
      <c r="R315" s="2" t="s">
        <v>100</v>
      </c>
      <c r="S315" s="2" t="s">
        <v>844</v>
      </c>
      <c r="T315" s="2" t="s">
        <v>231</v>
      </c>
      <c r="U315" s="2" t="s">
        <v>432</v>
      </c>
      <c r="V315" s="2" t="s">
        <v>427</v>
      </c>
      <c r="W315" s="2" t="s">
        <v>428</v>
      </c>
      <c r="X315" s="2" t="s">
        <v>636</v>
      </c>
      <c r="Y315" s="2" t="s">
        <v>858</v>
      </c>
      <c r="Z315" s="4">
        <v>508</v>
      </c>
      <c r="AA315" s="4">
        <f>=ROUNDDOWN(45.7657657657658,0)</f>
      </c>
      <c r="AB315" s="5">
        <v>11.1</v>
      </c>
      <c r="AC315" s="2" t="s">
        <v>1282</v>
      </c>
      <c r="AD315" s="4">
        <v>300</v>
      </c>
      <c r="AE315" s="4">
        <v>300</v>
      </c>
      <c r="AF315" s="6">
        <v>63</v>
      </c>
      <c r="AG315" s="6">
        <v>46</v>
      </c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/>
      <c r="AP315" s="4">
        <v>4</v>
      </c>
      <c r="AQ315" s="8">
        <v>89.64</v>
      </c>
      <c r="AR315" s="4"/>
      <c r="AS315" s="8"/>
      <c r="AT315" s="7"/>
      <c r="AU315" s="7"/>
      <c r="AV315" s="4" t="s">
        <v>100</v>
      </c>
      <c r="AW315" s="8" t="s">
        <v>100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>
        <v>0.1801</v>
      </c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 t="s">
        <v>100</v>
      </c>
      <c r="BJ315" s="4">
        <v>216</v>
      </c>
      <c r="BK315" s="8">
        <v>4746.94</v>
      </c>
      <c r="BL315" s="2" t="s">
        <v>848</v>
      </c>
      <c r="BM315" s="7">
        <v>0.0185</v>
      </c>
      <c r="BN315" s="7">
        <v>0.0189</v>
      </c>
      <c r="BO315" s="4">
        <v>4</v>
      </c>
      <c r="BP315" s="8">
        <v>89.64</v>
      </c>
      <c r="BQ315" s="4"/>
      <c r="BR315" s="8"/>
      <c r="BS315" s="7"/>
      <c r="BT315" s="7"/>
      <c r="BU315" s="2" t="s">
        <v>109</v>
      </c>
      <c r="BV315" s="2" t="s">
        <v>97</v>
      </c>
      <c r="BW315" s="2" t="s">
        <v>860</v>
      </c>
      <c r="BX315" s="2" t="s">
        <v>849</v>
      </c>
      <c r="BY315" s="2" t="s">
        <v>112</v>
      </c>
      <c r="BZ315" s="2" t="s">
        <v>100</v>
      </c>
    </row>
    <row r="316">
      <c r="A316" s="2" t="s">
        <v>1285</v>
      </c>
      <c r="B316" s="2" t="s">
        <v>87</v>
      </c>
      <c r="C316" s="2" t="s">
        <v>785</v>
      </c>
      <c r="D316" s="2" t="s">
        <v>1255</v>
      </c>
      <c r="E316" s="2" t="s">
        <v>1256</v>
      </c>
      <c r="F316" s="2" t="s">
        <v>840</v>
      </c>
      <c r="G316" s="2" t="s">
        <v>841</v>
      </c>
      <c r="H316" s="2" t="s">
        <v>842</v>
      </c>
      <c r="I316" s="2" t="s">
        <v>1281</v>
      </c>
      <c r="J316" s="2" t="s">
        <v>95</v>
      </c>
      <c r="K316" s="2" t="s">
        <v>623</v>
      </c>
      <c r="L316" s="3">
        <v>20.23</v>
      </c>
      <c r="M316" s="3">
        <v>21.24</v>
      </c>
      <c r="N316" s="3">
        <v>42.49</v>
      </c>
      <c r="O316" s="2" t="s">
        <v>97</v>
      </c>
      <c r="P316" s="2" t="s">
        <v>576</v>
      </c>
      <c r="Q316" s="2" t="s">
        <v>99</v>
      </c>
      <c r="R316" s="2" t="s">
        <v>100</v>
      </c>
      <c r="S316" s="2" t="s">
        <v>844</v>
      </c>
      <c r="T316" s="2" t="s">
        <v>231</v>
      </c>
      <c r="U316" s="2" t="s">
        <v>432</v>
      </c>
      <c r="V316" s="2" t="s">
        <v>427</v>
      </c>
      <c r="W316" s="2" t="s">
        <v>428</v>
      </c>
      <c r="X316" s="2" t="s">
        <v>636</v>
      </c>
      <c r="Y316" s="2" t="s">
        <v>794</v>
      </c>
      <c r="Z316" s="4">
        <v>3496</v>
      </c>
      <c r="AA316" s="4">
        <f>=ROUNDDOWN(32.6728971962617,0)</f>
      </c>
      <c r="AB316" s="5">
        <v>107</v>
      </c>
      <c r="AC316" s="2" t="s">
        <v>851</v>
      </c>
      <c r="AD316" s="4">
        <v>800</v>
      </c>
      <c r="AE316" s="4">
        <v>1200</v>
      </c>
      <c r="AF316" s="6">
        <v>63</v>
      </c>
      <c r="AG316" s="6">
        <v>46</v>
      </c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/>
      <c r="AP316" s="4">
        <v>6</v>
      </c>
      <c r="AQ316" s="8">
        <v>141.3</v>
      </c>
      <c r="AR316" s="4"/>
      <c r="AS316" s="8"/>
      <c r="AT316" s="7"/>
      <c r="AU316" s="7"/>
      <c r="AV316" s="4" t="s">
        <v>100</v>
      </c>
      <c r="AW316" s="8" t="s">
        <v>100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>
        <v>0.284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 t="s">
        <v>100</v>
      </c>
      <c r="BJ316" s="4">
        <v>223</v>
      </c>
      <c r="BK316" s="8">
        <v>4752.55</v>
      </c>
      <c r="BL316" s="2" t="s">
        <v>838</v>
      </c>
      <c r="BM316" s="7">
        <v>0.0269</v>
      </c>
      <c r="BN316" s="7">
        <v>0.0297</v>
      </c>
      <c r="BO316" s="4">
        <v>6</v>
      </c>
      <c r="BP316" s="8">
        <v>141.3</v>
      </c>
      <c r="BQ316" s="4"/>
      <c r="BR316" s="8"/>
      <c r="BS316" s="7"/>
      <c r="BT316" s="7"/>
      <c r="BU316" s="2" t="s">
        <v>109</v>
      </c>
      <c r="BV316" s="2" t="s">
        <v>97</v>
      </c>
      <c r="BW316" s="2" t="s">
        <v>819</v>
      </c>
      <c r="BX316" s="2" t="s">
        <v>825</v>
      </c>
      <c r="BY316" s="2" t="s">
        <v>112</v>
      </c>
      <c r="BZ316" s="2" t="s">
        <v>100</v>
      </c>
    </row>
    <row r="317">
      <c r="A317" s="2" t="s">
        <v>1286</v>
      </c>
      <c r="B317" s="2" t="s">
        <v>87</v>
      </c>
      <c r="C317" s="2" t="s">
        <v>785</v>
      </c>
      <c r="D317" s="2" t="s">
        <v>1255</v>
      </c>
      <c r="E317" s="2" t="s">
        <v>1256</v>
      </c>
      <c r="F317" s="2" t="s">
        <v>840</v>
      </c>
      <c r="G317" s="2" t="s">
        <v>841</v>
      </c>
      <c r="H317" s="2" t="s">
        <v>842</v>
      </c>
      <c r="I317" s="2" t="s">
        <v>1281</v>
      </c>
      <c r="J317" s="2" t="s">
        <v>114</v>
      </c>
      <c r="K317" s="2" t="s">
        <v>623</v>
      </c>
      <c r="L317" s="3">
        <v>22.61</v>
      </c>
      <c r="M317" s="3">
        <v>23.74</v>
      </c>
      <c r="N317" s="3">
        <v>47.49</v>
      </c>
      <c r="O317" s="2" t="s">
        <v>97</v>
      </c>
      <c r="P317" s="2" t="s">
        <v>576</v>
      </c>
      <c r="Q317" s="2" t="s">
        <v>99</v>
      </c>
      <c r="R317" s="2" t="s">
        <v>100</v>
      </c>
      <c r="S317" s="2" t="s">
        <v>844</v>
      </c>
      <c r="T317" s="2" t="s">
        <v>231</v>
      </c>
      <c r="U317" s="2" t="s">
        <v>432</v>
      </c>
      <c r="V317" s="2" t="s">
        <v>427</v>
      </c>
      <c r="W317" s="2" t="s">
        <v>428</v>
      </c>
      <c r="X317" s="2" t="s">
        <v>636</v>
      </c>
      <c r="Y317" s="2" t="s">
        <v>819</v>
      </c>
      <c r="Z317" s="4">
        <v>3733</v>
      </c>
      <c r="AA317" s="4">
        <f>=ROUNDDOWN(26.8561151079137,0)</f>
      </c>
      <c r="AB317" s="5">
        <v>139</v>
      </c>
      <c r="AC317" s="2" t="s">
        <v>851</v>
      </c>
      <c r="AD317" s="4">
        <v>1360</v>
      </c>
      <c r="AE317" s="4">
        <v>1360</v>
      </c>
      <c r="AF317" s="6">
        <v>63</v>
      </c>
      <c r="AG317" s="6">
        <v>46</v>
      </c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/>
      <c r="AP317" s="4">
        <v>8</v>
      </c>
      <c r="AQ317" s="8">
        <v>213.2</v>
      </c>
      <c r="AR317" s="4"/>
      <c r="AS317" s="8"/>
      <c r="AT317" s="7"/>
      <c r="AU317" s="7"/>
      <c r="AV317" s="4" t="s">
        <v>100</v>
      </c>
      <c r="AW317" s="8" t="s">
        <v>100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>
        <v>0.4285</v>
      </c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 t="s">
        <v>100</v>
      </c>
      <c r="BJ317" s="4">
        <v>269</v>
      </c>
      <c r="BK317" s="8">
        <v>6509.76</v>
      </c>
      <c r="BL317" s="2" t="s">
        <v>1287</v>
      </c>
      <c r="BM317" s="7">
        <v>0.0297</v>
      </c>
      <c r="BN317" s="7">
        <v>0.0328</v>
      </c>
      <c r="BO317" s="4">
        <v>8</v>
      </c>
      <c r="BP317" s="8">
        <v>213.2</v>
      </c>
      <c r="BQ317" s="4"/>
      <c r="BR317" s="8"/>
      <c r="BS317" s="7"/>
      <c r="BT317" s="7"/>
      <c r="BU317" s="2" t="s">
        <v>109</v>
      </c>
      <c r="BV317" s="2" t="s">
        <v>97</v>
      </c>
      <c r="BW317" s="2" t="s">
        <v>819</v>
      </c>
      <c r="BX317" s="2" t="s">
        <v>825</v>
      </c>
      <c r="BY317" s="2" t="s">
        <v>112</v>
      </c>
      <c r="BZ317" s="2" t="s">
        <v>100</v>
      </c>
    </row>
    <row r="318">
      <c r="A318" s="2" t="s">
        <v>1288</v>
      </c>
      <c r="B318" s="2" t="s">
        <v>87</v>
      </c>
      <c r="C318" s="2" t="s">
        <v>785</v>
      </c>
      <c r="D318" s="2" t="s">
        <v>1255</v>
      </c>
      <c r="E318" s="2" t="s">
        <v>1256</v>
      </c>
      <c r="F318" s="2" t="s">
        <v>840</v>
      </c>
      <c r="G318" s="2" t="s">
        <v>841</v>
      </c>
      <c r="H318" s="2" t="s">
        <v>842</v>
      </c>
      <c r="I318" s="2" t="s">
        <v>1281</v>
      </c>
      <c r="J318" s="2" t="s">
        <v>120</v>
      </c>
      <c r="K318" s="2" t="s">
        <v>623</v>
      </c>
      <c r="L318" s="3">
        <v>23.57</v>
      </c>
      <c r="M318" s="3">
        <v>24.75</v>
      </c>
      <c r="N318" s="3">
        <v>44.99</v>
      </c>
      <c r="O318" s="2" t="s">
        <v>97</v>
      </c>
      <c r="P318" s="2" t="s">
        <v>483</v>
      </c>
      <c r="Q318" s="2" t="s">
        <v>99</v>
      </c>
      <c r="R318" s="2" t="s">
        <v>100</v>
      </c>
      <c r="S318" s="2" t="s">
        <v>844</v>
      </c>
      <c r="T318" s="2" t="s">
        <v>231</v>
      </c>
      <c r="U318" s="2" t="s">
        <v>432</v>
      </c>
      <c r="V318" s="2" t="s">
        <v>427</v>
      </c>
      <c r="W318" s="2" t="s">
        <v>428</v>
      </c>
      <c r="X318" s="2" t="s">
        <v>636</v>
      </c>
      <c r="Y318" s="2" t="s">
        <v>858</v>
      </c>
      <c r="Z318" s="4">
        <v>1408</v>
      </c>
      <c r="AA318" s="4">
        <f>=ROUNDDOWN(92.6315789473684,0)</f>
      </c>
      <c r="AB318" s="5">
        <v>15.2</v>
      </c>
      <c r="AC318" s="2" t="s">
        <v>116</v>
      </c>
      <c r="AD318" s="4">
        <v>736</v>
      </c>
      <c r="AE318" s="4">
        <v>736</v>
      </c>
      <c r="AF318" s="6">
        <v>63</v>
      </c>
      <c r="AG318" s="6">
        <v>46</v>
      </c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/>
      <c r="AP318" s="4">
        <v>2</v>
      </c>
      <c r="AQ318" s="8">
        <v>53.46</v>
      </c>
      <c r="AR318" s="4"/>
      <c r="AS318" s="8"/>
      <c r="AT318" s="7"/>
      <c r="AU318" s="7"/>
      <c r="AV318" s="4" t="s">
        <v>100</v>
      </c>
      <c r="AW318" s="8" t="s">
        <v>100</v>
      </c>
      <c r="AX318" s="4" t="s">
        <v>100</v>
      </c>
      <c r="AY318" s="8" t="s">
        <v>100</v>
      </c>
      <c r="AZ318" s="7" t="s">
        <v>100</v>
      </c>
      <c r="BA318" s="7" t="s">
        <v>100</v>
      </c>
      <c r="BB318" s="7">
        <v>0.1074</v>
      </c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 t="s">
        <v>100</v>
      </c>
      <c r="BJ318" s="4">
        <v>222</v>
      </c>
      <c r="BK318" s="8">
        <v>5578.55</v>
      </c>
      <c r="BL318" s="2" t="s">
        <v>859</v>
      </c>
      <c r="BM318" s="7">
        <v>0.009</v>
      </c>
      <c r="BN318" s="7">
        <v>0.0096</v>
      </c>
      <c r="BO318" s="4">
        <v>2</v>
      </c>
      <c r="BP318" s="8">
        <v>53.46</v>
      </c>
      <c r="BQ318" s="4"/>
      <c r="BR318" s="8"/>
      <c r="BS318" s="7"/>
      <c r="BT318" s="7"/>
      <c r="BU318" s="2" t="s">
        <v>109</v>
      </c>
      <c r="BV318" s="2" t="s">
        <v>97</v>
      </c>
      <c r="BW318" s="2" t="s">
        <v>860</v>
      </c>
      <c r="BX318" s="2" t="s">
        <v>1212</v>
      </c>
      <c r="BY318" s="2" t="s">
        <v>112</v>
      </c>
      <c r="BZ318" s="2" t="s">
        <v>100</v>
      </c>
    </row>
    <row r="319">
      <c r="A319" s="2" t="s">
        <v>1289</v>
      </c>
      <c r="B319" s="2" t="s">
        <v>87</v>
      </c>
      <c r="C319" s="2" t="s">
        <v>785</v>
      </c>
      <c r="D319" s="2" t="s">
        <v>1255</v>
      </c>
      <c r="E319" s="2" t="s">
        <v>1256</v>
      </c>
      <c r="F319" s="2" t="s">
        <v>840</v>
      </c>
      <c r="G319" s="2" t="s">
        <v>841</v>
      </c>
      <c r="H319" s="2" t="s">
        <v>842</v>
      </c>
      <c r="I319" s="2" t="s">
        <v>1281</v>
      </c>
      <c r="J319" s="2" t="s">
        <v>791</v>
      </c>
      <c r="K319" s="2" t="s">
        <v>440</v>
      </c>
      <c r="L319" s="3">
        <v>15.47</v>
      </c>
      <c r="M319" s="3">
        <v>16.24</v>
      </c>
      <c r="N319" s="3">
        <v>32.49</v>
      </c>
      <c r="O319" s="2" t="s">
        <v>97</v>
      </c>
      <c r="P319" s="2" t="s">
        <v>576</v>
      </c>
      <c r="Q319" s="2" t="s">
        <v>99</v>
      </c>
      <c r="R319" s="2" t="s">
        <v>100</v>
      </c>
      <c r="S319" s="2" t="s">
        <v>862</v>
      </c>
      <c r="T319" s="2" t="s">
        <v>231</v>
      </c>
      <c r="U319" s="2" t="s">
        <v>426</v>
      </c>
      <c r="V319" s="2" t="s">
        <v>427</v>
      </c>
      <c r="W319" s="2" t="s">
        <v>428</v>
      </c>
      <c r="X319" s="2" t="s">
        <v>636</v>
      </c>
      <c r="Y319" s="2" t="s">
        <v>819</v>
      </c>
      <c r="Z319" s="4">
        <v>56</v>
      </c>
      <c r="AA319" s="4">
        <f>=ROUNDDOWN(4.66666666666667,0)</f>
      </c>
      <c r="AB319" s="5">
        <v>12</v>
      </c>
      <c r="AC319" s="2" t="s">
        <v>184</v>
      </c>
      <c r="AD319" s="4">
        <v>240</v>
      </c>
      <c r="AE319" s="4">
        <v>440</v>
      </c>
      <c r="AF319" s="6">
        <v>63</v>
      </c>
      <c r="AG319" s="6">
        <v>46</v>
      </c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>
        <v>12</v>
      </c>
      <c r="AW319" s="8">
        <v>303.16</v>
      </c>
      <c r="AX319" s="4" t="s">
        <v>100</v>
      </c>
      <c r="AY319" s="8" t="s">
        <v>100</v>
      </c>
      <c r="AZ319" s="7" t="s">
        <v>100</v>
      </c>
      <c r="BA319" s="7" t="s">
        <v>100</v>
      </c>
      <c r="BB319" s="7"/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>
        <v>0.1417</v>
      </c>
      <c r="BJ319" s="4">
        <v>27</v>
      </c>
      <c r="BK319" s="8">
        <v>458.07</v>
      </c>
      <c r="BL319" s="2" t="s">
        <v>1290</v>
      </c>
      <c r="BM319" s="7"/>
      <c r="BN319" s="7"/>
      <c r="BO319" s="4"/>
      <c r="BP319" s="8"/>
      <c r="BQ319" s="4"/>
      <c r="BR319" s="8"/>
      <c r="BS319" s="7"/>
      <c r="BT319" s="7"/>
      <c r="BU319" s="2" t="s">
        <v>109</v>
      </c>
      <c r="BV319" s="2" t="s">
        <v>97</v>
      </c>
      <c r="BW319" s="2" t="s">
        <v>819</v>
      </c>
      <c r="BX319" s="2" t="s">
        <v>804</v>
      </c>
      <c r="BY319" s="2" t="s">
        <v>112</v>
      </c>
      <c r="BZ319" s="2" t="s">
        <v>100</v>
      </c>
    </row>
    <row r="320">
      <c r="A320" s="2" t="s">
        <v>1291</v>
      </c>
      <c r="B320" s="2" t="s">
        <v>87</v>
      </c>
      <c r="C320" s="2" t="s">
        <v>785</v>
      </c>
      <c r="D320" s="2" t="s">
        <v>1255</v>
      </c>
      <c r="E320" s="2" t="s">
        <v>1256</v>
      </c>
      <c r="F320" s="2" t="s">
        <v>840</v>
      </c>
      <c r="G320" s="2" t="s">
        <v>841</v>
      </c>
      <c r="H320" s="2" t="s">
        <v>842</v>
      </c>
      <c r="I320" s="2" t="s">
        <v>1281</v>
      </c>
      <c r="J320" s="2" t="s">
        <v>157</v>
      </c>
      <c r="K320" s="2" t="s">
        <v>440</v>
      </c>
      <c r="L320" s="3">
        <v>19.76</v>
      </c>
      <c r="M320" s="3">
        <v>20.75</v>
      </c>
      <c r="N320" s="3">
        <v>39.99</v>
      </c>
      <c r="O320" s="2" t="s">
        <v>97</v>
      </c>
      <c r="P320" s="2" t="s">
        <v>483</v>
      </c>
      <c r="Q320" s="2" t="s">
        <v>99</v>
      </c>
      <c r="R320" s="2" t="s">
        <v>100</v>
      </c>
      <c r="S320" s="2" t="s">
        <v>862</v>
      </c>
      <c r="T320" s="2" t="s">
        <v>231</v>
      </c>
      <c r="U320" s="2" t="s">
        <v>432</v>
      </c>
      <c r="V320" s="2" t="s">
        <v>427</v>
      </c>
      <c r="W320" s="2" t="s">
        <v>428</v>
      </c>
      <c r="X320" s="2" t="s">
        <v>636</v>
      </c>
      <c r="Y320" s="2" t="s">
        <v>858</v>
      </c>
      <c r="Z320" s="4">
        <v>279</v>
      </c>
      <c r="AA320" s="4">
        <f>=ROUNDDOWN(41.6417910447761,0)</f>
      </c>
      <c r="AB320" s="5">
        <v>6.7</v>
      </c>
      <c r="AC320" s="2" t="s">
        <v>742</v>
      </c>
      <c r="AD320" s="4">
        <v>200</v>
      </c>
      <c r="AE320" s="4">
        <v>200</v>
      </c>
      <c r="AF320" s="6">
        <v>63</v>
      </c>
      <c r="AG320" s="6">
        <v>46</v>
      </c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/>
      <c r="AP320" s="4">
        <v>1</v>
      </c>
      <c r="AQ320" s="8">
        <v>22.41</v>
      </c>
      <c r="AR320" s="4"/>
      <c r="AS320" s="8"/>
      <c r="AT320" s="7"/>
      <c r="AU320" s="7"/>
      <c r="AV320" s="4" t="s">
        <v>100</v>
      </c>
      <c r="AW320" s="8" t="s">
        <v>100</v>
      </c>
      <c r="AX320" s="4" t="s">
        <v>100</v>
      </c>
      <c r="AY320" s="8" t="s">
        <v>100</v>
      </c>
      <c r="AZ320" s="7" t="s">
        <v>100</v>
      </c>
      <c r="BA320" s="7" t="s">
        <v>100</v>
      </c>
      <c r="BB320" s="7">
        <v>0.0739</v>
      </c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 t="s">
        <v>100</v>
      </c>
      <c r="BJ320" s="4">
        <v>36</v>
      </c>
      <c r="BK320" s="8">
        <v>796.91</v>
      </c>
      <c r="BL320" s="2" t="s">
        <v>848</v>
      </c>
      <c r="BM320" s="7">
        <v>0.0278</v>
      </c>
      <c r="BN320" s="7">
        <v>0.0281</v>
      </c>
      <c r="BO320" s="4">
        <v>1</v>
      </c>
      <c r="BP320" s="8">
        <v>22.41</v>
      </c>
      <c r="BQ320" s="4"/>
      <c r="BR320" s="8"/>
      <c r="BS320" s="7"/>
      <c r="BT320" s="7"/>
      <c r="BU320" s="2" t="s">
        <v>109</v>
      </c>
      <c r="BV320" s="2" t="s">
        <v>97</v>
      </c>
      <c r="BW320" s="2" t="s">
        <v>860</v>
      </c>
      <c r="BX320" s="2" t="s">
        <v>986</v>
      </c>
      <c r="BY320" s="2" t="s">
        <v>112</v>
      </c>
      <c r="BZ320" s="2" t="s">
        <v>100</v>
      </c>
    </row>
    <row r="321">
      <c r="A321" s="2" t="s">
        <v>1292</v>
      </c>
      <c r="B321" s="2" t="s">
        <v>87</v>
      </c>
      <c r="C321" s="2" t="s">
        <v>785</v>
      </c>
      <c r="D321" s="2" t="s">
        <v>1255</v>
      </c>
      <c r="E321" s="2" t="s">
        <v>1256</v>
      </c>
      <c r="F321" s="2" t="s">
        <v>840</v>
      </c>
      <c r="G321" s="2" t="s">
        <v>841</v>
      </c>
      <c r="H321" s="2" t="s">
        <v>842</v>
      </c>
      <c r="I321" s="2" t="s">
        <v>1281</v>
      </c>
      <c r="J321" s="2" t="s">
        <v>95</v>
      </c>
      <c r="K321" s="2" t="s">
        <v>440</v>
      </c>
      <c r="L321" s="3">
        <v>20.23</v>
      </c>
      <c r="M321" s="3">
        <v>21.24</v>
      </c>
      <c r="N321" s="3">
        <v>42.49</v>
      </c>
      <c r="O321" s="2" t="s">
        <v>97</v>
      </c>
      <c r="P321" s="2" t="s">
        <v>576</v>
      </c>
      <c r="Q321" s="2" t="s">
        <v>99</v>
      </c>
      <c r="R321" s="2" t="s">
        <v>100</v>
      </c>
      <c r="S321" s="2" t="s">
        <v>862</v>
      </c>
      <c r="T321" s="2" t="s">
        <v>231</v>
      </c>
      <c r="U321" s="2" t="s">
        <v>432</v>
      </c>
      <c r="V321" s="2" t="s">
        <v>427</v>
      </c>
      <c r="W321" s="2" t="s">
        <v>428</v>
      </c>
      <c r="X321" s="2" t="s">
        <v>636</v>
      </c>
      <c r="Y321" s="2" t="s">
        <v>819</v>
      </c>
      <c r="Z321" s="4">
        <v>673</v>
      </c>
      <c r="AA321" s="4">
        <f>=ROUNDDOWN(21.03125,0)</f>
      </c>
      <c r="AB321" s="5">
        <v>32</v>
      </c>
      <c r="AC321" s="2" t="s">
        <v>184</v>
      </c>
      <c r="AD321" s="4">
        <v>400</v>
      </c>
      <c r="AE321" s="4">
        <v>820</v>
      </c>
      <c r="AF321" s="6">
        <v>63</v>
      </c>
      <c r="AG321" s="6">
        <v>46</v>
      </c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/>
      <c r="AP321" s="4">
        <v>4</v>
      </c>
      <c r="AQ321" s="8">
        <v>94.2</v>
      </c>
      <c r="AR321" s="4"/>
      <c r="AS321" s="8"/>
      <c r="AT321" s="7"/>
      <c r="AU321" s="7"/>
      <c r="AV321" s="4" t="s">
        <v>100</v>
      </c>
      <c r="AW321" s="8" t="s">
        <v>100</v>
      </c>
      <c r="AX321" s="4" t="s">
        <v>100</v>
      </c>
      <c r="AY321" s="8" t="s">
        <v>100</v>
      </c>
      <c r="AZ321" s="7" t="s">
        <v>100</v>
      </c>
      <c r="BA321" s="7" t="s">
        <v>100</v>
      </c>
      <c r="BB321" s="7">
        <v>0.3107</v>
      </c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 t="s">
        <v>100</v>
      </c>
      <c r="BJ321" s="4">
        <v>181</v>
      </c>
      <c r="BK321" s="8">
        <v>3954.35</v>
      </c>
      <c r="BL321" s="2" t="s">
        <v>915</v>
      </c>
      <c r="BM321" s="7">
        <v>0.0221</v>
      </c>
      <c r="BN321" s="7">
        <v>0.0238</v>
      </c>
      <c r="BO321" s="4">
        <v>4</v>
      </c>
      <c r="BP321" s="8">
        <v>94.2</v>
      </c>
      <c r="BQ321" s="4"/>
      <c r="BR321" s="8"/>
      <c r="BS321" s="7"/>
      <c r="BT321" s="7"/>
      <c r="BU321" s="2" t="s">
        <v>109</v>
      </c>
      <c r="BV321" s="2" t="s">
        <v>97</v>
      </c>
      <c r="BW321" s="2" t="s">
        <v>819</v>
      </c>
      <c r="BX321" s="2" t="s">
        <v>825</v>
      </c>
      <c r="BY321" s="2" t="s">
        <v>112</v>
      </c>
      <c r="BZ321" s="2" t="s">
        <v>100</v>
      </c>
    </row>
    <row r="322">
      <c r="A322" s="2" t="s">
        <v>1293</v>
      </c>
      <c r="B322" s="2" t="s">
        <v>87</v>
      </c>
      <c r="C322" s="2" t="s">
        <v>785</v>
      </c>
      <c r="D322" s="2" t="s">
        <v>1255</v>
      </c>
      <c r="E322" s="2" t="s">
        <v>1256</v>
      </c>
      <c r="F322" s="2" t="s">
        <v>840</v>
      </c>
      <c r="G322" s="2" t="s">
        <v>841</v>
      </c>
      <c r="H322" s="2" t="s">
        <v>842</v>
      </c>
      <c r="I322" s="2" t="s">
        <v>1281</v>
      </c>
      <c r="J322" s="2" t="s">
        <v>114</v>
      </c>
      <c r="K322" s="2" t="s">
        <v>440</v>
      </c>
      <c r="L322" s="3">
        <v>22.61</v>
      </c>
      <c r="M322" s="3">
        <v>23.74</v>
      </c>
      <c r="N322" s="3">
        <v>47.49</v>
      </c>
      <c r="O322" s="2" t="s">
        <v>97</v>
      </c>
      <c r="P322" s="2" t="s">
        <v>576</v>
      </c>
      <c r="Q322" s="2" t="s">
        <v>99</v>
      </c>
      <c r="R322" s="2" t="s">
        <v>100</v>
      </c>
      <c r="S322" s="2" t="s">
        <v>862</v>
      </c>
      <c r="T322" s="2" t="s">
        <v>231</v>
      </c>
      <c r="U322" s="2" t="s">
        <v>432</v>
      </c>
      <c r="V322" s="2" t="s">
        <v>427</v>
      </c>
      <c r="W322" s="2" t="s">
        <v>428</v>
      </c>
      <c r="X322" s="2" t="s">
        <v>636</v>
      </c>
      <c r="Y322" s="2" t="s">
        <v>819</v>
      </c>
      <c r="Z322" s="4">
        <v>1197</v>
      </c>
      <c r="AA322" s="4">
        <f>=ROUNDDOWN(27.2045454545455,0)</f>
      </c>
      <c r="AB322" s="5">
        <v>44</v>
      </c>
      <c r="AC322" s="2" t="s">
        <v>184</v>
      </c>
      <c r="AD322" s="4">
        <v>480</v>
      </c>
      <c r="AE322" s="4">
        <v>900</v>
      </c>
      <c r="AF322" s="6">
        <v>63</v>
      </c>
      <c r="AG322" s="6">
        <v>46</v>
      </c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/>
      <c r="AP322" s="4">
        <v>7</v>
      </c>
      <c r="AQ322" s="8">
        <v>186.55</v>
      </c>
      <c r="AR322" s="4"/>
      <c r="AS322" s="8"/>
      <c r="AT322" s="7"/>
      <c r="AU322" s="7"/>
      <c r="AV322" s="4" t="s">
        <v>100</v>
      </c>
      <c r="AW322" s="8" t="s">
        <v>100</v>
      </c>
      <c r="AX322" s="4" t="s">
        <v>100</v>
      </c>
      <c r="AY322" s="8" t="s">
        <v>100</v>
      </c>
      <c r="AZ322" s="7" t="s">
        <v>100</v>
      </c>
      <c r="BA322" s="7" t="s">
        <v>100</v>
      </c>
      <c r="BB322" s="7">
        <v>0.6154</v>
      </c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 t="s">
        <v>100</v>
      </c>
      <c r="BJ322" s="4">
        <v>246</v>
      </c>
      <c r="BK322" s="8">
        <v>6047.43</v>
      </c>
      <c r="BL322" s="2" t="s">
        <v>915</v>
      </c>
      <c r="BM322" s="7">
        <v>0.0285</v>
      </c>
      <c r="BN322" s="7">
        <v>0.0308</v>
      </c>
      <c r="BO322" s="4">
        <v>7</v>
      </c>
      <c r="BP322" s="8">
        <v>186.55</v>
      </c>
      <c r="BQ322" s="4"/>
      <c r="BR322" s="8"/>
      <c r="BS322" s="7"/>
      <c r="BT322" s="7"/>
      <c r="BU322" s="2" t="s">
        <v>109</v>
      </c>
      <c r="BV322" s="2" t="s">
        <v>97</v>
      </c>
      <c r="BW322" s="2" t="s">
        <v>819</v>
      </c>
      <c r="BX322" s="2" t="s">
        <v>798</v>
      </c>
      <c r="BY322" s="2" t="s">
        <v>112</v>
      </c>
      <c r="BZ322" s="2" t="s">
        <v>100</v>
      </c>
    </row>
    <row r="323">
      <c r="A323" s="2" t="s">
        <v>1294</v>
      </c>
      <c r="B323" s="2" t="s">
        <v>87</v>
      </c>
      <c r="C323" s="2" t="s">
        <v>785</v>
      </c>
      <c r="D323" s="2" t="s">
        <v>1255</v>
      </c>
      <c r="E323" s="2" t="s">
        <v>1256</v>
      </c>
      <c r="F323" s="2" t="s">
        <v>840</v>
      </c>
      <c r="G323" s="2" t="s">
        <v>841</v>
      </c>
      <c r="H323" s="2" t="s">
        <v>842</v>
      </c>
      <c r="I323" s="2" t="s">
        <v>1281</v>
      </c>
      <c r="J323" s="2" t="s">
        <v>120</v>
      </c>
      <c r="K323" s="2" t="s">
        <v>440</v>
      </c>
      <c r="L323" s="3">
        <v>23.57</v>
      </c>
      <c r="M323" s="3">
        <v>24.75</v>
      </c>
      <c r="N323" s="3">
        <v>44.99</v>
      </c>
      <c r="O323" s="2" t="s">
        <v>97</v>
      </c>
      <c r="P323" s="2" t="s">
        <v>483</v>
      </c>
      <c r="Q323" s="2" t="s">
        <v>99</v>
      </c>
      <c r="R323" s="2" t="s">
        <v>100</v>
      </c>
      <c r="S323" s="2" t="s">
        <v>862</v>
      </c>
      <c r="T323" s="2" t="s">
        <v>231</v>
      </c>
      <c r="U323" s="2" t="s">
        <v>432</v>
      </c>
      <c r="V323" s="2" t="s">
        <v>427</v>
      </c>
      <c r="W323" s="2" t="s">
        <v>428</v>
      </c>
      <c r="X323" s="2" t="s">
        <v>636</v>
      </c>
      <c r="Y323" s="2" t="s">
        <v>488</v>
      </c>
      <c r="Z323" s="4">
        <v>397</v>
      </c>
      <c r="AA323" s="4">
        <f>=ROUNDDOWN(37.4528301886792,0)</f>
      </c>
      <c r="AB323" s="5">
        <v>10.6</v>
      </c>
      <c r="AC323" s="2" t="s">
        <v>666</v>
      </c>
      <c r="AD323" s="4">
        <v>80</v>
      </c>
      <c r="AE323" s="4">
        <v>80</v>
      </c>
      <c r="AF323" s="6">
        <v>63</v>
      </c>
      <c r="AG323" s="6">
        <v>46</v>
      </c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100</v>
      </c>
      <c r="AW323" s="8" t="s">
        <v>100</v>
      </c>
      <c r="AX323" s="4" t="s">
        <v>100</v>
      </c>
      <c r="AY323" s="8" t="s">
        <v>100</v>
      </c>
      <c r="AZ323" s="7" t="s">
        <v>100</v>
      </c>
      <c r="BA323" s="7" t="s">
        <v>100</v>
      </c>
      <c r="BB323" s="7"/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 t="s">
        <v>100</v>
      </c>
      <c r="BJ323" s="4">
        <v>95</v>
      </c>
      <c r="BK323" s="8">
        <v>2558.96</v>
      </c>
      <c r="BL323" s="2" t="s">
        <v>1295</v>
      </c>
      <c r="BM323" s="7"/>
      <c r="BN323" s="7"/>
      <c r="BO323" s="4"/>
      <c r="BP323" s="8"/>
      <c r="BQ323" s="4"/>
      <c r="BR323" s="8"/>
      <c r="BS323" s="7"/>
      <c r="BT323" s="7"/>
      <c r="BU323" s="2" t="s">
        <v>109</v>
      </c>
      <c r="BV323" s="2" t="s">
        <v>97</v>
      </c>
      <c r="BW323" s="2" t="s">
        <v>860</v>
      </c>
      <c r="BX323" s="2" t="s">
        <v>1014</v>
      </c>
      <c r="BY323" s="2" t="s">
        <v>112</v>
      </c>
      <c r="BZ323" s="2" t="s">
        <v>100</v>
      </c>
    </row>
    <row r="324">
      <c r="A324" s="2" t="s">
        <v>1296</v>
      </c>
      <c r="B324" s="2" t="s">
        <v>87</v>
      </c>
      <c r="C324" s="2" t="s">
        <v>785</v>
      </c>
      <c r="D324" s="2" t="s">
        <v>1255</v>
      </c>
      <c r="E324" s="2" t="s">
        <v>1256</v>
      </c>
      <c r="F324" s="2" t="s">
        <v>840</v>
      </c>
      <c r="G324" s="2" t="s">
        <v>841</v>
      </c>
      <c r="H324" s="2" t="s">
        <v>842</v>
      </c>
      <c r="I324" s="2" t="s">
        <v>1281</v>
      </c>
      <c r="J324" s="2" t="s">
        <v>791</v>
      </c>
      <c r="K324" s="2" t="s">
        <v>492</v>
      </c>
      <c r="L324" s="3">
        <v>15.47</v>
      </c>
      <c r="M324" s="3">
        <v>16.24</v>
      </c>
      <c r="N324" s="3">
        <v>29.99</v>
      </c>
      <c r="O324" s="2" t="s">
        <v>97</v>
      </c>
      <c r="P324" s="2" t="s">
        <v>483</v>
      </c>
      <c r="Q324" s="2" t="s">
        <v>99</v>
      </c>
      <c r="R324" s="2" t="s">
        <v>100</v>
      </c>
      <c r="S324" s="2" t="s">
        <v>953</v>
      </c>
      <c r="T324" s="2" t="s">
        <v>231</v>
      </c>
      <c r="U324" s="2" t="s">
        <v>426</v>
      </c>
      <c r="V324" s="2" t="s">
        <v>427</v>
      </c>
      <c r="W324" s="2" t="s">
        <v>428</v>
      </c>
      <c r="X324" s="2" t="s">
        <v>636</v>
      </c>
      <c r="Y324" s="2" t="s">
        <v>961</v>
      </c>
      <c r="Z324" s="4">
        <v>104</v>
      </c>
      <c r="AA324" s="4">
        <f>=ROUNDDOWN(18.5714285714286,0)</f>
      </c>
      <c r="AB324" s="5">
        <v>5.6</v>
      </c>
      <c r="AC324" s="2" t="s">
        <v>948</v>
      </c>
      <c r="AD324" s="4">
        <v>40</v>
      </c>
      <c r="AE324" s="4">
        <v>40</v>
      </c>
      <c r="AF324" s="6">
        <v>63</v>
      </c>
      <c r="AG324" s="6">
        <v>46</v>
      </c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>
        <v>11</v>
      </c>
      <c r="AW324" s="8">
        <v>270.72</v>
      </c>
      <c r="AX324" s="4" t="s">
        <v>100</v>
      </c>
      <c r="AY324" s="8" t="s">
        <v>100</v>
      </c>
      <c r="AZ324" s="7" t="s">
        <v>100</v>
      </c>
      <c r="BA324" s="7" t="s">
        <v>100</v>
      </c>
      <c r="BB324" s="7"/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>
        <v>0.1266</v>
      </c>
      <c r="BJ324" s="4">
        <v>40</v>
      </c>
      <c r="BK324" s="8">
        <v>697.91</v>
      </c>
      <c r="BL324" s="2" t="s">
        <v>1297</v>
      </c>
      <c r="BM324" s="7"/>
      <c r="BN324" s="7"/>
      <c r="BO324" s="4"/>
      <c r="BP324" s="8"/>
      <c r="BQ324" s="4"/>
      <c r="BR324" s="8"/>
      <c r="BS324" s="7"/>
      <c r="BT324" s="7"/>
      <c r="BU324" s="2" t="s">
        <v>109</v>
      </c>
      <c r="BV324" s="2" t="s">
        <v>97</v>
      </c>
      <c r="BW324" s="2" t="s">
        <v>1298</v>
      </c>
      <c r="BX324" s="2" t="s">
        <v>100</v>
      </c>
      <c r="BY324" s="2" t="s">
        <v>112</v>
      </c>
      <c r="BZ324" s="2" t="s">
        <v>100</v>
      </c>
    </row>
    <row r="325">
      <c r="A325" s="2" t="s">
        <v>1299</v>
      </c>
      <c r="B325" s="2" t="s">
        <v>87</v>
      </c>
      <c r="C325" s="2" t="s">
        <v>785</v>
      </c>
      <c r="D325" s="2" t="s">
        <v>1255</v>
      </c>
      <c r="E325" s="2" t="s">
        <v>1256</v>
      </c>
      <c r="F325" s="2" t="s">
        <v>840</v>
      </c>
      <c r="G325" s="2" t="s">
        <v>841</v>
      </c>
      <c r="H325" s="2" t="s">
        <v>842</v>
      </c>
      <c r="I325" s="2" t="s">
        <v>1281</v>
      </c>
      <c r="J325" s="2" t="s">
        <v>157</v>
      </c>
      <c r="K325" s="2" t="s">
        <v>492</v>
      </c>
      <c r="L325" s="3">
        <v>19.76</v>
      </c>
      <c r="M325" s="3">
        <v>20.75</v>
      </c>
      <c r="N325" s="3">
        <v>39.99</v>
      </c>
      <c r="O325" s="2" t="s">
        <v>97</v>
      </c>
      <c r="P325" s="2" t="s">
        <v>483</v>
      </c>
      <c r="Q325" s="2" t="s">
        <v>99</v>
      </c>
      <c r="R325" s="2" t="s">
        <v>100</v>
      </c>
      <c r="S325" s="2" t="s">
        <v>953</v>
      </c>
      <c r="T325" s="2" t="s">
        <v>231</v>
      </c>
      <c r="U325" s="2" t="s">
        <v>432</v>
      </c>
      <c r="V325" s="2" t="s">
        <v>427</v>
      </c>
      <c r="W325" s="2" t="s">
        <v>428</v>
      </c>
      <c r="X325" s="2" t="s">
        <v>636</v>
      </c>
      <c r="Y325" s="2" t="s">
        <v>935</v>
      </c>
      <c r="Z325" s="4">
        <v>234</v>
      </c>
      <c r="AA325" s="4">
        <f>=ROUNDDOWN(50.8695652173913,0)</f>
      </c>
      <c r="AB325" s="5">
        <v>4.6</v>
      </c>
      <c r="AC325" s="2" t="s">
        <v>436</v>
      </c>
      <c r="AD325" s="4">
        <v>60</v>
      </c>
      <c r="AE325" s="4">
        <v>60</v>
      </c>
      <c r="AF325" s="6">
        <v>63</v>
      </c>
      <c r="AG325" s="6">
        <v>46</v>
      </c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100</v>
      </c>
      <c r="AW325" s="8" t="s">
        <v>100</v>
      </c>
      <c r="AX325" s="4" t="s">
        <v>100</v>
      </c>
      <c r="AY325" s="8" t="s">
        <v>100</v>
      </c>
      <c r="AZ325" s="7" t="s">
        <v>100</v>
      </c>
      <c r="BA325" s="7" t="s">
        <v>100</v>
      </c>
      <c r="BB325" s="7"/>
      <c r="BC325" s="4" t="s">
        <v>100</v>
      </c>
      <c r="BD325" s="8" t="s">
        <v>100</v>
      </c>
      <c r="BE325" s="4" t="s">
        <v>100</v>
      </c>
      <c r="BF325" s="8" t="s">
        <v>100</v>
      </c>
      <c r="BG325" s="7" t="s">
        <v>100</v>
      </c>
      <c r="BH325" s="7" t="s">
        <v>100</v>
      </c>
      <c r="BI325" s="7" t="s">
        <v>100</v>
      </c>
      <c r="BJ325" s="4">
        <v>33</v>
      </c>
      <c r="BK325" s="8">
        <v>702.73</v>
      </c>
      <c r="BL325" s="2" t="s">
        <v>930</v>
      </c>
      <c r="BM325" s="7"/>
      <c r="BN325" s="7"/>
      <c r="BO325" s="4"/>
      <c r="BP325" s="8"/>
      <c r="BQ325" s="4"/>
      <c r="BR325" s="8"/>
      <c r="BS325" s="7"/>
      <c r="BT325" s="7"/>
      <c r="BU325" s="2" t="s">
        <v>109</v>
      </c>
      <c r="BV325" s="2" t="s">
        <v>97</v>
      </c>
      <c r="BW325" s="2" t="s">
        <v>929</v>
      </c>
      <c r="BX325" s="2" t="s">
        <v>1300</v>
      </c>
      <c r="BY325" s="2" t="s">
        <v>112</v>
      </c>
      <c r="BZ325" s="2" t="s">
        <v>100</v>
      </c>
    </row>
    <row r="326">
      <c r="A326" s="2" t="s">
        <v>1301</v>
      </c>
      <c r="B326" s="2" t="s">
        <v>87</v>
      </c>
      <c r="C326" s="2" t="s">
        <v>785</v>
      </c>
      <c r="D326" s="2" t="s">
        <v>1255</v>
      </c>
      <c r="E326" s="2" t="s">
        <v>1256</v>
      </c>
      <c r="F326" s="2" t="s">
        <v>840</v>
      </c>
      <c r="G326" s="2" t="s">
        <v>841</v>
      </c>
      <c r="H326" s="2" t="s">
        <v>842</v>
      </c>
      <c r="I326" s="2" t="s">
        <v>1281</v>
      </c>
      <c r="J326" s="2" t="s">
        <v>95</v>
      </c>
      <c r="K326" s="2" t="s">
        <v>492</v>
      </c>
      <c r="L326" s="3">
        <v>20.23</v>
      </c>
      <c r="M326" s="3">
        <v>21.24</v>
      </c>
      <c r="N326" s="3">
        <v>39.99</v>
      </c>
      <c r="O326" s="2" t="s">
        <v>97</v>
      </c>
      <c r="P326" s="2" t="s">
        <v>483</v>
      </c>
      <c r="Q326" s="2" t="s">
        <v>99</v>
      </c>
      <c r="R326" s="2" t="s">
        <v>100</v>
      </c>
      <c r="S326" s="2" t="s">
        <v>953</v>
      </c>
      <c r="T326" s="2" t="s">
        <v>231</v>
      </c>
      <c r="U326" s="2" t="s">
        <v>432</v>
      </c>
      <c r="V326" s="2" t="s">
        <v>427</v>
      </c>
      <c r="W326" s="2" t="s">
        <v>428</v>
      </c>
      <c r="X326" s="2" t="s">
        <v>636</v>
      </c>
      <c r="Y326" s="2" t="s">
        <v>961</v>
      </c>
      <c r="Z326" s="4">
        <v>273</v>
      </c>
      <c r="AA326" s="4">
        <f>=ROUNDDOWN(10,0)</f>
      </c>
      <c r="AB326" s="5">
        <v>27.3</v>
      </c>
      <c r="AC326" s="2" t="s">
        <v>948</v>
      </c>
      <c r="AD326" s="4">
        <v>104</v>
      </c>
      <c r="AE326" s="4">
        <v>504</v>
      </c>
      <c r="AF326" s="6">
        <v>63</v>
      </c>
      <c r="AG326" s="6">
        <v>46</v>
      </c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/>
      <c r="AP326" s="4">
        <v>5</v>
      </c>
      <c r="AQ326" s="8">
        <v>114.7</v>
      </c>
      <c r="AR326" s="4"/>
      <c r="AS326" s="8"/>
      <c r="AT326" s="7"/>
      <c r="AU326" s="7"/>
      <c r="AV326" s="4" t="s">
        <v>100</v>
      </c>
      <c r="AW326" s="8" t="s">
        <v>100</v>
      </c>
      <c r="AX326" s="4" t="s">
        <v>100</v>
      </c>
      <c r="AY326" s="8" t="s">
        <v>100</v>
      </c>
      <c r="AZ326" s="7" t="s">
        <v>100</v>
      </c>
      <c r="BA326" s="7" t="s">
        <v>100</v>
      </c>
      <c r="BB326" s="7">
        <v>0.4237</v>
      </c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 t="s">
        <v>100</v>
      </c>
      <c r="BJ326" s="4">
        <v>159</v>
      </c>
      <c r="BK326" s="8">
        <v>3462.44</v>
      </c>
      <c r="BL326" s="2" t="s">
        <v>1302</v>
      </c>
      <c r="BM326" s="7">
        <v>0.0314</v>
      </c>
      <c r="BN326" s="7">
        <v>0.0331</v>
      </c>
      <c r="BO326" s="4">
        <v>5</v>
      </c>
      <c r="BP326" s="8">
        <v>114.7</v>
      </c>
      <c r="BQ326" s="4"/>
      <c r="BR326" s="8"/>
      <c r="BS326" s="7"/>
      <c r="BT326" s="7"/>
      <c r="BU326" s="2" t="s">
        <v>109</v>
      </c>
      <c r="BV326" s="2" t="s">
        <v>97</v>
      </c>
      <c r="BW326" s="2" t="s">
        <v>1298</v>
      </c>
      <c r="BX326" s="2" t="s">
        <v>487</v>
      </c>
      <c r="BY326" s="2" t="s">
        <v>112</v>
      </c>
      <c r="BZ326" s="2" t="s">
        <v>100</v>
      </c>
    </row>
    <row r="327">
      <c r="A327" s="2" t="s">
        <v>1303</v>
      </c>
      <c r="B327" s="2" t="s">
        <v>87</v>
      </c>
      <c r="C327" s="2" t="s">
        <v>785</v>
      </c>
      <c r="D327" s="2" t="s">
        <v>1255</v>
      </c>
      <c r="E327" s="2" t="s">
        <v>1256</v>
      </c>
      <c r="F327" s="2" t="s">
        <v>840</v>
      </c>
      <c r="G327" s="2" t="s">
        <v>841</v>
      </c>
      <c r="H327" s="2" t="s">
        <v>842</v>
      </c>
      <c r="I327" s="2" t="s">
        <v>1281</v>
      </c>
      <c r="J327" s="2" t="s">
        <v>114</v>
      </c>
      <c r="K327" s="2" t="s">
        <v>492</v>
      </c>
      <c r="L327" s="3">
        <v>22.61</v>
      </c>
      <c r="M327" s="3">
        <v>23.74</v>
      </c>
      <c r="N327" s="3">
        <v>44.99</v>
      </c>
      <c r="O327" s="2" t="s">
        <v>97</v>
      </c>
      <c r="P327" s="2" t="s">
        <v>483</v>
      </c>
      <c r="Q327" s="2" t="s">
        <v>99</v>
      </c>
      <c r="R327" s="2" t="s">
        <v>100</v>
      </c>
      <c r="S327" s="2" t="s">
        <v>953</v>
      </c>
      <c r="T327" s="2" t="s">
        <v>231</v>
      </c>
      <c r="U327" s="2" t="s">
        <v>432</v>
      </c>
      <c r="V327" s="2" t="s">
        <v>427</v>
      </c>
      <c r="W327" s="2" t="s">
        <v>428</v>
      </c>
      <c r="X327" s="2" t="s">
        <v>636</v>
      </c>
      <c r="Y327" s="2" t="s">
        <v>961</v>
      </c>
      <c r="Z327" s="4">
        <v>173</v>
      </c>
      <c r="AA327" s="4">
        <f>=ROUNDDOWN(5.35603715170279,0)</f>
      </c>
      <c r="AB327" s="5">
        <v>32.3</v>
      </c>
      <c r="AC327" s="2" t="s">
        <v>184</v>
      </c>
      <c r="AD327" s="4">
        <v>76</v>
      </c>
      <c r="AE327" s="4">
        <v>336</v>
      </c>
      <c r="AF327" s="6">
        <v>63</v>
      </c>
      <c r="AG327" s="6">
        <v>46</v>
      </c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/>
      <c r="AP327" s="4">
        <v>4</v>
      </c>
      <c r="AQ327" s="8">
        <v>102.56</v>
      </c>
      <c r="AR327" s="4"/>
      <c r="AS327" s="8"/>
      <c r="AT327" s="7"/>
      <c r="AU327" s="7"/>
      <c r="AV327" s="4" t="s">
        <v>100</v>
      </c>
      <c r="AW327" s="8" t="s">
        <v>100</v>
      </c>
      <c r="AX327" s="4" t="s">
        <v>100</v>
      </c>
      <c r="AY327" s="8" t="s">
        <v>100</v>
      </c>
      <c r="AZ327" s="7" t="s">
        <v>100</v>
      </c>
      <c r="BA327" s="7" t="s">
        <v>100</v>
      </c>
      <c r="BB327" s="7">
        <v>0.3788</v>
      </c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 t="s">
        <v>100</v>
      </c>
      <c r="BJ327" s="4">
        <v>180</v>
      </c>
      <c r="BK327" s="8">
        <v>4332.8</v>
      </c>
      <c r="BL327" s="2" t="s">
        <v>1302</v>
      </c>
      <c r="BM327" s="7">
        <v>0.0222</v>
      </c>
      <c r="BN327" s="7">
        <v>0.0237</v>
      </c>
      <c r="BO327" s="4">
        <v>4</v>
      </c>
      <c r="BP327" s="8">
        <v>102.56</v>
      </c>
      <c r="BQ327" s="4"/>
      <c r="BR327" s="8"/>
      <c r="BS327" s="7"/>
      <c r="BT327" s="7"/>
      <c r="BU327" s="2" t="s">
        <v>109</v>
      </c>
      <c r="BV327" s="2" t="s">
        <v>97</v>
      </c>
      <c r="BW327" s="2" t="s">
        <v>1298</v>
      </c>
      <c r="BX327" s="2" t="s">
        <v>1304</v>
      </c>
      <c r="BY327" s="2" t="s">
        <v>112</v>
      </c>
      <c r="BZ327" s="2" t="s">
        <v>100</v>
      </c>
    </row>
    <row r="328">
      <c r="A328" s="2" t="s">
        <v>1305</v>
      </c>
      <c r="B328" s="2" t="s">
        <v>87</v>
      </c>
      <c r="C328" s="2" t="s">
        <v>785</v>
      </c>
      <c r="D328" s="2" t="s">
        <v>1255</v>
      </c>
      <c r="E328" s="2" t="s">
        <v>1256</v>
      </c>
      <c r="F328" s="2" t="s">
        <v>840</v>
      </c>
      <c r="G328" s="2" t="s">
        <v>841</v>
      </c>
      <c r="H328" s="2" t="s">
        <v>842</v>
      </c>
      <c r="I328" s="2" t="s">
        <v>1281</v>
      </c>
      <c r="J328" s="2" t="s">
        <v>120</v>
      </c>
      <c r="K328" s="2" t="s">
        <v>492</v>
      </c>
      <c r="L328" s="3">
        <v>23.57</v>
      </c>
      <c r="M328" s="3">
        <v>24.75</v>
      </c>
      <c r="N328" s="3">
        <v>44.99</v>
      </c>
      <c r="O328" s="2" t="s">
        <v>97</v>
      </c>
      <c r="P328" s="2" t="s">
        <v>483</v>
      </c>
      <c r="Q328" s="2" t="s">
        <v>99</v>
      </c>
      <c r="R328" s="2" t="s">
        <v>100</v>
      </c>
      <c r="S328" s="2" t="s">
        <v>953</v>
      </c>
      <c r="T328" s="2" t="s">
        <v>231</v>
      </c>
      <c r="U328" s="2" t="s">
        <v>432</v>
      </c>
      <c r="V328" s="2" t="s">
        <v>427</v>
      </c>
      <c r="W328" s="2" t="s">
        <v>428</v>
      </c>
      <c r="X328" s="2" t="s">
        <v>636</v>
      </c>
      <c r="Y328" s="2" t="s">
        <v>935</v>
      </c>
      <c r="Z328" s="4">
        <v>137</v>
      </c>
      <c r="AA328" s="4">
        <f>=ROUNDDOWN(9.25675675675676,0)</f>
      </c>
      <c r="AB328" s="5">
        <v>14.8</v>
      </c>
      <c r="AC328" s="2" t="s">
        <v>184</v>
      </c>
      <c r="AD328" s="4">
        <v>72</v>
      </c>
      <c r="AE328" s="4">
        <v>672</v>
      </c>
      <c r="AF328" s="6">
        <v>63</v>
      </c>
      <c r="AG328" s="6">
        <v>46</v>
      </c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/>
      <c r="AP328" s="4">
        <v>2</v>
      </c>
      <c r="AQ328" s="8">
        <v>53.46</v>
      </c>
      <c r="AR328" s="4"/>
      <c r="AS328" s="8"/>
      <c r="AT328" s="7"/>
      <c r="AU328" s="7"/>
      <c r="AV328" s="4" t="s">
        <v>100</v>
      </c>
      <c r="AW328" s="8" t="s">
        <v>100</v>
      </c>
      <c r="AX328" s="4" t="s">
        <v>100</v>
      </c>
      <c r="AY328" s="8" t="s">
        <v>100</v>
      </c>
      <c r="AZ328" s="7" t="s">
        <v>100</v>
      </c>
      <c r="BA328" s="7" t="s">
        <v>100</v>
      </c>
      <c r="BB328" s="7">
        <v>0.1975</v>
      </c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 t="s">
        <v>100</v>
      </c>
      <c r="BJ328" s="4">
        <v>77</v>
      </c>
      <c r="BK328" s="8">
        <v>2049.73</v>
      </c>
      <c r="BL328" s="2" t="s">
        <v>1306</v>
      </c>
      <c r="BM328" s="7">
        <v>0.026</v>
      </c>
      <c r="BN328" s="7">
        <v>0.0261</v>
      </c>
      <c r="BO328" s="4">
        <v>2</v>
      </c>
      <c r="BP328" s="8">
        <v>53.46</v>
      </c>
      <c r="BQ328" s="4"/>
      <c r="BR328" s="8"/>
      <c r="BS328" s="7"/>
      <c r="BT328" s="7"/>
      <c r="BU328" s="2" t="s">
        <v>109</v>
      </c>
      <c r="BV328" s="2" t="s">
        <v>97</v>
      </c>
      <c r="BW328" s="2" t="s">
        <v>929</v>
      </c>
      <c r="BX328" s="2" t="s">
        <v>897</v>
      </c>
      <c r="BY328" s="2" t="s">
        <v>112</v>
      </c>
      <c r="BZ328" s="2" t="s">
        <v>100</v>
      </c>
    </row>
    <row r="329">
      <c r="A329" s="2" t="s">
        <v>1307</v>
      </c>
      <c r="B329" s="2" t="s">
        <v>87</v>
      </c>
      <c r="C329" s="2" t="s">
        <v>785</v>
      </c>
      <c r="D329" s="2" t="s">
        <v>1255</v>
      </c>
      <c r="E329" s="2" t="s">
        <v>1256</v>
      </c>
      <c r="F329" s="2" t="s">
        <v>840</v>
      </c>
      <c r="G329" s="2" t="s">
        <v>841</v>
      </c>
      <c r="H329" s="2" t="s">
        <v>842</v>
      </c>
      <c r="I329" s="2" t="s">
        <v>1281</v>
      </c>
      <c r="J329" s="2" t="s">
        <v>791</v>
      </c>
      <c r="K329" s="2" t="s">
        <v>276</v>
      </c>
      <c r="L329" s="3">
        <v>15.47</v>
      </c>
      <c r="M329" s="3">
        <v>16.24</v>
      </c>
      <c r="N329" s="3">
        <v>32.49</v>
      </c>
      <c r="O329" s="2" t="s">
        <v>97</v>
      </c>
      <c r="P329" s="2" t="s">
        <v>576</v>
      </c>
      <c r="Q329" s="2" t="s">
        <v>99</v>
      </c>
      <c r="R329" s="2" t="s">
        <v>100</v>
      </c>
      <c r="S329" s="2" t="s">
        <v>910</v>
      </c>
      <c r="T329" s="2" t="s">
        <v>231</v>
      </c>
      <c r="U329" s="2" t="s">
        <v>426</v>
      </c>
      <c r="V329" s="2" t="s">
        <v>427</v>
      </c>
      <c r="W329" s="2" t="s">
        <v>428</v>
      </c>
      <c r="X329" s="2" t="s">
        <v>636</v>
      </c>
      <c r="Y329" s="2" t="s">
        <v>794</v>
      </c>
      <c r="Z329" s="4">
        <v>208</v>
      </c>
      <c r="AA329" s="4">
        <f>=ROUNDDOWN(29.7142857142857,0)</f>
      </c>
      <c r="AB329" s="5">
        <v>7</v>
      </c>
      <c r="AC329" s="2" t="s">
        <v>1282</v>
      </c>
      <c r="AD329" s="4">
        <v>200</v>
      </c>
      <c r="AE329" s="4">
        <v>200</v>
      </c>
      <c r="AF329" s="6">
        <v>63</v>
      </c>
      <c r="AG329" s="6">
        <v>46</v>
      </c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>
        <v>9</v>
      </c>
      <c r="AW329" s="8">
        <v>230.63</v>
      </c>
      <c r="AX329" s="4" t="s">
        <v>100</v>
      </c>
      <c r="AY329" s="8" t="s">
        <v>100</v>
      </c>
      <c r="AZ329" s="7" t="s">
        <v>100</v>
      </c>
      <c r="BA329" s="7" t="s">
        <v>100</v>
      </c>
      <c r="BB329" s="7"/>
      <c r="BC329" s="4" t="s">
        <v>100</v>
      </c>
      <c r="BD329" s="8" t="s">
        <v>100</v>
      </c>
      <c r="BE329" s="4" t="s">
        <v>100</v>
      </c>
      <c r="BF329" s="8" t="s">
        <v>100</v>
      </c>
      <c r="BG329" s="7" t="s">
        <v>100</v>
      </c>
      <c r="BH329" s="7" t="s">
        <v>100</v>
      </c>
      <c r="BI329" s="7">
        <v>0.1078</v>
      </c>
      <c r="BJ329" s="4">
        <v>46</v>
      </c>
      <c r="BK329" s="8">
        <v>776.81</v>
      </c>
      <c r="BL329" s="2" t="s">
        <v>1290</v>
      </c>
      <c r="BM329" s="7"/>
      <c r="BN329" s="7"/>
      <c r="BO329" s="4"/>
      <c r="BP329" s="8"/>
      <c r="BQ329" s="4"/>
      <c r="BR329" s="8"/>
      <c r="BS329" s="7"/>
      <c r="BT329" s="7"/>
      <c r="BU329" s="2" t="s">
        <v>109</v>
      </c>
      <c r="BV329" s="2" t="s">
        <v>97</v>
      </c>
      <c r="BW329" s="2" t="s">
        <v>819</v>
      </c>
      <c r="BX329" s="2" t="s">
        <v>1308</v>
      </c>
      <c r="BY329" s="2" t="s">
        <v>112</v>
      </c>
      <c r="BZ329" s="2" t="s">
        <v>100</v>
      </c>
    </row>
    <row r="330">
      <c r="A330" s="2" t="s">
        <v>1309</v>
      </c>
      <c r="B330" s="2" t="s">
        <v>87</v>
      </c>
      <c r="C330" s="2" t="s">
        <v>785</v>
      </c>
      <c r="D330" s="2" t="s">
        <v>1255</v>
      </c>
      <c r="E330" s="2" t="s">
        <v>1256</v>
      </c>
      <c r="F330" s="2" t="s">
        <v>840</v>
      </c>
      <c r="G330" s="2" t="s">
        <v>841</v>
      </c>
      <c r="H330" s="2" t="s">
        <v>842</v>
      </c>
      <c r="I330" s="2" t="s">
        <v>1281</v>
      </c>
      <c r="J330" s="2" t="s">
        <v>157</v>
      </c>
      <c r="K330" s="2" t="s">
        <v>276</v>
      </c>
      <c r="L330" s="3">
        <v>19.76</v>
      </c>
      <c r="M330" s="3">
        <v>20.75</v>
      </c>
      <c r="N330" s="3">
        <v>39.99</v>
      </c>
      <c r="O330" s="2" t="s">
        <v>97</v>
      </c>
      <c r="P330" s="2" t="s">
        <v>483</v>
      </c>
      <c r="Q330" s="2" t="s">
        <v>99</v>
      </c>
      <c r="R330" s="2" t="s">
        <v>100</v>
      </c>
      <c r="S330" s="2" t="s">
        <v>910</v>
      </c>
      <c r="T330" s="2" t="s">
        <v>231</v>
      </c>
      <c r="U330" s="2" t="s">
        <v>432</v>
      </c>
      <c r="V330" s="2" t="s">
        <v>427</v>
      </c>
      <c r="W330" s="2" t="s">
        <v>428</v>
      </c>
      <c r="X330" s="2" t="s">
        <v>636</v>
      </c>
      <c r="Y330" s="2" t="s">
        <v>858</v>
      </c>
      <c r="Z330" s="4">
        <v>240</v>
      </c>
      <c r="AA330" s="4">
        <f>=ROUNDDOWN(96,0)</f>
      </c>
      <c r="AB330" s="5">
        <v>2.5</v>
      </c>
      <c r="AC330" s="2" t="s">
        <v>1310</v>
      </c>
      <c r="AD330" s="4">
        <v>200</v>
      </c>
      <c r="AE330" s="4">
        <v>200</v>
      </c>
      <c r="AF330" s="6">
        <v>63</v>
      </c>
      <c r="AG330" s="6">
        <v>46</v>
      </c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100</v>
      </c>
      <c r="AW330" s="8" t="s">
        <v>100</v>
      </c>
      <c r="AX330" s="4" t="s">
        <v>100</v>
      </c>
      <c r="AY330" s="8" t="s">
        <v>100</v>
      </c>
      <c r="AZ330" s="7" t="s">
        <v>100</v>
      </c>
      <c r="BA330" s="7" t="s">
        <v>100</v>
      </c>
      <c r="BB330" s="7"/>
      <c r="BC330" s="4" t="s">
        <v>100</v>
      </c>
      <c r="BD330" s="8" t="s">
        <v>100</v>
      </c>
      <c r="BE330" s="4" t="s">
        <v>100</v>
      </c>
      <c r="BF330" s="8" t="s">
        <v>100</v>
      </c>
      <c r="BG330" s="7" t="s">
        <v>100</v>
      </c>
      <c r="BH330" s="7" t="s">
        <v>100</v>
      </c>
      <c r="BI330" s="7" t="s">
        <v>100</v>
      </c>
      <c r="BJ330" s="4">
        <v>73</v>
      </c>
      <c r="BK330" s="8">
        <v>1584.52</v>
      </c>
      <c r="BL330" s="2" t="s">
        <v>930</v>
      </c>
      <c r="BM330" s="7"/>
      <c r="BN330" s="7"/>
      <c r="BO330" s="4"/>
      <c r="BP330" s="8"/>
      <c r="BQ330" s="4"/>
      <c r="BR330" s="8"/>
      <c r="BS330" s="7"/>
      <c r="BT330" s="7"/>
      <c r="BU330" s="2" t="s">
        <v>109</v>
      </c>
      <c r="BV330" s="2" t="s">
        <v>97</v>
      </c>
      <c r="BW330" s="2" t="s">
        <v>858</v>
      </c>
      <c r="BX330" s="2" t="s">
        <v>849</v>
      </c>
      <c r="BY330" s="2" t="s">
        <v>112</v>
      </c>
      <c r="BZ330" s="2" t="s">
        <v>100</v>
      </c>
    </row>
    <row r="331">
      <c r="A331" s="2" t="s">
        <v>1311</v>
      </c>
      <c r="B331" s="2" t="s">
        <v>87</v>
      </c>
      <c r="C331" s="2" t="s">
        <v>785</v>
      </c>
      <c r="D331" s="2" t="s">
        <v>1255</v>
      </c>
      <c r="E331" s="2" t="s">
        <v>1256</v>
      </c>
      <c r="F331" s="2" t="s">
        <v>840</v>
      </c>
      <c r="G331" s="2" t="s">
        <v>841</v>
      </c>
      <c r="H331" s="2" t="s">
        <v>842</v>
      </c>
      <c r="I331" s="2" t="s">
        <v>1281</v>
      </c>
      <c r="J331" s="2" t="s">
        <v>95</v>
      </c>
      <c r="K331" s="2" t="s">
        <v>276</v>
      </c>
      <c r="L331" s="3">
        <v>20.23</v>
      </c>
      <c r="M331" s="3">
        <v>21.24</v>
      </c>
      <c r="N331" s="3">
        <v>42.49</v>
      </c>
      <c r="O331" s="2" t="s">
        <v>97</v>
      </c>
      <c r="P331" s="2" t="s">
        <v>576</v>
      </c>
      <c r="Q331" s="2" t="s">
        <v>99</v>
      </c>
      <c r="R331" s="2" t="s">
        <v>100</v>
      </c>
      <c r="S331" s="2" t="s">
        <v>910</v>
      </c>
      <c r="T331" s="2" t="s">
        <v>231</v>
      </c>
      <c r="U331" s="2" t="s">
        <v>432</v>
      </c>
      <c r="V331" s="2" t="s">
        <v>427</v>
      </c>
      <c r="W331" s="2" t="s">
        <v>428</v>
      </c>
      <c r="X331" s="2" t="s">
        <v>636</v>
      </c>
      <c r="Y331" s="2" t="s">
        <v>794</v>
      </c>
      <c r="Z331" s="4">
        <v>1419</v>
      </c>
      <c r="AA331" s="4">
        <f>=ROUNDDOWN(74.6842105263158,0)</f>
      </c>
      <c r="AB331" s="5">
        <v>19</v>
      </c>
      <c r="AC331" s="2" t="s">
        <v>100</v>
      </c>
      <c r="AD331" s="4"/>
      <c r="AE331" s="4"/>
      <c r="AF331" s="6">
        <v>63</v>
      </c>
      <c r="AG331" s="6">
        <v>46</v>
      </c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/>
      <c r="AP331" s="4">
        <v>3</v>
      </c>
      <c r="AQ331" s="8">
        <v>70.65</v>
      </c>
      <c r="AR331" s="4"/>
      <c r="AS331" s="8"/>
      <c r="AT331" s="7"/>
      <c r="AU331" s="7"/>
      <c r="AV331" s="4" t="s">
        <v>100</v>
      </c>
      <c r="AW331" s="8" t="s">
        <v>100</v>
      </c>
      <c r="AX331" s="4" t="s">
        <v>100</v>
      </c>
      <c r="AY331" s="8" t="s">
        <v>100</v>
      </c>
      <c r="AZ331" s="7" t="s">
        <v>100</v>
      </c>
      <c r="BA331" s="7" t="s">
        <v>100</v>
      </c>
      <c r="BB331" s="7">
        <v>0.3063</v>
      </c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 t="s">
        <v>100</v>
      </c>
      <c r="BJ331" s="4">
        <v>370</v>
      </c>
      <c r="BK331" s="8">
        <v>7655.04</v>
      </c>
      <c r="BL331" s="2" t="s">
        <v>915</v>
      </c>
      <c r="BM331" s="7">
        <v>0.0081</v>
      </c>
      <c r="BN331" s="7">
        <v>0.0092</v>
      </c>
      <c r="BO331" s="4">
        <v>3</v>
      </c>
      <c r="BP331" s="8">
        <v>70.65</v>
      </c>
      <c r="BQ331" s="4"/>
      <c r="BR331" s="8"/>
      <c r="BS331" s="7"/>
      <c r="BT331" s="7"/>
      <c r="BU331" s="2" t="s">
        <v>109</v>
      </c>
      <c r="BV331" s="2" t="s">
        <v>97</v>
      </c>
      <c r="BW331" s="2" t="s">
        <v>819</v>
      </c>
      <c r="BX331" s="2" t="s">
        <v>1312</v>
      </c>
      <c r="BY331" s="2" t="s">
        <v>112</v>
      </c>
      <c r="BZ331" s="2" t="s">
        <v>100</v>
      </c>
    </row>
    <row r="332">
      <c r="A332" s="2" t="s">
        <v>1313</v>
      </c>
      <c r="B332" s="2" t="s">
        <v>87</v>
      </c>
      <c r="C332" s="2" t="s">
        <v>785</v>
      </c>
      <c r="D332" s="2" t="s">
        <v>1255</v>
      </c>
      <c r="E332" s="2" t="s">
        <v>1256</v>
      </c>
      <c r="F332" s="2" t="s">
        <v>840</v>
      </c>
      <c r="G332" s="2" t="s">
        <v>841</v>
      </c>
      <c r="H332" s="2" t="s">
        <v>842</v>
      </c>
      <c r="I332" s="2" t="s">
        <v>1281</v>
      </c>
      <c r="J332" s="2" t="s">
        <v>114</v>
      </c>
      <c r="K332" s="2" t="s">
        <v>276</v>
      </c>
      <c r="L332" s="3">
        <v>22.61</v>
      </c>
      <c r="M332" s="3">
        <v>23.74</v>
      </c>
      <c r="N332" s="3">
        <v>47.49</v>
      </c>
      <c r="O332" s="2" t="s">
        <v>97</v>
      </c>
      <c r="P332" s="2" t="s">
        <v>576</v>
      </c>
      <c r="Q332" s="2" t="s">
        <v>99</v>
      </c>
      <c r="R332" s="2" t="s">
        <v>100</v>
      </c>
      <c r="S332" s="2" t="s">
        <v>910</v>
      </c>
      <c r="T332" s="2" t="s">
        <v>231</v>
      </c>
      <c r="U332" s="2" t="s">
        <v>432</v>
      </c>
      <c r="V332" s="2" t="s">
        <v>427</v>
      </c>
      <c r="W332" s="2" t="s">
        <v>428</v>
      </c>
      <c r="X332" s="2" t="s">
        <v>636</v>
      </c>
      <c r="Y332" s="2" t="s">
        <v>819</v>
      </c>
      <c r="Z332" s="4">
        <v>1772</v>
      </c>
      <c r="AA332" s="4">
        <f>=ROUNDDOWN(65.6296296296296,0)</f>
      </c>
      <c r="AB332" s="5">
        <v>27</v>
      </c>
      <c r="AC332" s="2" t="s">
        <v>1310</v>
      </c>
      <c r="AD332" s="4">
        <v>200</v>
      </c>
      <c r="AE332" s="4">
        <v>200</v>
      </c>
      <c r="AF332" s="6">
        <v>63</v>
      </c>
      <c r="AG332" s="6">
        <v>46</v>
      </c>
      <c r="AH332" s="7">
        <v>1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/>
      <c r="AP332" s="4">
        <v>5</v>
      </c>
      <c r="AQ332" s="8">
        <v>133.25</v>
      </c>
      <c r="AR332" s="4"/>
      <c r="AS332" s="8"/>
      <c r="AT332" s="7"/>
      <c r="AU332" s="7"/>
      <c r="AV332" s="4" t="s">
        <v>100</v>
      </c>
      <c r="AW332" s="8" t="s">
        <v>100</v>
      </c>
      <c r="AX332" s="4" t="s">
        <v>100</v>
      </c>
      <c r="AY332" s="8" t="s">
        <v>100</v>
      </c>
      <c r="AZ332" s="7" t="s">
        <v>100</v>
      </c>
      <c r="BA332" s="7" t="s">
        <v>100</v>
      </c>
      <c r="BB332" s="7">
        <v>0.5778</v>
      </c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 t="s">
        <v>100</v>
      </c>
      <c r="BJ332" s="4">
        <v>254</v>
      </c>
      <c r="BK332" s="8">
        <v>6102.21</v>
      </c>
      <c r="BL332" s="2" t="s">
        <v>1264</v>
      </c>
      <c r="BM332" s="7">
        <v>0.0197</v>
      </c>
      <c r="BN332" s="7">
        <v>0.0218</v>
      </c>
      <c r="BO332" s="4">
        <v>5</v>
      </c>
      <c r="BP332" s="8">
        <v>133.25</v>
      </c>
      <c r="BQ332" s="4"/>
      <c r="BR332" s="8"/>
      <c r="BS332" s="7"/>
      <c r="BT332" s="7"/>
      <c r="BU332" s="2" t="s">
        <v>109</v>
      </c>
      <c r="BV332" s="2" t="s">
        <v>97</v>
      </c>
      <c r="BW332" s="2" t="s">
        <v>819</v>
      </c>
      <c r="BX332" s="2" t="s">
        <v>856</v>
      </c>
      <c r="BY332" s="2" t="s">
        <v>112</v>
      </c>
      <c r="BZ332" s="2" t="s">
        <v>100</v>
      </c>
    </row>
    <row r="333">
      <c r="A333" s="2" t="s">
        <v>1314</v>
      </c>
      <c r="B333" s="2" t="s">
        <v>87</v>
      </c>
      <c r="C333" s="2" t="s">
        <v>785</v>
      </c>
      <c r="D333" s="2" t="s">
        <v>1255</v>
      </c>
      <c r="E333" s="2" t="s">
        <v>1256</v>
      </c>
      <c r="F333" s="2" t="s">
        <v>840</v>
      </c>
      <c r="G333" s="2" t="s">
        <v>841</v>
      </c>
      <c r="H333" s="2" t="s">
        <v>842</v>
      </c>
      <c r="I333" s="2" t="s">
        <v>1281</v>
      </c>
      <c r="J333" s="2" t="s">
        <v>120</v>
      </c>
      <c r="K333" s="2" t="s">
        <v>276</v>
      </c>
      <c r="L333" s="3">
        <v>23.57</v>
      </c>
      <c r="M333" s="3">
        <v>24.75</v>
      </c>
      <c r="N333" s="3">
        <v>44.99</v>
      </c>
      <c r="O333" s="2" t="s">
        <v>97</v>
      </c>
      <c r="P333" s="2" t="s">
        <v>483</v>
      </c>
      <c r="Q333" s="2" t="s">
        <v>99</v>
      </c>
      <c r="R333" s="2" t="s">
        <v>100</v>
      </c>
      <c r="S333" s="2" t="s">
        <v>910</v>
      </c>
      <c r="T333" s="2" t="s">
        <v>231</v>
      </c>
      <c r="U333" s="2" t="s">
        <v>432</v>
      </c>
      <c r="V333" s="2" t="s">
        <v>427</v>
      </c>
      <c r="W333" s="2" t="s">
        <v>428</v>
      </c>
      <c r="X333" s="2" t="s">
        <v>636</v>
      </c>
      <c r="Y333" s="2" t="s">
        <v>488</v>
      </c>
      <c r="Z333" s="4">
        <v>513</v>
      </c>
      <c r="AA333" s="4">
        <f>=ROUNDDOWN(60.3529411764706,0)</f>
      </c>
      <c r="AB333" s="5">
        <v>8.5</v>
      </c>
      <c r="AC333" s="2" t="s">
        <v>116</v>
      </c>
      <c r="AD333" s="4">
        <v>184</v>
      </c>
      <c r="AE333" s="4">
        <v>520</v>
      </c>
      <c r="AF333" s="6">
        <v>63</v>
      </c>
      <c r="AG333" s="6">
        <v>46</v>
      </c>
      <c r="AH333" s="7">
        <v>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/>
      <c r="AP333" s="4">
        <v>1</v>
      </c>
      <c r="AQ333" s="8">
        <v>26.73</v>
      </c>
      <c r="AR333" s="4"/>
      <c r="AS333" s="8"/>
      <c r="AT333" s="7"/>
      <c r="AU333" s="7"/>
      <c r="AV333" s="4" t="s">
        <v>100</v>
      </c>
      <c r="AW333" s="8" t="s">
        <v>100</v>
      </c>
      <c r="AX333" s="4" t="s">
        <v>100</v>
      </c>
      <c r="AY333" s="8" t="s">
        <v>100</v>
      </c>
      <c r="AZ333" s="7" t="s">
        <v>100</v>
      </c>
      <c r="BA333" s="7" t="s">
        <v>100</v>
      </c>
      <c r="BB333" s="7">
        <v>0.1159</v>
      </c>
      <c r="BC333" s="4" t="s">
        <v>100</v>
      </c>
      <c r="BD333" s="8" t="s">
        <v>100</v>
      </c>
      <c r="BE333" s="4" t="s">
        <v>100</v>
      </c>
      <c r="BF333" s="8" t="s">
        <v>100</v>
      </c>
      <c r="BG333" s="7" t="s">
        <v>100</v>
      </c>
      <c r="BH333" s="7" t="s">
        <v>100</v>
      </c>
      <c r="BI333" s="7" t="s">
        <v>100</v>
      </c>
      <c r="BJ333" s="4">
        <v>141</v>
      </c>
      <c r="BK333" s="8">
        <v>3576.46</v>
      </c>
      <c r="BL333" s="2" t="s">
        <v>1315</v>
      </c>
      <c r="BM333" s="7">
        <v>0.0071</v>
      </c>
      <c r="BN333" s="7">
        <v>0.0075</v>
      </c>
      <c r="BO333" s="4">
        <v>1</v>
      </c>
      <c r="BP333" s="8">
        <v>26.73</v>
      </c>
      <c r="BQ333" s="4"/>
      <c r="BR333" s="8"/>
      <c r="BS333" s="7"/>
      <c r="BT333" s="7"/>
      <c r="BU333" s="2" t="s">
        <v>109</v>
      </c>
      <c r="BV333" s="2" t="s">
        <v>97</v>
      </c>
      <c r="BW333" s="2" t="s">
        <v>860</v>
      </c>
      <c r="BX333" s="2" t="s">
        <v>871</v>
      </c>
      <c r="BY333" s="2" t="s">
        <v>112</v>
      </c>
      <c r="BZ333" s="2" t="s">
        <v>100</v>
      </c>
    </row>
    <row r="334">
      <c r="A334" s="2" t="s">
        <v>1316</v>
      </c>
      <c r="B334" s="2" t="s">
        <v>87</v>
      </c>
      <c r="C334" s="2" t="s">
        <v>785</v>
      </c>
      <c r="D334" s="2" t="s">
        <v>1255</v>
      </c>
      <c r="E334" s="2" t="s">
        <v>1256</v>
      </c>
      <c r="F334" s="2" t="s">
        <v>840</v>
      </c>
      <c r="G334" s="2" t="s">
        <v>841</v>
      </c>
      <c r="H334" s="2" t="s">
        <v>842</v>
      </c>
      <c r="I334" s="2" t="s">
        <v>1281</v>
      </c>
      <c r="J334" s="2" t="s">
        <v>791</v>
      </c>
      <c r="K334" s="2" t="s">
        <v>1005</v>
      </c>
      <c r="L334" s="3">
        <v>15.47</v>
      </c>
      <c r="M334" s="3">
        <v>16.24</v>
      </c>
      <c r="N334" s="3">
        <v>29.99</v>
      </c>
      <c r="O334" s="2" t="s">
        <v>97</v>
      </c>
      <c r="P334" s="2" t="s">
        <v>483</v>
      </c>
      <c r="Q334" s="2" t="s">
        <v>99</v>
      </c>
      <c r="R334" s="2" t="s">
        <v>100</v>
      </c>
      <c r="S334" s="2" t="s">
        <v>1006</v>
      </c>
      <c r="T334" s="2" t="s">
        <v>231</v>
      </c>
      <c r="U334" s="2" t="s">
        <v>426</v>
      </c>
      <c r="V334" s="2" t="s">
        <v>427</v>
      </c>
      <c r="W334" s="2" t="s">
        <v>428</v>
      </c>
      <c r="X334" s="2" t="s">
        <v>636</v>
      </c>
      <c r="Y334" s="2" t="s">
        <v>961</v>
      </c>
      <c r="Z334" s="4">
        <v>56</v>
      </c>
      <c r="AA334" s="4">
        <f>=ROUNDDOWN(12.1739130434783,0)</f>
      </c>
      <c r="AB334" s="5">
        <v>4.6</v>
      </c>
      <c r="AC334" s="2" t="s">
        <v>948</v>
      </c>
      <c r="AD334" s="4">
        <v>20</v>
      </c>
      <c r="AE334" s="4">
        <v>20</v>
      </c>
      <c r="AF334" s="6">
        <v>63</v>
      </c>
      <c r="AG334" s="6">
        <v>46</v>
      </c>
      <c r="AH334" s="7">
        <v>1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>
        <v>6</v>
      </c>
      <c r="AW334" s="8">
        <v>142.51</v>
      </c>
      <c r="AX334" s="4" t="s">
        <v>100</v>
      </c>
      <c r="AY334" s="8" t="s">
        <v>100</v>
      </c>
      <c r="AZ334" s="7" t="s">
        <v>100</v>
      </c>
      <c r="BA334" s="7" t="s">
        <v>100</v>
      </c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>
        <v>0.0666</v>
      </c>
      <c r="BJ334" s="4">
        <v>74</v>
      </c>
      <c r="BK334" s="8">
        <v>1283.7</v>
      </c>
      <c r="BL334" s="2" t="s">
        <v>930</v>
      </c>
      <c r="BM334" s="7"/>
      <c r="BN334" s="7"/>
      <c r="BO334" s="4"/>
      <c r="BP334" s="8"/>
      <c r="BQ334" s="4"/>
      <c r="BR334" s="8"/>
      <c r="BS334" s="7"/>
      <c r="BT334" s="7"/>
      <c r="BU334" s="2" t="s">
        <v>109</v>
      </c>
      <c r="BV334" s="2" t="s">
        <v>97</v>
      </c>
      <c r="BW334" s="2" t="s">
        <v>1298</v>
      </c>
      <c r="BX334" s="2" t="s">
        <v>858</v>
      </c>
      <c r="BY334" s="2" t="s">
        <v>112</v>
      </c>
      <c r="BZ334" s="2" t="s">
        <v>100</v>
      </c>
    </row>
    <row r="335">
      <c r="A335" s="2" t="s">
        <v>1317</v>
      </c>
      <c r="B335" s="2" t="s">
        <v>87</v>
      </c>
      <c r="C335" s="2" t="s">
        <v>785</v>
      </c>
      <c r="D335" s="2" t="s">
        <v>1255</v>
      </c>
      <c r="E335" s="2" t="s">
        <v>1256</v>
      </c>
      <c r="F335" s="2" t="s">
        <v>840</v>
      </c>
      <c r="G335" s="2" t="s">
        <v>841</v>
      </c>
      <c r="H335" s="2" t="s">
        <v>842</v>
      </c>
      <c r="I335" s="2" t="s">
        <v>1281</v>
      </c>
      <c r="J335" s="2" t="s">
        <v>157</v>
      </c>
      <c r="K335" s="2" t="s">
        <v>1005</v>
      </c>
      <c r="L335" s="3">
        <v>19.76</v>
      </c>
      <c r="M335" s="3">
        <v>20.75</v>
      </c>
      <c r="N335" s="3">
        <v>39.99</v>
      </c>
      <c r="O335" s="2" t="s">
        <v>97</v>
      </c>
      <c r="P335" s="2" t="s">
        <v>483</v>
      </c>
      <c r="Q335" s="2" t="s">
        <v>99</v>
      </c>
      <c r="R335" s="2" t="s">
        <v>100</v>
      </c>
      <c r="S335" s="2" t="s">
        <v>1006</v>
      </c>
      <c r="T335" s="2" t="s">
        <v>231</v>
      </c>
      <c r="U335" s="2" t="s">
        <v>432</v>
      </c>
      <c r="V335" s="2" t="s">
        <v>427</v>
      </c>
      <c r="W335" s="2" t="s">
        <v>428</v>
      </c>
      <c r="X335" s="2" t="s">
        <v>636</v>
      </c>
      <c r="Y335" s="2" t="s">
        <v>935</v>
      </c>
      <c r="Z335" s="4">
        <v>109</v>
      </c>
      <c r="AA335" s="4">
        <f>=ROUNDDOWN(24.7727272727273,0)</f>
      </c>
      <c r="AB335" s="5">
        <v>4.4</v>
      </c>
      <c r="AC335" s="2" t="s">
        <v>436</v>
      </c>
      <c r="AD335" s="4">
        <v>40</v>
      </c>
      <c r="AE335" s="4">
        <v>40</v>
      </c>
      <c r="AF335" s="6">
        <v>63</v>
      </c>
      <c r="AG335" s="6">
        <v>46</v>
      </c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/>
      <c r="AP335" s="4">
        <v>1</v>
      </c>
      <c r="AQ335" s="8">
        <v>22.41</v>
      </c>
      <c r="AR335" s="4"/>
      <c r="AS335" s="8"/>
      <c r="AT335" s="7"/>
      <c r="AU335" s="7"/>
      <c r="AV335" s="4" t="s">
        <v>100</v>
      </c>
      <c r="AW335" s="8" t="s">
        <v>100</v>
      </c>
      <c r="AX335" s="4" t="s">
        <v>100</v>
      </c>
      <c r="AY335" s="8" t="s">
        <v>100</v>
      </c>
      <c r="AZ335" s="7" t="s">
        <v>100</v>
      </c>
      <c r="BA335" s="7" t="s">
        <v>100</v>
      </c>
      <c r="BB335" s="7">
        <v>0.1573</v>
      </c>
      <c r="BC335" s="4" t="s">
        <v>100</v>
      </c>
      <c r="BD335" s="8" t="s">
        <v>100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 t="s">
        <v>100</v>
      </c>
      <c r="BJ335" s="4">
        <v>38</v>
      </c>
      <c r="BK335" s="8">
        <v>824.1</v>
      </c>
      <c r="BL335" s="2" t="s">
        <v>1318</v>
      </c>
      <c r="BM335" s="7">
        <v>0.0263</v>
      </c>
      <c r="BN335" s="7">
        <v>0.0272</v>
      </c>
      <c r="BO335" s="4">
        <v>1</v>
      </c>
      <c r="BP335" s="8">
        <v>22.41</v>
      </c>
      <c r="BQ335" s="4"/>
      <c r="BR335" s="8"/>
      <c r="BS335" s="7"/>
      <c r="BT335" s="7"/>
      <c r="BU335" s="2" t="s">
        <v>109</v>
      </c>
      <c r="BV335" s="2" t="s">
        <v>97</v>
      </c>
      <c r="BW335" s="2" t="s">
        <v>929</v>
      </c>
      <c r="BX335" s="2" t="s">
        <v>986</v>
      </c>
      <c r="BY335" s="2" t="s">
        <v>112</v>
      </c>
      <c r="BZ335" s="2" t="s">
        <v>100</v>
      </c>
    </row>
    <row r="336">
      <c r="A336" s="2" t="s">
        <v>1319</v>
      </c>
      <c r="B336" s="2" t="s">
        <v>87</v>
      </c>
      <c r="C336" s="2" t="s">
        <v>785</v>
      </c>
      <c r="D336" s="2" t="s">
        <v>1255</v>
      </c>
      <c r="E336" s="2" t="s">
        <v>1256</v>
      </c>
      <c r="F336" s="2" t="s">
        <v>840</v>
      </c>
      <c r="G336" s="2" t="s">
        <v>841</v>
      </c>
      <c r="H336" s="2" t="s">
        <v>842</v>
      </c>
      <c r="I336" s="2" t="s">
        <v>1281</v>
      </c>
      <c r="J336" s="2" t="s">
        <v>95</v>
      </c>
      <c r="K336" s="2" t="s">
        <v>1005</v>
      </c>
      <c r="L336" s="3">
        <v>20.23</v>
      </c>
      <c r="M336" s="3">
        <v>21.24</v>
      </c>
      <c r="N336" s="3">
        <v>39.99</v>
      </c>
      <c r="O336" s="2" t="s">
        <v>97</v>
      </c>
      <c r="P336" s="2" t="s">
        <v>483</v>
      </c>
      <c r="Q336" s="2" t="s">
        <v>99</v>
      </c>
      <c r="R336" s="2" t="s">
        <v>100</v>
      </c>
      <c r="S336" s="2" t="s">
        <v>1006</v>
      </c>
      <c r="T336" s="2" t="s">
        <v>231</v>
      </c>
      <c r="U336" s="2" t="s">
        <v>432</v>
      </c>
      <c r="V336" s="2" t="s">
        <v>427</v>
      </c>
      <c r="W336" s="2" t="s">
        <v>428</v>
      </c>
      <c r="X336" s="2" t="s">
        <v>636</v>
      </c>
      <c r="Y336" s="2" t="s">
        <v>961</v>
      </c>
      <c r="Z336" s="4">
        <v>232</v>
      </c>
      <c r="AA336" s="4">
        <f>=ROUNDDOWN(6.37362637362637,0)</f>
      </c>
      <c r="AB336" s="5">
        <v>36.4</v>
      </c>
      <c r="AC336" s="2" t="s">
        <v>948</v>
      </c>
      <c r="AD336" s="4">
        <v>92</v>
      </c>
      <c r="AE336" s="4">
        <v>452</v>
      </c>
      <c r="AF336" s="6">
        <v>63</v>
      </c>
      <c r="AG336" s="6">
        <v>46</v>
      </c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/>
      <c r="AP336" s="4">
        <v>3</v>
      </c>
      <c r="AQ336" s="8">
        <v>68.82</v>
      </c>
      <c r="AR336" s="4"/>
      <c r="AS336" s="8"/>
      <c r="AT336" s="7"/>
      <c r="AU336" s="7"/>
      <c r="AV336" s="4" t="s">
        <v>100</v>
      </c>
      <c r="AW336" s="8" t="s">
        <v>100</v>
      </c>
      <c r="AX336" s="4" t="s">
        <v>100</v>
      </c>
      <c r="AY336" s="8" t="s">
        <v>100</v>
      </c>
      <c r="AZ336" s="7" t="s">
        <v>100</v>
      </c>
      <c r="BA336" s="7" t="s">
        <v>100</v>
      </c>
      <c r="BB336" s="7">
        <v>0.4829</v>
      </c>
      <c r="BC336" s="4" t="s">
        <v>100</v>
      </c>
      <c r="BD336" s="8" t="s">
        <v>100</v>
      </c>
      <c r="BE336" s="4" t="s">
        <v>100</v>
      </c>
      <c r="BF336" s="8" t="s">
        <v>100</v>
      </c>
      <c r="BG336" s="7" t="s">
        <v>100</v>
      </c>
      <c r="BH336" s="7" t="s">
        <v>100</v>
      </c>
      <c r="BI336" s="7" t="s">
        <v>100</v>
      </c>
      <c r="BJ336" s="4">
        <v>239</v>
      </c>
      <c r="BK336" s="8">
        <v>5290.67</v>
      </c>
      <c r="BL336" s="2" t="s">
        <v>1320</v>
      </c>
      <c r="BM336" s="7">
        <v>0.0126</v>
      </c>
      <c r="BN336" s="7">
        <v>0.013</v>
      </c>
      <c r="BO336" s="4">
        <v>3</v>
      </c>
      <c r="BP336" s="8">
        <v>68.82</v>
      </c>
      <c r="BQ336" s="4"/>
      <c r="BR336" s="8"/>
      <c r="BS336" s="7"/>
      <c r="BT336" s="7"/>
      <c r="BU336" s="2" t="s">
        <v>109</v>
      </c>
      <c r="BV336" s="2" t="s">
        <v>97</v>
      </c>
      <c r="BW336" s="2" t="s">
        <v>1298</v>
      </c>
      <c r="BX336" s="2" t="s">
        <v>1321</v>
      </c>
      <c r="BY336" s="2" t="s">
        <v>112</v>
      </c>
      <c r="BZ336" s="2" t="s">
        <v>100</v>
      </c>
    </row>
    <row r="337">
      <c r="A337" s="2" t="s">
        <v>1322</v>
      </c>
      <c r="B337" s="2" t="s">
        <v>87</v>
      </c>
      <c r="C337" s="2" t="s">
        <v>785</v>
      </c>
      <c r="D337" s="2" t="s">
        <v>1255</v>
      </c>
      <c r="E337" s="2" t="s">
        <v>1256</v>
      </c>
      <c r="F337" s="2" t="s">
        <v>840</v>
      </c>
      <c r="G337" s="2" t="s">
        <v>841</v>
      </c>
      <c r="H337" s="2" t="s">
        <v>842</v>
      </c>
      <c r="I337" s="2" t="s">
        <v>1281</v>
      </c>
      <c r="J337" s="2" t="s">
        <v>114</v>
      </c>
      <c r="K337" s="2" t="s">
        <v>1005</v>
      </c>
      <c r="L337" s="3">
        <v>22.61</v>
      </c>
      <c r="M337" s="3">
        <v>23.74</v>
      </c>
      <c r="N337" s="3">
        <v>44.99</v>
      </c>
      <c r="O337" s="2" t="s">
        <v>97</v>
      </c>
      <c r="P337" s="2" t="s">
        <v>483</v>
      </c>
      <c r="Q337" s="2" t="s">
        <v>99</v>
      </c>
      <c r="R337" s="2" t="s">
        <v>100</v>
      </c>
      <c r="S337" s="2" t="s">
        <v>1006</v>
      </c>
      <c r="T337" s="2" t="s">
        <v>231</v>
      </c>
      <c r="U337" s="2" t="s">
        <v>432</v>
      </c>
      <c r="V337" s="2" t="s">
        <v>427</v>
      </c>
      <c r="W337" s="2" t="s">
        <v>428</v>
      </c>
      <c r="X337" s="2" t="s">
        <v>636</v>
      </c>
      <c r="Y337" s="2" t="s">
        <v>961</v>
      </c>
      <c r="Z337" s="4">
        <v>152</v>
      </c>
      <c r="AA337" s="4">
        <f>=ROUNDDOWN(5.03311258278146,0)</f>
      </c>
      <c r="AB337" s="5">
        <v>30.2</v>
      </c>
      <c r="AC337" s="2" t="s">
        <v>948</v>
      </c>
      <c r="AD337" s="4">
        <v>128</v>
      </c>
      <c r="AE337" s="4">
        <v>368</v>
      </c>
      <c r="AF337" s="6">
        <v>63</v>
      </c>
      <c r="AG337" s="6">
        <v>46</v>
      </c>
      <c r="AH337" s="7">
        <v>1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/>
      <c r="AP337" s="4">
        <v>2</v>
      </c>
      <c r="AQ337" s="8">
        <v>51.28</v>
      </c>
      <c r="AR337" s="4"/>
      <c r="AS337" s="8"/>
      <c r="AT337" s="7"/>
      <c r="AU337" s="7"/>
      <c r="AV337" s="4" t="s">
        <v>100</v>
      </c>
      <c r="AW337" s="8" t="s">
        <v>100</v>
      </c>
      <c r="AX337" s="4" t="s">
        <v>100</v>
      </c>
      <c r="AY337" s="8" t="s">
        <v>100</v>
      </c>
      <c r="AZ337" s="7" t="s">
        <v>100</v>
      </c>
      <c r="BA337" s="7" t="s">
        <v>100</v>
      </c>
      <c r="BB337" s="7">
        <v>0.3598</v>
      </c>
      <c r="BC337" s="4" t="s">
        <v>100</v>
      </c>
      <c r="BD337" s="8" t="s">
        <v>100</v>
      </c>
      <c r="BE337" s="4" t="s">
        <v>100</v>
      </c>
      <c r="BF337" s="8" t="s">
        <v>100</v>
      </c>
      <c r="BG337" s="7" t="s">
        <v>100</v>
      </c>
      <c r="BH337" s="7" t="s">
        <v>100</v>
      </c>
      <c r="BI337" s="7" t="s">
        <v>100</v>
      </c>
      <c r="BJ337" s="4">
        <v>210</v>
      </c>
      <c r="BK337" s="8">
        <v>5073.57</v>
      </c>
      <c r="BL337" s="2" t="s">
        <v>962</v>
      </c>
      <c r="BM337" s="7">
        <v>0.0095</v>
      </c>
      <c r="BN337" s="7">
        <v>0.0101</v>
      </c>
      <c r="BO337" s="4">
        <v>2</v>
      </c>
      <c r="BP337" s="8">
        <v>51.28</v>
      </c>
      <c r="BQ337" s="4"/>
      <c r="BR337" s="8"/>
      <c r="BS337" s="7"/>
      <c r="BT337" s="7"/>
      <c r="BU337" s="2" t="s">
        <v>109</v>
      </c>
      <c r="BV337" s="2" t="s">
        <v>97</v>
      </c>
      <c r="BW337" s="2" t="s">
        <v>1298</v>
      </c>
      <c r="BX337" s="2" t="s">
        <v>849</v>
      </c>
      <c r="BY337" s="2" t="s">
        <v>112</v>
      </c>
      <c r="BZ337" s="2" t="s">
        <v>100</v>
      </c>
    </row>
    <row r="338">
      <c r="A338" s="2" t="s">
        <v>1323</v>
      </c>
      <c r="B338" s="2" t="s">
        <v>87</v>
      </c>
      <c r="C338" s="2" t="s">
        <v>785</v>
      </c>
      <c r="D338" s="2" t="s">
        <v>1255</v>
      </c>
      <c r="E338" s="2" t="s">
        <v>1256</v>
      </c>
      <c r="F338" s="2" t="s">
        <v>840</v>
      </c>
      <c r="G338" s="2" t="s">
        <v>841</v>
      </c>
      <c r="H338" s="2" t="s">
        <v>842</v>
      </c>
      <c r="I338" s="2" t="s">
        <v>1281</v>
      </c>
      <c r="J338" s="2" t="s">
        <v>120</v>
      </c>
      <c r="K338" s="2" t="s">
        <v>1005</v>
      </c>
      <c r="L338" s="3">
        <v>23.57</v>
      </c>
      <c r="M338" s="3">
        <v>24.75</v>
      </c>
      <c r="N338" s="3">
        <v>44.99</v>
      </c>
      <c r="O338" s="2" t="s">
        <v>97</v>
      </c>
      <c r="P338" s="2" t="s">
        <v>483</v>
      </c>
      <c r="Q338" s="2" t="s">
        <v>99</v>
      </c>
      <c r="R338" s="2" t="s">
        <v>100</v>
      </c>
      <c r="S338" s="2" t="s">
        <v>1006</v>
      </c>
      <c r="T338" s="2" t="s">
        <v>231</v>
      </c>
      <c r="U338" s="2" t="s">
        <v>432</v>
      </c>
      <c r="V338" s="2" t="s">
        <v>427</v>
      </c>
      <c r="W338" s="2" t="s">
        <v>428</v>
      </c>
      <c r="X338" s="2" t="s">
        <v>636</v>
      </c>
      <c r="Y338" s="2" t="s">
        <v>935</v>
      </c>
      <c r="Z338" s="4">
        <v>36</v>
      </c>
      <c r="AA338" s="4">
        <f>=ROUNDDOWN(3.39622641509434,0)</f>
      </c>
      <c r="AB338" s="5">
        <v>10.6</v>
      </c>
      <c r="AC338" s="2" t="s">
        <v>184</v>
      </c>
      <c r="AD338" s="4">
        <v>152</v>
      </c>
      <c r="AE338" s="4">
        <v>152</v>
      </c>
      <c r="AF338" s="6">
        <v>63</v>
      </c>
      <c r="AG338" s="6">
        <v>46</v>
      </c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100</v>
      </c>
      <c r="AW338" s="8" t="s">
        <v>100</v>
      </c>
      <c r="AX338" s="4" t="s">
        <v>100</v>
      </c>
      <c r="AY338" s="8" t="s">
        <v>100</v>
      </c>
      <c r="AZ338" s="7" t="s">
        <v>100</v>
      </c>
      <c r="BA338" s="7" t="s">
        <v>100</v>
      </c>
      <c r="BB338" s="7"/>
      <c r="BC338" s="4" t="s">
        <v>100</v>
      </c>
      <c r="BD338" s="8" t="s">
        <v>100</v>
      </c>
      <c r="BE338" s="4" t="s">
        <v>100</v>
      </c>
      <c r="BF338" s="8" t="s">
        <v>100</v>
      </c>
      <c r="BG338" s="7" t="s">
        <v>100</v>
      </c>
      <c r="BH338" s="7" t="s">
        <v>100</v>
      </c>
      <c r="BI338" s="7" t="s">
        <v>100</v>
      </c>
      <c r="BJ338" s="4">
        <v>61</v>
      </c>
      <c r="BK338" s="8">
        <v>1578.55</v>
      </c>
      <c r="BL338" s="2" t="s">
        <v>1324</v>
      </c>
      <c r="BM338" s="7"/>
      <c r="BN338" s="7"/>
      <c r="BO338" s="4"/>
      <c r="BP338" s="8"/>
      <c r="BQ338" s="4"/>
      <c r="BR338" s="8"/>
      <c r="BS338" s="7"/>
      <c r="BT338" s="7"/>
      <c r="BU338" s="2" t="s">
        <v>109</v>
      </c>
      <c r="BV338" s="2" t="s">
        <v>97</v>
      </c>
      <c r="BW338" s="2" t="s">
        <v>929</v>
      </c>
      <c r="BX338" s="2" t="s">
        <v>893</v>
      </c>
      <c r="BY338" s="2" t="s">
        <v>112</v>
      </c>
      <c r="BZ338" s="2" t="s">
        <v>100</v>
      </c>
    </row>
    <row r="339">
      <c r="A339" s="2" t="s">
        <v>1325</v>
      </c>
      <c r="B339" s="2" t="s">
        <v>87</v>
      </c>
      <c r="C339" s="2" t="s">
        <v>785</v>
      </c>
      <c r="D339" s="2" t="s">
        <v>1255</v>
      </c>
      <c r="E339" s="2" t="s">
        <v>1256</v>
      </c>
      <c r="F339" s="2" t="s">
        <v>840</v>
      </c>
      <c r="G339" s="2" t="s">
        <v>841</v>
      </c>
      <c r="H339" s="2" t="s">
        <v>842</v>
      </c>
      <c r="I339" s="2" t="s">
        <v>1281</v>
      </c>
      <c r="J339" s="2" t="s">
        <v>791</v>
      </c>
      <c r="K339" s="2" t="s">
        <v>140</v>
      </c>
      <c r="L339" s="3">
        <v>15.47</v>
      </c>
      <c r="M339" s="3">
        <v>16.24</v>
      </c>
      <c r="N339" s="3">
        <v>29.99</v>
      </c>
      <c r="O339" s="2" t="s">
        <v>97</v>
      </c>
      <c r="P339" s="2" t="s">
        <v>483</v>
      </c>
      <c r="Q339" s="2" t="s">
        <v>99</v>
      </c>
      <c r="R339" s="2" t="s">
        <v>100</v>
      </c>
      <c r="S339" s="2" t="s">
        <v>939</v>
      </c>
      <c r="T339" s="2" t="s">
        <v>231</v>
      </c>
      <c r="U339" s="2" t="s">
        <v>426</v>
      </c>
      <c r="V339" s="2" t="s">
        <v>427</v>
      </c>
      <c r="W339" s="2" t="s">
        <v>428</v>
      </c>
      <c r="X339" s="2" t="s">
        <v>636</v>
      </c>
      <c r="Y339" s="2" t="s">
        <v>961</v>
      </c>
      <c r="Z339" s="4">
        <v>86</v>
      </c>
      <c r="AA339" s="4">
        <f>=ROUNDDOWN(12.463768115942,0)</f>
      </c>
      <c r="AB339" s="5">
        <v>6.9</v>
      </c>
      <c r="AC339" s="2" t="s">
        <v>948</v>
      </c>
      <c r="AD339" s="4">
        <v>28</v>
      </c>
      <c r="AE339" s="4">
        <v>28</v>
      </c>
      <c r="AF339" s="6">
        <v>63</v>
      </c>
      <c r="AG339" s="6">
        <v>46</v>
      </c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>
        <v>5</v>
      </c>
      <c r="AW339" s="8">
        <v>123.36</v>
      </c>
      <c r="AX339" s="4" t="s">
        <v>100</v>
      </c>
      <c r="AY339" s="8" t="s">
        <v>100</v>
      </c>
      <c r="AZ339" s="7" t="s">
        <v>100</v>
      </c>
      <c r="BA339" s="7" t="s">
        <v>100</v>
      </c>
      <c r="BB339" s="7"/>
      <c r="BC339" s="4" t="s">
        <v>100</v>
      </c>
      <c r="BD339" s="8" t="s">
        <v>100</v>
      </c>
      <c r="BE339" s="4" t="s">
        <v>100</v>
      </c>
      <c r="BF339" s="8" t="s">
        <v>100</v>
      </c>
      <c r="BG339" s="7" t="s">
        <v>100</v>
      </c>
      <c r="BH339" s="7" t="s">
        <v>100</v>
      </c>
      <c r="BI339" s="7">
        <v>0.0577</v>
      </c>
      <c r="BJ339" s="4">
        <v>38</v>
      </c>
      <c r="BK339" s="8">
        <v>656.83</v>
      </c>
      <c r="BL339" s="2" t="s">
        <v>1009</v>
      </c>
      <c r="BM339" s="7"/>
      <c r="BN339" s="7"/>
      <c r="BO339" s="4"/>
      <c r="BP339" s="8"/>
      <c r="BQ339" s="4"/>
      <c r="BR339" s="8"/>
      <c r="BS339" s="7"/>
      <c r="BT339" s="7"/>
      <c r="BU339" s="2" t="s">
        <v>109</v>
      </c>
      <c r="BV339" s="2" t="s">
        <v>97</v>
      </c>
      <c r="BW339" s="2" t="s">
        <v>1298</v>
      </c>
      <c r="BX339" s="2" t="s">
        <v>100</v>
      </c>
      <c r="BY339" s="2" t="s">
        <v>112</v>
      </c>
      <c r="BZ339" s="2" t="s">
        <v>100</v>
      </c>
    </row>
    <row r="340">
      <c r="A340" s="2" t="s">
        <v>1326</v>
      </c>
      <c r="B340" s="2" t="s">
        <v>87</v>
      </c>
      <c r="C340" s="2" t="s">
        <v>785</v>
      </c>
      <c r="D340" s="2" t="s">
        <v>1255</v>
      </c>
      <c r="E340" s="2" t="s">
        <v>1256</v>
      </c>
      <c r="F340" s="2" t="s">
        <v>840</v>
      </c>
      <c r="G340" s="2" t="s">
        <v>841</v>
      </c>
      <c r="H340" s="2" t="s">
        <v>842</v>
      </c>
      <c r="I340" s="2" t="s">
        <v>1281</v>
      </c>
      <c r="J340" s="2" t="s">
        <v>157</v>
      </c>
      <c r="K340" s="2" t="s">
        <v>140</v>
      </c>
      <c r="L340" s="3">
        <v>19.76</v>
      </c>
      <c r="M340" s="3">
        <v>20.75</v>
      </c>
      <c r="N340" s="3">
        <v>39.99</v>
      </c>
      <c r="O340" s="2" t="s">
        <v>97</v>
      </c>
      <c r="P340" s="2" t="s">
        <v>483</v>
      </c>
      <c r="Q340" s="2" t="s">
        <v>99</v>
      </c>
      <c r="R340" s="2" t="s">
        <v>100</v>
      </c>
      <c r="S340" s="2" t="s">
        <v>939</v>
      </c>
      <c r="T340" s="2" t="s">
        <v>231</v>
      </c>
      <c r="U340" s="2" t="s">
        <v>432</v>
      </c>
      <c r="V340" s="2" t="s">
        <v>427</v>
      </c>
      <c r="W340" s="2" t="s">
        <v>428</v>
      </c>
      <c r="X340" s="2" t="s">
        <v>636</v>
      </c>
      <c r="Y340" s="2" t="s">
        <v>935</v>
      </c>
      <c r="Z340" s="4">
        <v>144</v>
      </c>
      <c r="AA340" s="4">
        <f>=ROUNDDOWN(38.9189189189189,0)</f>
      </c>
      <c r="AB340" s="5">
        <v>3.7</v>
      </c>
      <c r="AC340" s="2" t="s">
        <v>436</v>
      </c>
      <c r="AD340" s="4">
        <v>48</v>
      </c>
      <c r="AE340" s="4">
        <v>48</v>
      </c>
      <c r="AF340" s="6">
        <v>63</v>
      </c>
      <c r="AG340" s="6">
        <v>46</v>
      </c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/>
      <c r="AP340" s="4">
        <v>1</v>
      </c>
      <c r="AQ340" s="8">
        <v>22.41</v>
      </c>
      <c r="AR340" s="4"/>
      <c r="AS340" s="8"/>
      <c r="AT340" s="7"/>
      <c r="AU340" s="7"/>
      <c r="AV340" s="4" t="s">
        <v>100</v>
      </c>
      <c r="AW340" s="8" t="s">
        <v>100</v>
      </c>
      <c r="AX340" s="4" t="s">
        <v>100</v>
      </c>
      <c r="AY340" s="8" t="s">
        <v>100</v>
      </c>
      <c r="AZ340" s="7" t="s">
        <v>100</v>
      </c>
      <c r="BA340" s="7" t="s">
        <v>100</v>
      </c>
      <c r="BB340" s="7">
        <v>0.1817</v>
      </c>
      <c r="BC340" s="4" t="s">
        <v>100</v>
      </c>
      <c r="BD340" s="8" t="s">
        <v>100</v>
      </c>
      <c r="BE340" s="4" t="s">
        <v>100</v>
      </c>
      <c r="BF340" s="8" t="s">
        <v>100</v>
      </c>
      <c r="BG340" s="7" t="s">
        <v>100</v>
      </c>
      <c r="BH340" s="7" t="s">
        <v>100</v>
      </c>
      <c r="BI340" s="7" t="s">
        <v>100</v>
      </c>
      <c r="BJ340" s="4">
        <v>9</v>
      </c>
      <c r="BK340" s="8">
        <v>182.73</v>
      </c>
      <c r="BL340" s="2" t="s">
        <v>1327</v>
      </c>
      <c r="BM340" s="7">
        <v>0.1111</v>
      </c>
      <c r="BN340" s="7">
        <v>0.1226</v>
      </c>
      <c r="BO340" s="4">
        <v>1</v>
      </c>
      <c r="BP340" s="8">
        <v>22.41</v>
      </c>
      <c r="BQ340" s="4"/>
      <c r="BR340" s="8"/>
      <c r="BS340" s="7"/>
      <c r="BT340" s="7"/>
      <c r="BU340" s="2" t="s">
        <v>109</v>
      </c>
      <c r="BV340" s="2" t="s">
        <v>97</v>
      </c>
      <c r="BW340" s="2" t="s">
        <v>929</v>
      </c>
      <c r="BX340" s="2" t="s">
        <v>897</v>
      </c>
      <c r="BY340" s="2" t="s">
        <v>112</v>
      </c>
      <c r="BZ340" s="2" t="s">
        <v>100</v>
      </c>
    </row>
    <row r="341">
      <c r="A341" s="2" t="s">
        <v>1328</v>
      </c>
      <c r="B341" s="2" t="s">
        <v>87</v>
      </c>
      <c r="C341" s="2" t="s">
        <v>785</v>
      </c>
      <c r="D341" s="2" t="s">
        <v>1255</v>
      </c>
      <c r="E341" s="2" t="s">
        <v>1256</v>
      </c>
      <c r="F341" s="2" t="s">
        <v>840</v>
      </c>
      <c r="G341" s="2" t="s">
        <v>841</v>
      </c>
      <c r="H341" s="2" t="s">
        <v>842</v>
      </c>
      <c r="I341" s="2" t="s">
        <v>1281</v>
      </c>
      <c r="J341" s="2" t="s">
        <v>95</v>
      </c>
      <c r="K341" s="2" t="s">
        <v>140</v>
      </c>
      <c r="L341" s="3">
        <v>20.23</v>
      </c>
      <c r="M341" s="3">
        <v>21.24</v>
      </c>
      <c r="N341" s="3">
        <v>39.99</v>
      </c>
      <c r="O341" s="2" t="s">
        <v>97</v>
      </c>
      <c r="P341" s="2" t="s">
        <v>483</v>
      </c>
      <c r="Q341" s="2" t="s">
        <v>99</v>
      </c>
      <c r="R341" s="2" t="s">
        <v>100</v>
      </c>
      <c r="S341" s="2" t="s">
        <v>939</v>
      </c>
      <c r="T341" s="2" t="s">
        <v>231</v>
      </c>
      <c r="U341" s="2" t="s">
        <v>432</v>
      </c>
      <c r="V341" s="2" t="s">
        <v>427</v>
      </c>
      <c r="W341" s="2" t="s">
        <v>428</v>
      </c>
      <c r="X341" s="2" t="s">
        <v>636</v>
      </c>
      <c r="Y341" s="2" t="s">
        <v>961</v>
      </c>
      <c r="Z341" s="4">
        <v>337</v>
      </c>
      <c r="AA341" s="4">
        <f>=ROUNDDOWN(15.2488687782805,0)</f>
      </c>
      <c r="AB341" s="5">
        <v>22.1</v>
      </c>
      <c r="AC341" s="2" t="s">
        <v>948</v>
      </c>
      <c r="AD341" s="4">
        <v>100</v>
      </c>
      <c r="AE341" s="4">
        <v>100</v>
      </c>
      <c r="AF341" s="6">
        <v>63</v>
      </c>
      <c r="AG341" s="6">
        <v>46</v>
      </c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/>
      <c r="AP341" s="4">
        <v>1</v>
      </c>
      <c r="AQ341" s="8">
        <v>22.94</v>
      </c>
      <c r="AR341" s="4"/>
      <c r="AS341" s="8"/>
      <c r="AT341" s="7"/>
      <c r="AU341" s="7"/>
      <c r="AV341" s="4" t="s">
        <v>100</v>
      </c>
      <c r="AW341" s="8" t="s">
        <v>100</v>
      </c>
      <c r="AX341" s="4" t="s">
        <v>100</v>
      </c>
      <c r="AY341" s="8" t="s">
        <v>100</v>
      </c>
      <c r="AZ341" s="7" t="s">
        <v>100</v>
      </c>
      <c r="BA341" s="7" t="s">
        <v>100</v>
      </c>
      <c r="BB341" s="7">
        <v>0.186</v>
      </c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 t="s">
        <v>100</v>
      </c>
      <c r="BJ341" s="4">
        <v>114</v>
      </c>
      <c r="BK341" s="8">
        <v>2446.57</v>
      </c>
      <c r="BL341" s="2" t="s">
        <v>1302</v>
      </c>
      <c r="BM341" s="7">
        <v>0.0088</v>
      </c>
      <c r="BN341" s="7">
        <v>0.0094</v>
      </c>
      <c r="BO341" s="4">
        <v>1</v>
      </c>
      <c r="BP341" s="8">
        <v>22.94</v>
      </c>
      <c r="BQ341" s="4"/>
      <c r="BR341" s="8"/>
      <c r="BS341" s="7"/>
      <c r="BT341" s="7"/>
      <c r="BU341" s="2" t="s">
        <v>109</v>
      </c>
      <c r="BV341" s="2" t="s">
        <v>97</v>
      </c>
      <c r="BW341" s="2" t="s">
        <v>1298</v>
      </c>
      <c r="BX341" s="2" t="s">
        <v>1329</v>
      </c>
      <c r="BY341" s="2" t="s">
        <v>112</v>
      </c>
      <c r="BZ341" s="2" t="s">
        <v>100</v>
      </c>
    </row>
    <row r="342">
      <c r="A342" s="2" t="s">
        <v>1330</v>
      </c>
      <c r="B342" s="2" t="s">
        <v>87</v>
      </c>
      <c r="C342" s="2" t="s">
        <v>785</v>
      </c>
      <c r="D342" s="2" t="s">
        <v>1255</v>
      </c>
      <c r="E342" s="2" t="s">
        <v>1256</v>
      </c>
      <c r="F342" s="2" t="s">
        <v>840</v>
      </c>
      <c r="G342" s="2" t="s">
        <v>841</v>
      </c>
      <c r="H342" s="2" t="s">
        <v>842</v>
      </c>
      <c r="I342" s="2" t="s">
        <v>1281</v>
      </c>
      <c r="J342" s="2" t="s">
        <v>114</v>
      </c>
      <c r="K342" s="2" t="s">
        <v>140</v>
      </c>
      <c r="L342" s="3">
        <v>22.61</v>
      </c>
      <c r="M342" s="3">
        <v>23.74</v>
      </c>
      <c r="N342" s="3">
        <v>44.99</v>
      </c>
      <c r="O342" s="2" t="s">
        <v>97</v>
      </c>
      <c r="P342" s="2" t="s">
        <v>483</v>
      </c>
      <c r="Q342" s="2" t="s">
        <v>99</v>
      </c>
      <c r="R342" s="2" t="s">
        <v>100</v>
      </c>
      <c r="S342" s="2" t="s">
        <v>939</v>
      </c>
      <c r="T342" s="2" t="s">
        <v>231</v>
      </c>
      <c r="U342" s="2" t="s">
        <v>432</v>
      </c>
      <c r="V342" s="2" t="s">
        <v>427</v>
      </c>
      <c r="W342" s="2" t="s">
        <v>428</v>
      </c>
      <c r="X342" s="2" t="s">
        <v>636</v>
      </c>
      <c r="Y342" s="2" t="s">
        <v>961</v>
      </c>
      <c r="Z342" s="4">
        <v>313</v>
      </c>
      <c r="AA342" s="4">
        <f>=ROUNDDOWN(22.1985815602837,0)</f>
      </c>
      <c r="AB342" s="5">
        <v>14.1</v>
      </c>
      <c r="AC342" s="2" t="s">
        <v>948</v>
      </c>
      <c r="AD342" s="4">
        <v>116</v>
      </c>
      <c r="AE342" s="4">
        <v>116</v>
      </c>
      <c r="AF342" s="6">
        <v>63</v>
      </c>
      <c r="AG342" s="6">
        <v>46</v>
      </c>
      <c r="AH342" s="7">
        <v>1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/>
      <c r="AP342" s="4">
        <v>2</v>
      </c>
      <c r="AQ342" s="8">
        <v>51.28</v>
      </c>
      <c r="AR342" s="4"/>
      <c r="AS342" s="8"/>
      <c r="AT342" s="7"/>
      <c r="AU342" s="7"/>
      <c r="AV342" s="4" t="s">
        <v>100</v>
      </c>
      <c r="AW342" s="8" t="s">
        <v>100</v>
      </c>
      <c r="AX342" s="4" t="s">
        <v>100</v>
      </c>
      <c r="AY342" s="8" t="s">
        <v>100</v>
      </c>
      <c r="AZ342" s="7" t="s">
        <v>100</v>
      </c>
      <c r="BA342" s="7" t="s">
        <v>100</v>
      </c>
      <c r="BB342" s="7">
        <v>0.4157</v>
      </c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 t="s">
        <v>100</v>
      </c>
      <c r="BJ342" s="4">
        <v>69</v>
      </c>
      <c r="BK342" s="8">
        <v>1663.33</v>
      </c>
      <c r="BL342" s="2" t="s">
        <v>1331</v>
      </c>
      <c r="BM342" s="7">
        <v>0.029</v>
      </c>
      <c r="BN342" s="7">
        <v>0.0308</v>
      </c>
      <c r="BO342" s="4">
        <v>2</v>
      </c>
      <c r="BP342" s="8">
        <v>51.28</v>
      </c>
      <c r="BQ342" s="4"/>
      <c r="BR342" s="8"/>
      <c r="BS342" s="7"/>
      <c r="BT342" s="7"/>
      <c r="BU342" s="2" t="s">
        <v>109</v>
      </c>
      <c r="BV342" s="2" t="s">
        <v>97</v>
      </c>
      <c r="BW342" s="2" t="s">
        <v>1298</v>
      </c>
      <c r="BX342" s="2" t="s">
        <v>487</v>
      </c>
      <c r="BY342" s="2" t="s">
        <v>112</v>
      </c>
      <c r="BZ342" s="2" t="s">
        <v>100</v>
      </c>
    </row>
    <row r="343">
      <c r="A343" s="2" t="s">
        <v>1332</v>
      </c>
      <c r="B343" s="2" t="s">
        <v>87</v>
      </c>
      <c r="C343" s="2" t="s">
        <v>785</v>
      </c>
      <c r="D343" s="2" t="s">
        <v>1255</v>
      </c>
      <c r="E343" s="2" t="s">
        <v>1256</v>
      </c>
      <c r="F343" s="2" t="s">
        <v>840</v>
      </c>
      <c r="G343" s="2" t="s">
        <v>841</v>
      </c>
      <c r="H343" s="2" t="s">
        <v>842</v>
      </c>
      <c r="I343" s="2" t="s">
        <v>1281</v>
      </c>
      <c r="J343" s="2" t="s">
        <v>120</v>
      </c>
      <c r="K343" s="2" t="s">
        <v>140</v>
      </c>
      <c r="L343" s="3">
        <v>23.57</v>
      </c>
      <c r="M343" s="3">
        <v>24.75</v>
      </c>
      <c r="N343" s="3">
        <v>44.99</v>
      </c>
      <c r="O343" s="2" t="s">
        <v>97</v>
      </c>
      <c r="P343" s="2" t="s">
        <v>483</v>
      </c>
      <c r="Q343" s="2" t="s">
        <v>99</v>
      </c>
      <c r="R343" s="2" t="s">
        <v>100</v>
      </c>
      <c r="S343" s="2" t="s">
        <v>939</v>
      </c>
      <c r="T343" s="2" t="s">
        <v>231</v>
      </c>
      <c r="U343" s="2" t="s">
        <v>432</v>
      </c>
      <c r="V343" s="2" t="s">
        <v>427</v>
      </c>
      <c r="W343" s="2" t="s">
        <v>428</v>
      </c>
      <c r="X343" s="2" t="s">
        <v>636</v>
      </c>
      <c r="Y343" s="2" t="s">
        <v>935</v>
      </c>
      <c r="Z343" s="4">
        <v>98</v>
      </c>
      <c r="AA343" s="4">
        <f>=ROUNDDOWN(16.6101694915254,0)</f>
      </c>
      <c r="AB343" s="5">
        <v>5.9</v>
      </c>
      <c r="AC343" s="2" t="s">
        <v>184</v>
      </c>
      <c r="AD343" s="4">
        <v>240</v>
      </c>
      <c r="AE343" s="4">
        <v>240</v>
      </c>
      <c r="AF343" s="6">
        <v>63</v>
      </c>
      <c r="AG343" s="6">
        <v>46</v>
      </c>
      <c r="AH343" s="7">
        <v>1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/>
      <c r="AP343" s="4">
        <v>1</v>
      </c>
      <c r="AQ343" s="8">
        <v>26.73</v>
      </c>
      <c r="AR343" s="4"/>
      <c r="AS343" s="8"/>
      <c r="AT343" s="7"/>
      <c r="AU343" s="7"/>
      <c r="AV343" s="4" t="s">
        <v>100</v>
      </c>
      <c r="AW343" s="8" t="s">
        <v>100</v>
      </c>
      <c r="AX343" s="4" t="s">
        <v>100</v>
      </c>
      <c r="AY343" s="8" t="s">
        <v>100</v>
      </c>
      <c r="AZ343" s="7" t="s">
        <v>100</v>
      </c>
      <c r="BA343" s="7" t="s">
        <v>100</v>
      </c>
      <c r="BB343" s="7">
        <v>0.2167</v>
      </c>
      <c r="BC343" s="4" t="s">
        <v>100</v>
      </c>
      <c r="BD343" s="8" t="s">
        <v>100</v>
      </c>
      <c r="BE343" s="4" t="s">
        <v>100</v>
      </c>
      <c r="BF343" s="8" t="s">
        <v>100</v>
      </c>
      <c r="BG343" s="7" t="s">
        <v>100</v>
      </c>
      <c r="BH343" s="7" t="s">
        <v>100</v>
      </c>
      <c r="BI343" s="7" t="s">
        <v>100</v>
      </c>
      <c r="BJ343" s="4">
        <v>12</v>
      </c>
      <c r="BK343" s="8">
        <v>338.14</v>
      </c>
      <c r="BL343" s="2" t="s">
        <v>1333</v>
      </c>
      <c r="BM343" s="7">
        <v>0.0833</v>
      </c>
      <c r="BN343" s="7">
        <v>0.0791</v>
      </c>
      <c r="BO343" s="4">
        <v>1</v>
      </c>
      <c r="BP343" s="8">
        <v>26.73</v>
      </c>
      <c r="BQ343" s="4"/>
      <c r="BR343" s="8"/>
      <c r="BS343" s="7"/>
      <c r="BT343" s="7"/>
      <c r="BU343" s="2" t="s">
        <v>109</v>
      </c>
      <c r="BV343" s="2" t="s">
        <v>97</v>
      </c>
      <c r="BW343" s="2" t="s">
        <v>929</v>
      </c>
      <c r="BX343" s="2" t="s">
        <v>993</v>
      </c>
      <c r="BY343" s="2" t="s">
        <v>112</v>
      </c>
      <c r="BZ343" s="2" t="s">
        <v>100</v>
      </c>
    </row>
    <row r="344">
      <c r="A344" s="2" t="s">
        <v>1334</v>
      </c>
      <c r="B344" s="2" t="s">
        <v>87</v>
      </c>
      <c r="C344" s="2" t="s">
        <v>785</v>
      </c>
      <c r="D344" s="2" t="s">
        <v>1255</v>
      </c>
      <c r="E344" s="2" t="s">
        <v>1256</v>
      </c>
      <c r="F344" s="2" t="s">
        <v>840</v>
      </c>
      <c r="G344" s="2" t="s">
        <v>841</v>
      </c>
      <c r="H344" s="2" t="s">
        <v>842</v>
      </c>
      <c r="I344" s="2" t="s">
        <v>1281</v>
      </c>
      <c r="J344" s="2" t="s">
        <v>791</v>
      </c>
      <c r="K344" s="2" t="s">
        <v>895</v>
      </c>
      <c r="L344" s="3">
        <v>15.47</v>
      </c>
      <c r="M344" s="3">
        <v>16.24</v>
      </c>
      <c r="N344" s="3">
        <v>32.49</v>
      </c>
      <c r="O344" s="2" t="s">
        <v>97</v>
      </c>
      <c r="P344" s="2" t="s">
        <v>576</v>
      </c>
      <c r="Q344" s="2" t="s">
        <v>99</v>
      </c>
      <c r="R344" s="2" t="s">
        <v>100</v>
      </c>
      <c r="S344" s="2" t="s">
        <v>896</v>
      </c>
      <c r="T344" s="2" t="s">
        <v>231</v>
      </c>
      <c r="U344" s="2" t="s">
        <v>426</v>
      </c>
      <c r="V344" s="2" t="s">
        <v>427</v>
      </c>
      <c r="W344" s="2" t="s">
        <v>428</v>
      </c>
      <c r="X344" s="2" t="s">
        <v>636</v>
      </c>
      <c r="Y344" s="2" t="s">
        <v>889</v>
      </c>
      <c r="Z344" s="4">
        <v>100</v>
      </c>
      <c r="AA344" s="4">
        <f>=ROUNDDOWN(8.33333333333333,0)</f>
      </c>
      <c r="AB344" s="5">
        <v>12</v>
      </c>
      <c r="AC344" s="2" t="s">
        <v>897</v>
      </c>
      <c r="AD344" s="4">
        <v>600</v>
      </c>
      <c r="AE344" s="4">
        <v>860</v>
      </c>
      <c r="AF344" s="6">
        <v>63</v>
      </c>
      <c r="AG344" s="6">
        <v>46</v>
      </c>
      <c r="AH344" s="7">
        <v>0.7778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>
        <v>5</v>
      </c>
      <c r="AW344" s="8">
        <v>120.66</v>
      </c>
      <c r="AX344" s="4" t="s">
        <v>100</v>
      </c>
      <c r="AY344" s="8" t="s">
        <v>100</v>
      </c>
      <c r="AZ344" s="7" t="s">
        <v>100</v>
      </c>
      <c r="BA344" s="7" t="s">
        <v>100</v>
      </c>
      <c r="BB344" s="7"/>
      <c r="BC344" s="4" t="s">
        <v>100</v>
      </c>
      <c r="BD344" s="8" t="s">
        <v>100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>
        <v>0.0564</v>
      </c>
      <c r="BJ344" s="4">
        <v>96</v>
      </c>
      <c r="BK344" s="8">
        <v>1669.94</v>
      </c>
      <c r="BL344" s="2" t="s">
        <v>1335</v>
      </c>
      <c r="BM344" s="7"/>
      <c r="BN344" s="7"/>
      <c r="BO344" s="4"/>
      <c r="BP344" s="8"/>
      <c r="BQ344" s="4"/>
      <c r="BR344" s="8"/>
      <c r="BS344" s="7"/>
      <c r="BT344" s="7"/>
      <c r="BU344" s="2" t="s">
        <v>109</v>
      </c>
      <c r="BV344" s="2" t="s">
        <v>97</v>
      </c>
      <c r="BW344" s="2" t="s">
        <v>889</v>
      </c>
      <c r="BX344" s="2" t="s">
        <v>1244</v>
      </c>
      <c r="BY344" s="2" t="s">
        <v>112</v>
      </c>
      <c r="BZ344" s="2" t="s">
        <v>100</v>
      </c>
    </row>
    <row r="345">
      <c r="A345" s="2" t="s">
        <v>1336</v>
      </c>
      <c r="B345" s="2" t="s">
        <v>87</v>
      </c>
      <c r="C345" s="2" t="s">
        <v>785</v>
      </c>
      <c r="D345" s="2" t="s">
        <v>1255</v>
      </c>
      <c r="E345" s="2" t="s">
        <v>1256</v>
      </c>
      <c r="F345" s="2" t="s">
        <v>840</v>
      </c>
      <c r="G345" s="2" t="s">
        <v>841</v>
      </c>
      <c r="H345" s="2" t="s">
        <v>842</v>
      </c>
      <c r="I345" s="2" t="s">
        <v>1281</v>
      </c>
      <c r="J345" s="2" t="s">
        <v>157</v>
      </c>
      <c r="K345" s="2" t="s">
        <v>895</v>
      </c>
      <c r="L345" s="3">
        <v>19.76</v>
      </c>
      <c r="M345" s="3">
        <v>20.75</v>
      </c>
      <c r="N345" s="3">
        <v>39.99</v>
      </c>
      <c r="O345" s="2" t="s">
        <v>97</v>
      </c>
      <c r="P345" s="2" t="s">
        <v>483</v>
      </c>
      <c r="Q345" s="2" t="s">
        <v>99</v>
      </c>
      <c r="R345" s="2" t="s">
        <v>100</v>
      </c>
      <c r="S345" s="2" t="s">
        <v>896</v>
      </c>
      <c r="T345" s="2" t="s">
        <v>231</v>
      </c>
      <c r="U345" s="2" t="s">
        <v>432</v>
      </c>
      <c r="V345" s="2" t="s">
        <v>427</v>
      </c>
      <c r="W345" s="2" t="s">
        <v>428</v>
      </c>
      <c r="X345" s="2" t="s">
        <v>636</v>
      </c>
      <c r="Y345" s="2" t="s">
        <v>966</v>
      </c>
      <c r="Z345" s="4">
        <v>281</v>
      </c>
      <c r="AA345" s="4">
        <f>=ROUNDDOWN(39.5774647887324,0)</f>
      </c>
      <c r="AB345" s="5">
        <v>7.1</v>
      </c>
      <c r="AC345" s="2" t="s">
        <v>642</v>
      </c>
      <c r="AD345" s="4">
        <v>200</v>
      </c>
      <c r="AE345" s="4">
        <v>200</v>
      </c>
      <c r="AF345" s="6">
        <v>63</v>
      </c>
      <c r="AG345" s="6">
        <v>46</v>
      </c>
      <c r="AH345" s="7">
        <v>1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/>
      <c r="AP345" s="4">
        <v>1</v>
      </c>
      <c r="AQ345" s="8">
        <v>22.41</v>
      </c>
      <c r="AR345" s="4"/>
      <c r="AS345" s="8"/>
      <c r="AT345" s="7"/>
      <c r="AU345" s="7"/>
      <c r="AV345" s="4" t="s">
        <v>100</v>
      </c>
      <c r="AW345" s="8" t="s">
        <v>100</v>
      </c>
      <c r="AX345" s="4" t="s">
        <v>100</v>
      </c>
      <c r="AY345" s="8" t="s">
        <v>100</v>
      </c>
      <c r="AZ345" s="7" t="s">
        <v>100</v>
      </c>
      <c r="BA345" s="7" t="s">
        <v>100</v>
      </c>
      <c r="BB345" s="7">
        <v>0.1857</v>
      </c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 t="s">
        <v>100</v>
      </c>
      <c r="BJ345" s="4">
        <v>27</v>
      </c>
      <c r="BK345" s="8">
        <v>549.12</v>
      </c>
      <c r="BL345" s="2" t="s">
        <v>1337</v>
      </c>
      <c r="BM345" s="7">
        <v>0.037</v>
      </c>
      <c r="BN345" s="7">
        <v>0.0408</v>
      </c>
      <c r="BO345" s="4">
        <v>1</v>
      </c>
      <c r="BP345" s="8">
        <v>22.41</v>
      </c>
      <c r="BQ345" s="4"/>
      <c r="BR345" s="8"/>
      <c r="BS345" s="7"/>
      <c r="BT345" s="7"/>
      <c r="BU345" s="2" t="s">
        <v>109</v>
      </c>
      <c r="BV345" s="2" t="s">
        <v>97</v>
      </c>
      <c r="BW345" s="2" t="s">
        <v>881</v>
      </c>
      <c r="BX345" s="2" t="s">
        <v>1304</v>
      </c>
      <c r="BY345" s="2" t="s">
        <v>112</v>
      </c>
      <c r="BZ345" s="2" t="s">
        <v>100</v>
      </c>
    </row>
    <row r="346">
      <c r="A346" s="2" t="s">
        <v>1338</v>
      </c>
      <c r="B346" s="2" t="s">
        <v>87</v>
      </c>
      <c r="C346" s="2" t="s">
        <v>785</v>
      </c>
      <c r="D346" s="2" t="s">
        <v>1255</v>
      </c>
      <c r="E346" s="2" t="s">
        <v>1256</v>
      </c>
      <c r="F346" s="2" t="s">
        <v>840</v>
      </c>
      <c r="G346" s="2" t="s">
        <v>841</v>
      </c>
      <c r="H346" s="2" t="s">
        <v>842</v>
      </c>
      <c r="I346" s="2" t="s">
        <v>1281</v>
      </c>
      <c r="J346" s="2" t="s">
        <v>95</v>
      </c>
      <c r="K346" s="2" t="s">
        <v>895</v>
      </c>
      <c r="L346" s="3">
        <v>20.23</v>
      </c>
      <c r="M346" s="3">
        <v>21.24</v>
      </c>
      <c r="N346" s="3">
        <v>42.49</v>
      </c>
      <c r="O346" s="2" t="s">
        <v>97</v>
      </c>
      <c r="P346" s="2" t="s">
        <v>576</v>
      </c>
      <c r="Q346" s="2" t="s">
        <v>99</v>
      </c>
      <c r="R346" s="2" t="s">
        <v>100</v>
      </c>
      <c r="S346" s="2" t="s">
        <v>896</v>
      </c>
      <c r="T346" s="2" t="s">
        <v>231</v>
      </c>
      <c r="U346" s="2" t="s">
        <v>432</v>
      </c>
      <c r="V346" s="2" t="s">
        <v>427</v>
      </c>
      <c r="W346" s="2" t="s">
        <v>428</v>
      </c>
      <c r="X346" s="2" t="s">
        <v>636</v>
      </c>
      <c r="Y346" s="2" t="s">
        <v>889</v>
      </c>
      <c r="Z346" s="4">
        <v>502</v>
      </c>
      <c r="AA346" s="4">
        <f>=ROUNDDOWN(15.2121212121212,0)</f>
      </c>
      <c r="AB346" s="5">
        <v>33</v>
      </c>
      <c r="AC346" s="2" t="s">
        <v>897</v>
      </c>
      <c r="AD346" s="4">
        <v>1200</v>
      </c>
      <c r="AE346" s="4">
        <v>2820</v>
      </c>
      <c r="AF346" s="6">
        <v>63</v>
      </c>
      <c r="AG346" s="6">
        <v>46</v>
      </c>
      <c r="AH346" s="7">
        <v>1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/>
      <c r="AP346" s="4">
        <v>2</v>
      </c>
      <c r="AQ346" s="8">
        <v>45.88</v>
      </c>
      <c r="AR346" s="4"/>
      <c r="AS346" s="8"/>
      <c r="AT346" s="7"/>
      <c r="AU346" s="7"/>
      <c r="AV346" s="4" t="s">
        <v>100</v>
      </c>
      <c r="AW346" s="8" t="s">
        <v>100</v>
      </c>
      <c r="AX346" s="4" t="s">
        <v>100</v>
      </c>
      <c r="AY346" s="8" t="s">
        <v>100</v>
      </c>
      <c r="AZ346" s="7" t="s">
        <v>100</v>
      </c>
      <c r="BA346" s="7" t="s">
        <v>100</v>
      </c>
      <c r="BB346" s="7">
        <v>0.3802</v>
      </c>
      <c r="BC346" s="4" t="s">
        <v>100</v>
      </c>
      <c r="BD346" s="8" t="s">
        <v>100</v>
      </c>
      <c r="BE346" s="4" t="s">
        <v>100</v>
      </c>
      <c r="BF346" s="8" t="s">
        <v>100</v>
      </c>
      <c r="BG346" s="7" t="s">
        <v>100</v>
      </c>
      <c r="BH346" s="7" t="s">
        <v>100</v>
      </c>
      <c r="BI346" s="7" t="s">
        <v>100</v>
      </c>
      <c r="BJ346" s="4">
        <v>293</v>
      </c>
      <c r="BK346" s="8">
        <v>6304.87</v>
      </c>
      <c r="BL346" s="2" t="s">
        <v>1264</v>
      </c>
      <c r="BM346" s="7">
        <v>0.0068</v>
      </c>
      <c r="BN346" s="7">
        <v>0.0073</v>
      </c>
      <c r="BO346" s="4">
        <v>2</v>
      </c>
      <c r="BP346" s="8">
        <v>45.88</v>
      </c>
      <c r="BQ346" s="4"/>
      <c r="BR346" s="8"/>
      <c r="BS346" s="7"/>
      <c r="BT346" s="7"/>
      <c r="BU346" s="2" t="s">
        <v>109</v>
      </c>
      <c r="BV346" s="2" t="s">
        <v>97</v>
      </c>
      <c r="BW346" s="2" t="s">
        <v>889</v>
      </c>
      <c r="BX346" s="2" t="s">
        <v>1339</v>
      </c>
      <c r="BY346" s="2" t="s">
        <v>112</v>
      </c>
      <c r="BZ346" s="2" t="s">
        <v>100</v>
      </c>
    </row>
    <row r="347">
      <c r="A347" s="2" t="s">
        <v>1340</v>
      </c>
      <c r="B347" s="2" t="s">
        <v>87</v>
      </c>
      <c r="C347" s="2" t="s">
        <v>785</v>
      </c>
      <c r="D347" s="2" t="s">
        <v>1255</v>
      </c>
      <c r="E347" s="2" t="s">
        <v>1256</v>
      </c>
      <c r="F347" s="2" t="s">
        <v>840</v>
      </c>
      <c r="G347" s="2" t="s">
        <v>841</v>
      </c>
      <c r="H347" s="2" t="s">
        <v>842</v>
      </c>
      <c r="I347" s="2" t="s">
        <v>1281</v>
      </c>
      <c r="J347" s="2" t="s">
        <v>114</v>
      </c>
      <c r="K347" s="2" t="s">
        <v>895</v>
      </c>
      <c r="L347" s="3">
        <v>22.61</v>
      </c>
      <c r="M347" s="3">
        <v>23.74</v>
      </c>
      <c r="N347" s="3">
        <v>47.49</v>
      </c>
      <c r="O347" s="2" t="s">
        <v>97</v>
      </c>
      <c r="P347" s="2" t="s">
        <v>576</v>
      </c>
      <c r="Q347" s="2" t="s">
        <v>99</v>
      </c>
      <c r="R347" s="2" t="s">
        <v>100</v>
      </c>
      <c r="S347" s="2" t="s">
        <v>896</v>
      </c>
      <c r="T347" s="2" t="s">
        <v>231</v>
      </c>
      <c r="U347" s="2" t="s">
        <v>432</v>
      </c>
      <c r="V347" s="2" t="s">
        <v>427</v>
      </c>
      <c r="W347" s="2" t="s">
        <v>428</v>
      </c>
      <c r="X347" s="2" t="s">
        <v>636</v>
      </c>
      <c r="Y347" s="2" t="s">
        <v>889</v>
      </c>
      <c r="Z347" s="4">
        <v>598</v>
      </c>
      <c r="AA347" s="4">
        <f>=ROUNDDOWN(9.96666666666667,0)</f>
      </c>
      <c r="AB347" s="5">
        <v>60</v>
      </c>
      <c r="AC347" s="2" t="s">
        <v>1235</v>
      </c>
      <c r="AD347" s="4">
        <v>220</v>
      </c>
      <c r="AE347" s="4">
        <v>1900</v>
      </c>
      <c r="AF347" s="6">
        <v>63</v>
      </c>
      <c r="AG347" s="6">
        <v>46</v>
      </c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/>
      <c r="AP347" s="4">
        <v>1</v>
      </c>
      <c r="AQ347" s="8">
        <v>25.64</v>
      </c>
      <c r="AR347" s="4"/>
      <c r="AS347" s="8"/>
      <c r="AT347" s="7"/>
      <c r="AU347" s="7"/>
      <c r="AV347" s="4" t="s">
        <v>100</v>
      </c>
      <c r="AW347" s="8" t="s">
        <v>100</v>
      </c>
      <c r="AX347" s="4" t="s">
        <v>100</v>
      </c>
      <c r="AY347" s="8" t="s">
        <v>100</v>
      </c>
      <c r="AZ347" s="7" t="s">
        <v>100</v>
      </c>
      <c r="BA347" s="7" t="s">
        <v>100</v>
      </c>
      <c r="BB347" s="7">
        <v>0.2125</v>
      </c>
      <c r="BC347" s="4" t="s">
        <v>100</v>
      </c>
      <c r="BD347" s="8" t="s">
        <v>100</v>
      </c>
      <c r="BE347" s="4" t="s">
        <v>100</v>
      </c>
      <c r="BF347" s="8" t="s">
        <v>100</v>
      </c>
      <c r="BG347" s="7" t="s">
        <v>100</v>
      </c>
      <c r="BH347" s="7" t="s">
        <v>100</v>
      </c>
      <c r="BI347" s="7" t="s">
        <v>100</v>
      </c>
      <c r="BJ347" s="4">
        <v>245</v>
      </c>
      <c r="BK347" s="8">
        <v>5994.02</v>
      </c>
      <c r="BL347" s="2" t="s">
        <v>1341</v>
      </c>
      <c r="BM347" s="7">
        <v>0.0041</v>
      </c>
      <c r="BN347" s="7">
        <v>0.0043</v>
      </c>
      <c r="BO347" s="4">
        <v>1</v>
      </c>
      <c r="BP347" s="8">
        <v>25.64</v>
      </c>
      <c r="BQ347" s="4"/>
      <c r="BR347" s="8"/>
      <c r="BS347" s="7"/>
      <c r="BT347" s="7"/>
      <c r="BU347" s="2" t="s">
        <v>109</v>
      </c>
      <c r="BV347" s="2" t="s">
        <v>97</v>
      </c>
      <c r="BW347" s="2" t="s">
        <v>889</v>
      </c>
      <c r="BX347" s="2" t="s">
        <v>874</v>
      </c>
      <c r="BY347" s="2" t="s">
        <v>112</v>
      </c>
      <c r="BZ347" s="2" t="s">
        <v>100</v>
      </c>
    </row>
    <row r="348">
      <c r="A348" s="2" t="s">
        <v>1342</v>
      </c>
      <c r="B348" s="2" t="s">
        <v>87</v>
      </c>
      <c r="C348" s="2" t="s">
        <v>785</v>
      </c>
      <c r="D348" s="2" t="s">
        <v>1255</v>
      </c>
      <c r="E348" s="2" t="s">
        <v>1256</v>
      </c>
      <c r="F348" s="2" t="s">
        <v>840</v>
      </c>
      <c r="G348" s="2" t="s">
        <v>841</v>
      </c>
      <c r="H348" s="2" t="s">
        <v>842</v>
      </c>
      <c r="I348" s="2" t="s">
        <v>1281</v>
      </c>
      <c r="J348" s="2" t="s">
        <v>120</v>
      </c>
      <c r="K348" s="2" t="s">
        <v>895</v>
      </c>
      <c r="L348" s="3">
        <v>23.57</v>
      </c>
      <c r="M348" s="3">
        <v>24.75</v>
      </c>
      <c r="N348" s="3">
        <v>44.99</v>
      </c>
      <c r="O348" s="2" t="s">
        <v>97</v>
      </c>
      <c r="P348" s="2" t="s">
        <v>483</v>
      </c>
      <c r="Q348" s="2" t="s">
        <v>99</v>
      </c>
      <c r="R348" s="2" t="s">
        <v>100</v>
      </c>
      <c r="S348" s="2" t="s">
        <v>896</v>
      </c>
      <c r="T348" s="2" t="s">
        <v>231</v>
      </c>
      <c r="U348" s="2" t="s">
        <v>432</v>
      </c>
      <c r="V348" s="2" t="s">
        <v>427</v>
      </c>
      <c r="W348" s="2" t="s">
        <v>428</v>
      </c>
      <c r="X348" s="2" t="s">
        <v>636</v>
      </c>
      <c r="Y348" s="2" t="s">
        <v>966</v>
      </c>
      <c r="Z348" s="4">
        <v>283</v>
      </c>
      <c r="AA348" s="4">
        <f>=ROUNDDOWN(36.7532467532468,0)</f>
      </c>
      <c r="AB348" s="5">
        <v>7.7</v>
      </c>
      <c r="AC348" s="2" t="s">
        <v>642</v>
      </c>
      <c r="AD348" s="4">
        <v>280</v>
      </c>
      <c r="AE348" s="4">
        <v>600</v>
      </c>
      <c r="AF348" s="6">
        <v>63</v>
      </c>
      <c r="AG348" s="6">
        <v>46</v>
      </c>
      <c r="AH348" s="7">
        <v>1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/>
      <c r="AP348" s="4">
        <v>1</v>
      </c>
      <c r="AQ348" s="8">
        <v>26.73</v>
      </c>
      <c r="AR348" s="4"/>
      <c r="AS348" s="8"/>
      <c r="AT348" s="7"/>
      <c r="AU348" s="7"/>
      <c r="AV348" s="4" t="s">
        <v>100</v>
      </c>
      <c r="AW348" s="8" t="s">
        <v>100</v>
      </c>
      <c r="AX348" s="4" t="s">
        <v>100</v>
      </c>
      <c r="AY348" s="8" t="s">
        <v>100</v>
      </c>
      <c r="AZ348" s="7" t="s">
        <v>100</v>
      </c>
      <c r="BA348" s="7" t="s">
        <v>100</v>
      </c>
      <c r="BB348" s="7">
        <v>0.2215</v>
      </c>
      <c r="BC348" s="4" t="s">
        <v>100</v>
      </c>
      <c r="BD348" s="8" t="s">
        <v>100</v>
      </c>
      <c r="BE348" s="4" t="s">
        <v>100</v>
      </c>
      <c r="BF348" s="8" t="s">
        <v>100</v>
      </c>
      <c r="BG348" s="7" t="s">
        <v>100</v>
      </c>
      <c r="BH348" s="7" t="s">
        <v>100</v>
      </c>
      <c r="BI348" s="7" t="s">
        <v>100</v>
      </c>
      <c r="BJ348" s="4">
        <v>28</v>
      </c>
      <c r="BK348" s="8">
        <v>802.44</v>
      </c>
      <c r="BL348" s="2" t="s">
        <v>1167</v>
      </c>
      <c r="BM348" s="7">
        <v>0.0357</v>
      </c>
      <c r="BN348" s="7">
        <v>0.0333</v>
      </c>
      <c r="BO348" s="4">
        <v>1</v>
      </c>
      <c r="BP348" s="8">
        <v>26.73</v>
      </c>
      <c r="BQ348" s="4"/>
      <c r="BR348" s="8"/>
      <c r="BS348" s="7"/>
      <c r="BT348" s="7"/>
      <c r="BU348" s="2" t="s">
        <v>109</v>
      </c>
      <c r="BV348" s="2" t="s">
        <v>97</v>
      </c>
      <c r="BW348" s="2" t="s">
        <v>881</v>
      </c>
      <c r="BX348" s="2" t="s">
        <v>942</v>
      </c>
      <c r="BY348" s="2" t="s">
        <v>112</v>
      </c>
      <c r="BZ348" s="2" t="s">
        <v>100</v>
      </c>
    </row>
    <row r="349">
      <c r="A349" s="2" t="s">
        <v>1343</v>
      </c>
      <c r="B349" s="2" t="s">
        <v>87</v>
      </c>
      <c r="C349" s="2" t="s">
        <v>785</v>
      </c>
      <c r="D349" s="2" t="s">
        <v>1255</v>
      </c>
      <c r="E349" s="2" t="s">
        <v>1256</v>
      </c>
      <c r="F349" s="2" t="s">
        <v>840</v>
      </c>
      <c r="G349" s="2" t="s">
        <v>841</v>
      </c>
      <c r="H349" s="2" t="s">
        <v>842</v>
      </c>
      <c r="I349" s="2" t="s">
        <v>1281</v>
      </c>
      <c r="J349" s="2" t="s">
        <v>791</v>
      </c>
      <c r="K349" s="2" t="s">
        <v>923</v>
      </c>
      <c r="L349" s="3">
        <v>15.47</v>
      </c>
      <c r="M349" s="3">
        <v>16.24</v>
      </c>
      <c r="N349" s="3">
        <v>29.99</v>
      </c>
      <c r="O349" s="2" t="s">
        <v>97</v>
      </c>
      <c r="P349" s="2" t="s">
        <v>483</v>
      </c>
      <c r="Q349" s="2" t="s">
        <v>99</v>
      </c>
      <c r="R349" s="2" t="s">
        <v>100</v>
      </c>
      <c r="S349" s="2" t="s">
        <v>924</v>
      </c>
      <c r="T349" s="2" t="s">
        <v>231</v>
      </c>
      <c r="U349" s="2" t="s">
        <v>426</v>
      </c>
      <c r="V349" s="2" t="s">
        <v>427</v>
      </c>
      <c r="W349" s="2" t="s">
        <v>428</v>
      </c>
      <c r="X349" s="2" t="s">
        <v>636</v>
      </c>
      <c r="Y349" s="2" t="s">
        <v>961</v>
      </c>
      <c r="Z349" s="4">
        <v>114</v>
      </c>
      <c r="AA349" s="4">
        <f>=ROUNDDOWN(24.7826086956522,0)</f>
      </c>
      <c r="AB349" s="5">
        <v>4.6</v>
      </c>
      <c r="AC349" s="2" t="s">
        <v>948</v>
      </c>
      <c r="AD349" s="4">
        <v>36</v>
      </c>
      <c r="AE349" s="4">
        <v>36</v>
      </c>
      <c r="AF349" s="6">
        <v>63</v>
      </c>
      <c r="AG349" s="6">
        <v>46</v>
      </c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>
        <v>5</v>
      </c>
      <c r="AW349" s="8">
        <v>120.66</v>
      </c>
      <c r="AX349" s="4" t="s">
        <v>100</v>
      </c>
      <c r="AY349" s="8" t="s">
        <v>100</v>
      </c>
      <c r="AZ349" s="7" t="s">
        <v>100</v>
      </c>
      <c r="BA349" s="7" t="s">
        <v>100</v>
      </c>
      <c r="BB349" s="7"/>
      <c r="BC349" s="4" t="s">
        <v>100</v>
      </c>
      <c r="BD349" s="8" t="s">
        <v>100</v>
      </c>
      <c r="BE349" s="4" t="s">
        <v>100</v>
      </c>
      <c r="BF349" s="8" t="s">
        <v>100</v>
      </c>
      <c r="BG349" s="7" t="s">
        <v>100</v>
      </c>
      <c r="BH349" s="7" t="s">
        <v>100</v>
      </c>
      <c r="BI349" s="7">
        <v>0.0564</v>
      </c>
      <c r="BJ349" s="4">
        <v>36</v>
      </c>
      <c r="BK349" s="8">
        <v>625.6</v>
      </c>
      <c r="BL349" s="2" t="s">
        <v>1009</v>
      </c>
      <c r="BM349" s="7"/>
      <c r="BN349" s="7"/>
      <c r="BO349" s="4"/>
      <c r="BP349" s="8"/>
      <c r="BQ349" s="4"/>
      <c r="BR349" s="8"/>
      <c r="BS349" s="7"/>
      <c r="BT349" s="7"/>
      <c r="BU349" s="2" t="s">
        <v>109</v>
      </c>
      <c r="BV349" s="2" t="s">
        <v>97</v>
      </c>
      <c r="BW349" s="2" t="s">
        <v>1298</v>
      </c>
      <c r="BX349" s="2" t="s">
        <v>100</v>
      </c>
      <c r="BY349" s="2" t="s">
        <v>112</v>
      </c>
      <c r="BZ349" s="2" t="s">
        <v>100</v>
      </c>
    </row>
    <row r="350">
      <c r="A350" s="2" t="s">
        <v>1344</v>
      </c>
      <c r="B350" s="2" t="s">
        <v>87</v>
      </c>
      <c r="C350" s="2" t="s">
        <v>785</v>
      </c>
      <c r="D350" s="2" t="s">
        <v>1255</v>
      </c>
      <c r="E350" s="2" t="s">
        <v>1256</v>
      </c>
      <c r="F350" s="2" t="s">
        <v>840</v>
      </c>
      <c r="G350" s="2" t="s">
        <v>841</v>
      </c>
      <c r="H350" s="2" t="s">
        <v>842</v>
      </c>
      <c r="I350" s="2" t="s">
        <v>1281</v>
      </c>
      <c r="J350" s="2" t="s">
        <v>157</v>
      </c>
      <c r="K350" s="2" t="s">
        <v>923</v>
      </c>
      <c r="L350" s="3">
        <v>19.76</v>
      </c>
      <c r="M350" s="3">
        <v>20.75</v>
      </c>
      <c r="N350" s="3">
        <v>39.99</v>
      </c>
      <c r="O350" s="2" t="s">
        <v>97</v>
      </c>
      <c r="P350" s="2" t="s">
        <v>483</v>
      </c>
      <c r="Q350" s="2" t="s">
        <v>99</v>
      </c>
      <c r="R350" s="2" t="s">
        <v>100</v>
      </c>
      <c r="S350" s="2" t="s">
        <v>924</v>
      </c>
      <c r="T350" s="2" t="s">
        <v>231</v>
      </c>
      <c r="U350" s="2" t="s">
        <v>432</v>
      </c>
      <c r="V350" s="2" t="s">
        <v>427</v>
      </c>
      <c r="W350" s="2" t="s">
        <v>428</v>
      </c>
      <c r="X350" s="2" t="s">
        <v>636</v>
      </c>
      <c r="Y350" s="2" t="s">
        <v>935</v>
      </c>
      <c r="Z350" s="4">
        <v>131</v>
      </c>
      <c r="AA350" s="4">
        <f>=ROUNDDOWN(18.7142857142857,0)</f>
      </c>
      <c r="AB350" s="5">
        <v>7</v>
      </c>
      <c r="AC350" s="2" t="s">
        <v>436</v>
      </c>
      <c r="AD350" s="4">
        <v>52</v>
      </c>
      <c r="AE350" s="4">
        <v>52</v>
      </c>
      <c r="AF350" s="6">
        <v>63</v>
      </c>
      <c r="AG350" s="6">
        <v>46</v>
      </c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/>
      <c r="AP350" s="4">
        <v>1</v>
      </c>
      <c r="AQ350" s="8">
        <v>22.41</v>
      </c>
      <c r="AR350" s="4"/>
      <c r="AS350" s="8"/>
      <c r="AT350" s="7"/>
      <c r="AU350" s="7"/>
      <c r="AV350" s="4" t="s">
        <v>100</v>
      </c>
      <c r="AW350" s="8" t="s">
        <v>100</v>
      </c>
      <c r="AX350" s="4" t="s">
        <v>100</v>
      </c>
      <c r="AY350" s="8" t="s">
        <v>100</v>
      </c>
      <c r="AZ350" s="7" t="s">
        <v>100</v>
      </c>
      <c r="BA350" s="7" t="s">
        <v>100</v>
      </c>
      <c r="BB350" s="7">
        <v>0.1857</v>
      </c>
      <c r="BC350" s="4" t="s">
        <v>100</v>
      </c>
      <c r="BD350" s="8" t="s">
        <v>100</v>
      </c>
      <c r="BE350" s="4" t="s">
        <v>100</v>
      </c>
      <c r="BF350" s="8" t="s">
        <v>100</v>
      </c>
      <c r="BG350" s="7" t="s">
        <v>100</v>
      </c>
      <c r="BH350" s="7" t="s">
        <v>100</v>
      </c>
      <c r="BI350" s="7" t="s">
        <v>100</v>
      </c>
      <c r="BJ350" s="4">
        <v>18</v>
      </c>
      <c r="BK350" s="8">
        <v>378.04</v>
      </c>
      <c r="BL350" s="2" t="s">
        <v>1345</v>
      </c>
      <c r="BM350" s="7">
        <v>0.0556</v>
      </c>
      <c r="BN350" s="7">
        <v>0.0593</v>
      </c>
      <c r="BO350" s="4">
        <v>1</v>
      </c>
      <c r="BP350" s="8">
        <v>22.41</v>
      </c>
      <c r="BQ350" s="4"/>
      <c r="BR350" s="8"/>
      <c r="BS350" s="7"/>
      <c r="BT350" s="7"/>
      <c r="BU350" s="2" t="s">
        <v>109</v>
      </c>
      <c r="BV350" s="2" t="s">
        <v>97</v>
      </c>
      <c r="BW350" s="2" t="s">
        <v>929</v>
      </c>
      <c r="BX350" s="2" t="s">
        <v>966</v>
      </c>
      <c r="BY350" s="2" t="s">
        <v>112</v>
      </c>
      <c r="BZ350" s="2" t="s">
        <v>100</v>
      </c>
    </row>
    <row r="351">
      <c r="A351" s="2" t="s">
        <v>1346</v>
      </c>
      <c r="B351" s="2" t="s">
        <v>87</v>
      </c>
      <c r="C351" s="2" t="s">
        <v>785</v>
      </c>
      <c r="D351" s="2" t="s">
        <v>1255</v>
      </c>
      <c r="E351" s="2" t="s">
        <v>1256</v>
      </c>
      <c r="F351" s="2" t="s">
        <v>840</v>
      </c>
      <c r="G351" s="2" t="s">
        <v>841</v>
      </c>
      <c r="H351" s="2" t="s">
        <v>842</v>
      </c>
      <c r="I351" s="2" t="s">
        <v>1281</v>
      </c>
      <c r="J351" s="2" t="s">
        <v>95</v>
      </c>
      <c r="K351" s="2" t="s">
        <v>923</v>
      </c>
      <c r="L351" s="3">
        <v>20.23</v>
      </c>
      <c r="M351" s="3">
        <v>21.24</v>
      </c>
      <c r="N351" s="3">
        <v>39.99</v>
      </c>
      <c r="O351" s="2" t="s">
        <v>97</v>
      </c>
      <c r="P351" s="2" t="s">
        <v>483</v>
      </c>
      <c r="Q351" s="2" t="s">
        <v>99</v>
      </c>
      <c r="R351" s="2" t="s">
        <v>100</v>
      </c>
      <c r="S351" s="2" t="s">
        <v>924</v>
      </c>
      <c r="T351" s="2" t="s">
        <v>231</v>
      </c>
      <c r="U351" s="2" t="s">
        <v>432</v>
      </c>
      <c r="V351" s="2" t="s">
        <v>427</v>
      </c>
      <c r="W351" s="2" t="s">
        <v>428</v>
      </c>
      <c r="X351" s="2" t="s">
        <v>636</v>
      </c>
      <c r="Y351" s="2" t="s">
        <v>961</v>
      </c>
      <c r="Z351" s="4">
        <v>342</v>
      </c>
      <c r="AA351" s="4">
        <f>=ROUNDDOWN(16.6019417475728,0)</f>
      </c>
      <c r="AB351" s="5">
        <v>20.6</v>
      </c>
      <c r="AC351" s="2" t="s">
        <v>948</v>
      </c>
      <c r="AD351" s="4">
        <v>80</v>
      </c>
      <c r="AE351" s="4">
        <v>80</v>
      </c>
      <c r="AF351" s="6">
        <v>63</v>
      </c>
      <c r="AG351" s="6">
        <v>46</v>
      </c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/>
      <c r="AP351" s="4">
        <v>2</v>
      </c>
      <c r="AQ351" s="8">
        <v>45.88</v>
      </c>
      <c r="AR351" s="4"/>
      <c r="AS351" s="8"/>
      <c r="AT351" s="7"/>
      <c r="AU351" s="7"/>
      <c r="AV351" s="4" t="s">
        <v>100</v>
      </c>
      <c r="AW351" s="8" t="s">
        <v>100</v>
      </c>
      <c r="AX351" s="4" t="s">
        <v>100</v>
      </c>
      <c r="AY351" s="8" t="s">
        <v>100</v>
      </c>
      <c r="AZ351" s="7" t="s">
        <v>100</v>
      </c>
      <c r="BA351" s="7" t="s">
        <v>100</v>
      </c>
      <c r="BB351" s="7">
        <v>0.3802</v>
      </c>
      <c r="BC351" s="4" t="s">
        <v>100</v>
      </c>
      <c r="BD351" s="8" t="s">
        <v>100</v>
      </c>
      <c r="BE351" s="4" t="s">
        <v>100</v>
      </c>
      <c r="BF351" s="8" t="s">
        <v>100</v>
      </c>
      <c r="BG351" s="7" t="s">
        <v>100</v>
      </c>
      <c r="BH351" s="7" t="s">
        <v>100</v>
      </c>
      <c r="BI351" s="7" t="s">
        <v>100</v>
      </c>
      <c r="BJ351" s="4">
        <v>129</v>
      </c>
      <c r="BK351" s="8">
        <v>2819.34</v>
      </c>
      <c r="BL351" s="2" t="s">
        <v>1347</v>
      </c>
      <c r="BM351" s="7">
        <v>0.0155</v>
      </c>
      <c r="BN351" s="7">
        <v>0.0163</v>
      </c>
      <c r="BO351" s="4">
        <v>2</v>
      </c>
      <c r="BP351" s="8">
        <v>45.88</v>
      </c>
      <c r="BQ351" s="4"/>
      <c r="BR351" s="8"/>
      <c r="BS351" s="7"/>
      <c r="BT351" s="7"/>
      <c r="BU351" s="2" t="s">
        <v>109</v>
      </c>
      <c r="BV351" s="2" t="s">
        <v>97</v>
      </c>
      <c r="BW351" s="2" t="s">
        <v>1298</v>
      </c>
      <c r="BX351" s="2" t="s">
        <v>849</v>
      </c>
      <c r="BY351" s="2" t="s">
        <v>112</v>
      </c>
      <c r="BZ351" s="2" t="s">
        <v>100</v>
      </c>
    </row>
    <row r="352">
      <c r="A352" s="2" t="s">
        <v>1348</v>
      </c>
      <c r="B352" s="2" t="s">
        <v>87</v>
      </c>
      <c r="C352" s="2" t="s">
        <v>785</v>
      </c>
      <c r="D352" s="2" t="s">
        <v>1255</v>
      </c>
      <c r="E352" s="2" t="s">
        <v>1256</v>
      </c>
      <c r="F352" s="2" t="s">
        <v>840</v>
      </c>
      <c r="G352" s="2" t="s">
        <v>841</v>
      </c>
      <c r="H352" s="2" t="s">
        <v>842</v>
      </c>
      <c r="I352" s="2" t="s">
        <v>1281</v>
      </c>
      <c r="J352" s="2" t="s">
        <v>114</v>
      </c>
      <c r="K352" s="2" t="s">
        <v>923</v>
      </c>
      <c r="L352" s="3">
        <v>22.61</v>
      </c>
      <c r="M352" s="3">
        <v>23.74</v>
      </c>
      <c r="N352" s="3">
        <v>44.99</v>
      </c>
      <c r="O352" s="2" t="s">
        <v>97</v>
      </c>
      <c r="P352" s="2" t="s">
        <v>483</v>
      </c>
      <c r="Q352" s="2" t="s">
        <v>99</v>
      </c>
      <c r="R352" s="2" t="s">
        <v>100</v>
      </c>
      <c r="S352" s="2" t="s">
        <v>924</v>
      </c>
      <c r="T352" s="2" t="s">
        <v>231</v>
      </c>
      <c r="U352" s="2" t="s">
        <v>432</v>
      </c>
      <c r="V352" s="2" t="s">
        <v>427</v>
      </c>
      <c r="W352" s="2" t="s">
        <v>428</v>
      </c>
      <c r="X352" s="2" t="s">
        <v>636</v>
      </c>
      <c r="Y352" s="2" t="s">
        <v>961</v>
      </c>
      <c r="Z352" s="4">
        <v>174</v>
      </c>
      <c r="AA352" s="4">
        <f>=ROUNDDOWN(7.73333333333333,0)</f>
      </c>
      <c r="AB352" s="5">
        <v>22.5</v>
      </c>
      <c r="AC352" s="2" t="s">
        <v>948</v>
      </c>
      <c r="AD352" s="4">
        <v>124</v>
      </c>
      <c r="AE352" s="4">
        <v>124</v>
      </c>
      <c r="AF352" s="6">
        <v>63</v>
      </c>
      <c r="AG352" s="6">
        <v>46</v>
      </c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/>
      <c r="AP352" s="4">
        <v>1</v>
      </c>
      <c r="AQ352" s="8">
        <v>25.64</v>
      </c>
      <c r="AR352" s="4"/>
      <c r="AS352" s="8"/>
      <c r="AT352" s="7"/>
      <c r="AU352" s="7"/>
      <c r="AV352" s="4" t="s">
        <v>100</v>
      </c>
      <c r="AW352" s="8" t="s">
        <v>100</v>
      </c>
      <c r="AX352" s="4" t="s">
        <v>100</v>
      </c>
      <c r="AY352" s="8" t="s">
        <v>100</v>
      </c>
      <c r="AZ352" s="7" t="s">
        <v>100</v>
      </c>
      <c r="BA352" s="7" t="s">
        <v>100</v>
      </c>
      <c r="BB352" s="7">
        <v>0.2125</v>
      </c>
      <c r="BC352" s="4" t="s">
        <v>100</v>
      </c>
      <c r="BD352" s="8" t="s">
        <v>100</v>
      </c>
      <c r="BE352" s="4" t="s">
        <v>100</v>
      </c>
      <c r="BF352" s="8" t="s">
        <v>100</v>
      </c>
      <c r="BG352" s="7" t="s">
        <v>100</v>
      </c>
      <c r="BH352" s="7" t="s">
        <v>100</v>
      </c>
      <c r="BI352" s="7" t="s">
        <v>100</v>
      </c>
      <c r="BJ352" s="4">
        <v>148</v>
      </c>
      <c r="BK352" s="8">
        <v>3575.59</v>
      </c>
      <c r="BL352" s="2" t="s">
        <v>1302</v>
      </c>
      <c r="BM352" s="7">
        <v>0.0068</v>
      </c>
      <c r="BN352" s="7">
        <v>0.0072</v>
      </c>
      <c r="BO352" s="4">
        <v>1</v>
      </c>
      <c r="BP352" s="8">
        <v>25.64</v>
      </c>
      <c r="BQ352" s="4"/>
      <c r="BR352" s="8"/>
      <c r="BS352" s="7"/>
      <c r="BT352" s="7"/>
      <c r="BU352" s="2" t="s">
        <v>109</v>
      </c>
      <c r="BV352" s="2" t="s">
        <v>97</v>
      </c>
      <c r="BW352" s="2" t="s">
        <v>1298</v>
      </c>
      <c r="BX352" s="2" t="s">
        <v>1349</v>
      </c>
      <c r="BY352" s="2" t="s">
        <v>112</v>
      </c>
      <c r="BZ352" s="2" t="s">
        <v>100</v>
      </c>
    </row>
    <row r="353">
      <c r="A353" s="2" t="s">
        <v>1350</v>
      </c>
      <c r="B353" s="2" t="s">
        <v>87</v>
      </c>
      <c r="C353" s="2" t="s">
        <v>785</v>
      </c>
      <c r="D353" s="2" t="s">
        <v>1255</v>
      </c>
      <c r="E353" s="2" t="s">
        <v>1256</v>
      </c>
      <c r="F353" s="2" t="s">
        <v>840</v>
      </c>
      <c r="G353" s="2" t="s">
        <v>841</v>
      </c>
      <c r="H353" s="2" t="s">
        <v>842</v>
      </c>
      <c r="I353" s="2" t="s">
        <v>1281</v>
      </c>
      <c r="J353" s="2" t="s">
        <v>120</v>
      </c>
      <c r="K353" s="2" t="s">
        <v>923</v>
      </c>
      <c r="L353" s="3">
        <v>23.57</v>
      </c>
      <c r="M353" s="3">
        <v>24.75</v>
      </c>
      <c r="N353" s="3">
        <v>44.99</v>
      </c>
      <c r="O353" s="2" t="s">
        <v>97</v>
      </c>
      <c r="P353" s="2" t="s">
        <v>483</v>
      </c>
      <c r="Q353" s="2" t="s">
        <v>99</v>
      </c>
      <c r="R353" s="2" t="s">
        <v>100</v>
      </c>
      <c r="S353" s="2" t="s">
        <v>924</v>
      </c>
      <c r="T353" s="2" t="s">
        <v>231</v>
      </c>
      <c r="U353" s="2" t="s">
        <v>432</v>
      </c>
      <c r="V353" s="2" t="s">
        <v>427</v>
      </c>
      <c r="W353" s="2" t="s">
        <v>428</v>
      </c>
      <c r="X353" s="2" t="s">
        <v>636</v>
      </c>
      <c r="Y353" s="2" t="s">
        <v>935</v>
      </c>
      <c r="Z353" s="4">
        <v>87</v>
      </c>
      <c r="AA353" s="4">
        <f>=ROUNDDOWN(13.3846153846154,0)</f>
      </c>
      <c r="AB353" s="5">
        <v>6.5</v>
      </c>
      <c r="AC353" s="2" t="s">
        <v>184</v>
      </c>
      <c r="AD353" s="4">
        <v>332</v>
      </c>
      <c r="AE353" s="4">
        <v>332</v>
      </c>
      <c r="AF353" s="6">
        <v>63</v>
      </c>
      <c r="AG353" s="6">
        <v>46</v>
      </c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/>
      <c r="AP353" s="4">
        <v>1</v>
      </c>
      <c r="AQ353" s="8">
        <v>26.73</v>
      </c>
      <c r="AR353" s="4"/>
      <c r="AS353" s="8"/>
      <c r="AT353" s="7"/>
      <c r="AU353" s="7"/>
      <c r="AV353" s="4" t="s">
        <v>100</v>
      </c>
      <c r="AW353" s="8" t="s">
        <v>100</v>
      </c>
      <c r="AX353" s="4" t="s">
        <v>100</v>
      </c>
      <c r="AY353" s="8" t="s">
        <v>100</v>
      </c>
      <c r="AZ353" s="7" t="s">
        <v>100</v>
      </c>
      <c r="BA353" s="7" t="s">
        <v>100</v>
      </c>
      <c r="BB353" s="7">
        <v>0.2215</v>
      </c>
      <c r="BC353" s="4" t="s">
        <v>100</v>
      </c>
      <c r="BD353" s="8" t="s">
        <v>100</v>
      </c>
      <c r="BE353" s="4" t="s">
        <v>100</v>
      </c>
      <c r="BF353" s="8" t="s">
        <v>100</v>
      </c>
      <c r="BG353" s="7" t="s">
        <v>100</v>
      </c>
      <c r="BH353" s="7" t="s">
        <v>100</v>
      </c>
      <c r="BI353" s="7" t="s">
        <v>100</v>
      </c>
      <c r="BJ353" s="4">
        <v>16</v>
      </c>
      <c r="BK353" s="8">
        <v>473.54</v>
      </c>
      <c r="BL353" s="2" t="s">
        <v>1351</v>
      </c>
      <c r="BM353" s="7">
        <v>0.0625</v>
      </c>
      <c r="BN353" s="7">
        <v>0.0564</v>
      </c>
      <c r="BO353" s="4">
        <v>1</v>
      </c>
      <c r="BP353" s="8">
        <v>26.73</v>
      </c>
      <c r="BQ353" s="4"/>
      <c r="BR353" s="8"/>
      <c r="BS353" s="7"/>
      <c r="BT353" s="7"/>
      <c r="BU353" s="2" t="s">
        <v>109</v>
      </c>
      <c r="BV353" s="2" t="s">
        <v>97</v>
      </c>
      <c r="BW353" s="2" t="s">
        <v>929</v>
      </c>
      <c r="BX353" s="2" t="s">
        <v>1300</v>
      </c>
      <c r="BY353" s="2" t="s">
        <v>112</v>
      </c>
      <c r="BZ353" s="2" t="s">
        <v>100</v>
      </c>
    </row>
    <row r="354">
      <c r="A354" s="2" t="s">
        <v>1352</v>
      </c>
      <c r="B354" s="2" t="s">
        <v>87</v>
      </c>
      <c r="C354" s="2" t="s">
        <v>785</v>
      </c>
      <c r="D354" s="2" t="s">
        <v>1255</v>
      </c>
      <c r="E354" s="2" t="s">
        <v>1256</v>
      </c>
      <c r="F354" s="2" t="s">
        <v>840</v>
      </c>
      <c r="G354" s="2" t="s">
        <v>841</v>
      </c>
      <c r="H354" s="2" t="s">
        <v>842</v>
      </c>
      <c r="I354" s="2" t="s">
        <v>1281</v>
      </c>
      <c r="J354" s="2" t="s">
        <v>791</v>
      </c>
      <c r="K354" s="2" t="s">
        <v>1018</v>
      </c>
      <c r="L354" s="3">
        <v>15.47</v>
      </c>
      <c r="M354" s="3">
        <v>16.24</v>
      </c>
      <c r="N354" s="3">
        <v>29.99</v>
      </c>
      <c r="O354" s="2" t="s">
        <v>97</v>
      </c>
      <c r="P354" s="2" t="s">
        <v>483</v>
      </c>
      <c r="Q354" s="2" t="s">
        <v>99</v>
      </c>
      <c r="R354" s="2" t="s">
        <v>100</v>
      </c>
      <c r="S354" s="2" t="s">
        <v>1019</v>
      </c>
      <c r="T354" s="2" t="s">
        <v>231</v>
      </c>
      <c r="U354" s="2" t="s">
        <v>426</v>
      </c>
      <c r="V354" s="2" t="s">
        <v>427</v>
      </c>
      <c r="W354" s="2" t="s">
        <v>428</v>
      </c>
      <c r="X354" s="2" t="s">
        <v>636</v>
      </c>
      <c r="Y354" s="2" t="s">
        <v>961</v>
      </c>
      <c r="Z354" s="4">
        <v>141</v>
      </c>
      <c r="AA354" s="4">
        <f>=ROUNDDOWN(42.7272727272727,0)</f>
      </c>
      <c r="AB354" s="5">
        <v>3.3</v>
      </c>
      <c r="AC354" s="2" t="s">
        <v>948</v>
      </c>
      <c r="AD354" s="4">
        <v>28</v>
      </c>
      <c r="AE354" s="4">
        <v>28</v>
      </c>
      <c r="AF354" s="6">
        <v>63</v>
      </c>
      <c r="AG354" s="6">
        <v>46</v>
      </c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>
        <v>4</v>
      </c>
      <c r="AW354" s="8">
        <v>93.93</v>
      </c>
      <c r="AX354" s="4" t="s">
        <v>100</v>
      </c>
      <c r="AY354" s="8" t="s">
        <v>100</v>
      </c>
      <c r="AZ354" s="7" t="s">
        <v>100</v>
      </c>
      <c r="BA354" s="7" t="s">
        <v>100</v>
      </c>
      <c r="BB354" s="7"/>
      <c r="BC354" s="4" t="s">
        <v>100</v>
      </c>
      <c r="BD354" s="8" t="s">
        <v>100</v>
      </c>
      <c r="BE354" s="4" t="s">
        <v>100</v>
      </c>
      <c r="BF354" s="8" t="s">
        <v>100</v>
      </c>
      <c r="BG354" s="7" t="s">
        <v>100</v>
      </c>
      <c r="BH354" s="7" t="s">
        <v>100</v>
      </c>
      <c r="BI354" s="7">
        <v>0.0439</v>
      </c>
      <c r="BJ354" s="4">
        <v>36</v>
      </c>
      <c r="BK354" s="8">
        <v>642.51</v>
      </c>
      <c r="BL354" s="2" t="s">
        <v>944</v>
      </c>
      <c r="BM354" s="7"/>
      <c r="BN354" s="7"/>
      <c r="BO354" s="4"/>
      <c r="BP354" s="8"/>
      <c r="BQ354" s="4"/>
      <c r="BR354" s="8"/>
      <c r="BS354" s="7"/>
      <c r="BT354" s="7"/>
      <c r="BU354" s="2" t="s">
        <v>109</v>
      </c>
      <c r="BV354" s="2" t="s">
        <v>97</v>
      </c>
      <c r="BW354" s="2" t="s">
        <v>1298</v>
      </c>
      <c r="BX354" s="2" t="s">
        <v>100</v>
      </c>
      <c r="BY354" s="2" t="s">
        <v>112</v>
      </c>
      <c r="BZ354" s="2" t="s">
        <v>100</v>
      </c>
    </row>
    <row r="355">
      <c r="A355" s="2" t="s">
        <v>1353</v>
      </c>
      <c r="B355" s="2" t="s">
        <v>87</v>
      </c>
      <c r="C355" s="2" t="s">
        <v>785</v>
      </c>
      <c r="D355" s="2" t="s">
        <v>1255</v>
      </c>
      <c r="E355" s="2" t="s">
        <v>1256</v>
      </c>
      <c r="F355" s="2" t="s">
        <v>840</v>
      </c>
      <c r="G355" s="2" t="s">
        <v>841</v>
      </c>
      <c r="H355" s="2" t="s">
        <v>842</v>
      </c>
      <c r="I355" s="2" t="s">
        <v>1281</v>
      </c>
      <c r="J355" s="2" t="s">
        <v>157</v>
      </c>
      <c r="K355" s="2" t="s">
        <v>1018</v>
      </c>
      <c r="L355" s="3">
        <v>19.76</v>
      </c>
      <c r="M355" s="3">
        <v>20.75</v>
      </c>
      <c r="N355" s="3">
        <v>39.99</v>
      </c>
      <c r="O355" s="2" t="s">
        <v>97</v>
      </c>
      <c r="P355" s="2" t="s">
        <v>483</v>
      </c>
      <c r="Q355" s="2" t="s">
        <v>99</v>
      </c>
      <c r="R355" s="2" t="s">
        <v>100</v>
      </c>
      <c r="S355" s="2" t="s">
        <v>1019</v>
      </c>
      <c r="T355" s="2" t="s">
        <v>231</v>
      </c>
      <c r="U355" s="2" t="s">
        <v>432</v>
      </c>
      <c r="V355" s="2" t="s">
        <v>427</v>
      </c>
      <c r="W355" s="2" t="s">
        <v>428</v>
      </c>
      <c r="X355" s="2" t="s">
        <v>636</v>
      </c>
      <c r="Y355" s="2" t="s">
        <v>935</v>
      </c>
      <c r="Z355" s="4">
        <v>159</v>
      </c>
      <c r="AA355" s="4">
        <f>=ROUNDDOWN(66.25,0)</f>
      </c>
      <c r="AB355" s="5">
        <v>2.4</v>
      </c>
      <c r="AC355" s="2" t="s">
        <v>436</v>
      </c>
      <c r="AD355" s="4">
        <v>52</v>
      </c>
      <c r="AE355" s="4">
        <v>52</v>
      </c>
      <c r="AF355" s="6">
        <v>63</v>
      </c>
      <c r="AG355" s="6">
        <v>46</v>
      </c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/>
      <c r="AP355" s="4">
        <v>1</v>
      </c>
      <c r="AQ355" s="8">
        <v>22.41</v>
      </c>
      <c r="AR355" s="4"/>
      <c r="AS355" s="8"/>
      <c r="AT355" s="7"/>
      <c r="AU355" s="7"/>
      <c r="AV355" s="4" t="s">
        <v>100</v>
      </c>
      <c r="AW355" s="8" t="s">
        <v>100</v>
      </c>
      <c r="AX355" s="4" t="s">
        <v>100</v>
      </c>
      <c r="AY355" s="8" t="s">
        <v>100</v>
      </c>
      <c r="AZ355" s="7" t="s">
        <v>100</v>
      </c>
      <c r="BA355" s="7" t="s">
        <v>100</v>
      </c>
      <c r="BB355" s="7">
        <v>0.2386</v>
      </c>
      <c r="BC355" s="4" t="s">
        <v>100</v>
      </c>
      <c r="BD355" s="8" t="s">
        <v>100</v>
      </c>
      <c r="BE355" s="4" t="s">
        <v>100</v>
      </c>
      <c r="BF355" s="8" t="s">
        <v>100</v>
      </c>
      <c r="BG355" s="7" t="s">
        <v>100</v>
      </c>
      <c r="BH355" s="7" t="s">
        <v>100</v>
      </c>
      <c r="BI355" s="7" t="s">
        <v>100</v>
      </c>
      <c r="BJ355" s="4">
        <v>32</v>
      </c>
      <c r="BK355" s="8">
        <v>699.04</v>
      </c>
      <c r="BL355" s="2" t="s">
        <v>901</v>
      </c>
      <c r="BM355" s="7">
        <v>0.0312</v>
      </c>
      <c r="BN355" s="7">
        <v>0.0321</v>
      </c>
      <c r="BO355" s="4">
        <v>1</v>
      </c>
      <c r="BP355" s="8">
        <v>22.41</v>
      </c>
      <c r="BQ355" s="4"/>
      <c r="BR355" s="8"/>
      <c r="BS355" s="7"/>
      <c r="BT355" s="7"/>
      <c r="BU355" s="2" t="s">
        <v>109</v>
      </c>
      <c r="BV355" s="2" t="s">
        <v>97</v>
      </c>
      <c r="BW355" s="2" t="s">
        <v>929</v>
      </c>
      <c r="BX355" s="2" t="s">
        <v>913</v>
      </c>
      <c r="BY355" s="2" t="s">
        <v>112</v>
      </c>
      <c r="BZ355" s="2" t="s">
        <v>100</v>
      </c>
    </row>
    <row r="356">
      <c r="A356" s="2" t="s">
        <v>1354</v>
      </c>
      <c r="B356" s="2" t="s">
        <v>87</v>
      </c>
      <c r="C356" s="2" t="s">
        <v>785</v>
      </c>
      <c r="D356" s="2" t="s">
        <v>1255</v>
      </c>
      <c r="E356" s="2" t="s">
        <v>1256</v>
      </c>
      <c r="F356" s="2" t="s">
        <v>840</v>
      </c>
      <c r="G356" s="2" t="s">
        <v>841</v>
      </c>
      <c r="H356" s="2" t="s">
        <v>842</v>
      </c>
      <c r="I356" s="2" t="s">
        <v>1281</v>
      </c>
      <c r="J356" s="2" t="s">
        <v>95</v>
      </c>
      <c r="K356" s="2" t="s">
        <v>1018</v>
      </c>
      <c r="L356" s="3">
        <v>20.23</v>
      </c>
      <c r="M356" s="3">
        <v>21.24</v>
      </c>
      <c r="N356" s="3">
        <v>39.99</v>
      </c>
      <c r="O356" s="2" t="s">
        <v>97</v>
      </c>
      <c r="P356" s="2" t="s">
        <v>483</v>
      </c>
      <c r="Q356" s="2" t="s">
        <v>99</v>
      </c>
      <c r="R356" s="2" t="s">
        <v>100</v>
      </c>
      <c r="S356" s="2" t="s">
        <v>1019</v>
      </c>
      <c r="T356" s="2" t="s">
        <v>231</v>
      </c>
      <c r="U356" s="2" t="s">
        <v>432</v>
      </c>
      <c r="V356" s="2" t="s">
        <v>427</v>
      </c>
      <c r="W356" s="2" t="s">
        <v>428</v>
      </c>
      <c r="X356" s="2" t="s">
        <v>636</v>
      </c>
      <c r="Y356" s="2" t="s">
        <v>961</v>
      </c>
      <c r="Z356" s="4">
        <v>471</v>
      </c>
      <c r="AA356" s="4">
        <f>=ROUNDDOWN(37.9838709677419,0)</f>
      </c>
      <c r="AB356" s="5">
        <v>12.4</v>
      </c>
      <c r="AC356" s="2" t="s">
        <v>948</v>
      </c>
      <c r="AD356" s="4">
        <v>104</v>
      </c>
      <c r="AE356" s="4">
        <v>104</v>
      </c>
      <c r="AF356" s="6">
        <v>63</v>
      </c>
      <c r="AG356" s="6">
        <v>46</v>
      </c>
      <c r="AH356" s="7">
        <v>1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/>
      <c r="AP356" s="4">
        <v>2</v>
      </c>
      <c r="AQ356" s="8">
        <v>45.88</v>
      </c>
      <c r="AR356" s="4"/>
      <c r="AS356" s="8"/>
      <c r="AT356" s="7"/>
      <c r="AU356" s="7"/>
      <c r="AV356" s="4" t="s">
        <v>100</v>
      </c>
      <c r="AW356" s="8" t="s">
        <v>100</v>
      </c>
      <c r="AX356" s="4" t="s">
        <v>100</v>
      </c>
      <c r="AY356" s="8" t="s">
        <v>100</v>
      </c>
      <c r="AZ356" s="7" t="s">
        <v>100</v>
      </c>
      <c r="BA356" s="7" t="s">
        <v>100</v>
      </c>
      <c r="BB356" s="7">
        <v>0.4884</v>
      </c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 t="s">
        <v>100</v>
      </c>
      <c r="BJ356" s="4">
        <v>91</v>
      </c>
      <c r="BK356" s="8">
        <v>1958.76</v>
      </c>
      <c r="BL356" s="2" t="s">
        <v>1347</v>
      </c>
      <c r="BM356" s="7">
        <v>0.022</v>
      </c>
      <c r="BN356" s="7">
        <v>0.0234</v>
      </c>
      <c r="BO356" s="4">
        <v>2</v>
      </c>
      <c r="BP356" s="8">
        <v>45.88</v>
      </c>
      <c r="BQ356" s="4"/>
      <c r="BR356" s="8"/>
      <c r="BS356" s="7"/>
      <c r="BT356" s="7"/>
      <c r="BU356" s="2" t="s">
        <v>109</v>
      </c>
      <c r="BV356" s="2" t="s">
        <v>97</v>
      </c>
      <c r="BW356" s="2" t="s">
        <v>1298</v>
      </c>
      <c r="BX356" s="2" t="s">
        <v>937</v>
      </c>
      <c r="BY356" s="2" t="s">
        <v>112</v>
      </c>
      <c r="BZ356" s="2" t="s">
        <v>100</v>
      </c>
    </row>
    <row r="357">
      <c r="A357" s="2" t="s">
        <v>1355</v>
      </c>
      <c r="B357" s="2" t="s">
        <v>87</v>
      </c>
      <c r="C357" s="2" t="s">
        <v>785</v>
      </c>
      <c r="D357" s="2" t="s">
        <v>1255</v>
      </c>
      <c r="E357" s="2" t="s">
        <v>1256</v>
      </c>
      <c r="F357" s="2" t="s">
        <v>840</v>
      </c>
      <c r="G357" s="2" t="s">
        <v>841</v>
      </c>
      <c r="H357" s="2" t="s">
        <v>842</v>
      </c>
      <c r="I357" s="2" t="s">
        <v>1281</v>
      </c>
      <c r="J357" s="2" t="s">
        <v>114</v>
      </c>
      <c r="K357" s="2" t="s">
        <v>1018</v>
      </c>
      <c r="L357" s="3">
        <v>22.61</v>
      </c>
      <c r="M357" s="3">
        <v>23.74</v>
      </c>
      <c r="N357" s="3">
        <v>44.99</v>
      </c>
      <c r="O357" s="2" t="s">
        <v>97</v>
      </c>
      <c r="P357" s="2" t="s">
        <v>483</v>
      </c>
      <c r="Q357" s="2" t="s">
        <v>99</v>
      </c>
      <c r="R357" s="2" t="s">
        <v>100</v>
      </c>
      <c r="S357" s="2" t="s">
        <v>1019</v>
      </c>
      <c r="T357" s="2" t="s">
        <v>231</v>
      </c>
      <c r="U357" s="2" t="s">
        <v>432</v>
      </c>
      <c r="V357" s="2" t="s">
        <v>427</v>
      </c>
      <c r="W357" s="2" t="s">
        <v>428</v>
      </c>
      <c r="X357" s="2" t="s">
        <v>636</v>
      </c>
      <c r="Y357" s="2" t="s">
        <v>961</v>
      </c>
      <c r="Z357" s="4">
        <v>430</v>
      </c>
      <c r="AA357" s="4">
        <f>=ROUNDDOWN(38.0530973451327,0)</f>
      </c>
      <c r="AB357" s="5">
        <v>11.3</v>
      </c>
      <c r="AC357" s="2" t="s">
        <v>948</v>
      </c>
      <c r="AD357" s="4">
        <v>140</v>
      </c>
      <c r="AE357" s="4">
        <v>140</v>
      </c>
      <c r="AF357" s="6">
        <v>63</v>
      </c>
      <c r="AG357" s="6">
        <v>46</v>
      </c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/>
      <c r="AP357" s="4">
        <v>1</v>
      </c>
      <c r="AQ357" s="8">
        <v>25.64</v>
      </c>
      <c r="AR357" s="4"/>
      <c r="AS357" s="8"/>
      <c r="AT357" s="7"/>
      <c r="AU357" s="7"/>
      <c r="AV357" s="4" t="s">
        <v>100</v>
      </c>
      <c r="AW357" s="8" t="s">
        <v>100</v>
      </c>
      <c r="AX357" s="4" t="s">
        <v>100</v>
      </c>
      <c r="AY357" s="8" t="s">
        <v>100</v>
      </c>
      <c r="AZ357" s="7" t="s">
        <v>100</v>
      </c>
      <c r="BA357" s="7" t="s">
        <v>100</v>
      </c>
      <c r="BB357" s="7">
        <v>0.273</v>
      </c>
      <c r="BC357" s="4" t="s">
        <v>100</v>
      </c>
      <c r="BD357" s="8" t="s">
        <v>100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 t="s">
        <v>100</v>
      </c>
      <c r="BJ357" s="4">
        <v>73</v>
      </c>
      <c r="BK357" s="8">
        <v>1759.12</v>
      </c>
      <c r="BL357" s="2" t="s">
        <v>1356</v>
      </c>
      <c r="BM357" s="7">
        <v>0.0137</v>
      </c>
      <c r="BN357" s="7">
        <v>0.0146</v>
      </c>
      <c r="BO357" s="4">
        <v>1</v>
      </c>
      <c r="BP357" s="8">
        <v>25.64</v>
      </c>
      <c r="BQ357" s="4"/>
      <c r="BR357" s="8"/>
      <c r="BS357" s="7"/>
      <c r="BT357" s="7"/>
      <c r="BU357" s="2" t="s">
        <v>109</v>
      </c>
      <c r="BV357" s="2" t="s">
        <v>97</v>
      </c>
      <c r="BW357" s="2" t="s">
        <v>1298</v>
      </c>
      <c r="BX357" s="2" t="s">
        <v>1357</v>
      </c>
      <c r="BY357" s="2" t="s">
        <v>112</v>
      </c>
      <c r="BZ357" s="2" t="s">
        <v>100</v>
      </c>
    </row>
    <row r="358">
      <c r="A358" s="2" t="s">
        <v>1358</v>
      </c>
      <c r="B358" s="2" t="s">
        <v>87</v>
      </c>
      <c r="C358" s="2" t="s">
        <v>785</v>
      </c>
      <c r="D358" s="2" t="s">
        <v>1255</v>
      </c>
      <c r="E358" s="2" t="s">
        <v>1256</v>
      </c>
      <c r="F358" s="2" t="s">
        <v>840</v>
      </c>
      <c r="G358" s="2" t="s">
        <v>841</v>
      </c>
      <c r="H358" s="2" t="s">
        <v>842</v>
      </c>
      <c r="I358" s="2" t="s">
        <v>1281</v>
      </c>
      <c r="J358" s="2" t="s">
        <v>120</v>
      </c>
      <c r="K358" s="2" t="s">
        <v>1018</v>
      </c>
      <c r="L358" s="3">
        <v>23.57</v>
      </c>
      <c r="M358" s="3">
        <v>24.75</v>
      </c>
      <c r="N358" s="3">
        <v>44.99</v>
      </c>
      <c r="O358" s="2" t="s">
        <v>97</v>
      </c>
      <c r="P358" s="2" t="s">
        <v>483</v>
      </c>
      <c r="Q358" s="2" t="s">
        <v>99</v>
      </c>
      <c r="R358" s="2" t="s">
        <v>100</v>
      </c>
      <c r="S358" s="2" t="s">
        <v>1019</v>
      </c>
      <c r="T358" s="2" t="s">
        <v>231</v>
      </c>
      <c r="U358" s="2" t="s">
        <v>432</v>
      </c>
      <c r="V358" s="2" t="s">
        <v>427</v>
      </c>
      <c r="W358" s="2" t="s">
        <v>428</v>
      </c>
      <c r="X358" s="2" t="s">
        <v>636</v>
      </c>
      <c r="Y358" s="2" t="s">
        <v>935</v>
      </c>
      <c r="Z358" s="4">
        <v>170</v>
      </c>
      <c r="AA358" s="4">
        <f>=ROUNDDOWN(32.0754716981132,0)</f>
      </c>
      <c r="AB358" s="5">
        <v>5.3</v>
      </c>
      <c r="AC358" s="2" t="s">
        <v>184</v>
      </c>
      <c r="AD358" s="4">
        <v>164</v>
      </c>
      <c r="AE358" s="4">
        <v>164</v>
      </c>
      <c r="AF358" s="6">
        <v>63</v>
      </c>
      <c r="AG358" s="6">
        <v>46</v>
      </c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100</v>
      </c>
      <c r="AW358" s="8" t="s">
        <v>100</v>
      </c>
      <c r="AX358" s="4" t="s">
        <v>100</v>
      </c>
      <c r="AY358" s="8" t="s">
        <v>100</v>
      </c>
      <c r="AZ358" s="7" t="s">
        <v>100</v>
      </c>
      <c r="BA358" s="7" t="s">
        <v>100</v>
      </c>
      <c r="BB358" s="7"/>
      <c r="BC358" s="4" t="s">
        <v>100</v>
      </c>
      <c r="BD358" s="8" t="s">
        <v>100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 t="s">
        <v>100</v>
      </c>
      <c r="BJ358" s="4">
        <v>32</v>
      </c>
      <c r="BK358" s="8">
        <v>795.38</v>
      </c>
      <c r="BL358" s="2" t="s">
        <v>1359</v>
      </c>
      <c r="BM358" s="7"/>
      <c r="BN358" s="7"/>
      <c r="BO358" s="4"/>
      <c r="BP358" s="8"/>
      <c r="BQ358" s="4"/>
      <c r="BR358" s="8"/>
      <c r="BS358" s="7"/>
      <c r="BT358" s="7"/>
      <c r="BU358" s="2" t="s">
        <v>109</v>
      </c>
      <c r="BV358" s="2" t="s">
        <v>97</v>
      </c>
      <c r="BW358" s="2" t="s">
        <v>929</v>
      </c>
      <c r="BX358" s="2" t="s">
        <v>100</v>
      </c>
      <c r="BY358" s="2" t="s">
        <v>112</v>
      </c>
      <c r="BZ358" s="2" t="s">
        <v>100</v>
      </c>
    </row>
    <row r="359">
      <c r="A359" s="2" t="s">
        <v>1360</v>
      </c>
      <c r="B359" s="2" t="s">
        <v>87</v>
      </c>
      <c r="C359" s="2" t="s">
        <v>785</v>
      </c>
      <c r="D359" s="2" t="s">
        <v>1255</v>
      </c>
      <c r="E359" s="2" t="s">
        <v>1256</v>
      </c>
      <c r="F359" s="2" t="s">
        <v>840</v>
      </c>
      <c r="G359" s="2" t="s">
        <v>841</v>
      </c>
      <c r="H359" s="2" t="s">
        <v>842</v>
      </c>
      <c r="I359" s="2" t="s">
        <v>1281</v>
      </c>
      <c r="J359" s="2" t="s">
        <v>791</v>
      </c>
      <c r="K359" s="2" t="s">
        <v>968</v>
      </c>
      <c r="L359" s="3">
        <v>15.47</v>
      </c>
      <c r="M359" s="3">
        <v>16.24</v>
      </c>
      <c r="N359" s="3">
        <v>32.49</v>
      </c>
      <c r="O359" s="2" t="s">
        <v>97</v>
      </c>
      <c r="P359" s="2" t="s">
        <v>576</v>
      </c>
      <c r="Q359" s="2" t="s">
        <v>99</v>
      </c>
      <c r="R359" s="2" t="s">
        <v>100</v>
      </c>
      <c r="S359" s="2" t="s">
        <v>969</v>
      </c>
      <c r="T359" s="2" t="s">
        <v>231</v>
      </c>
      <c r="U359" s="2" t="s">
        <v>426</v>
      </c>
      <c r="V359" s="2" t="s">
        <v>427</v>
      </c>
      <c r="W359" s="2" t="s">
        <v>428</v>
      </c>
      <c r="X359" s="2" t="s">
        <v>636</v>
      </c>
      <c r="Y359" s="2" t="s">
        <v>889</v>
      </c>
      <c r="Z359" s="4">
        <v>154</v>
      </c>
      <c r="AA359" s="4">
        <f>=ROUNDDOWN(17.1111111111111,0)</f>
      </c>
      <c r="AB359" s="5">
        <v>9</v>
      </c>
      <c r="AC359" s="2" t="s">
        <v>845</v>
      </c>
      <c r="AD359" s="4">
        <v>100</v>
      </c>
      <c r="AE359" s="4">
        <v>100</v>
      </c>
      <c r="AF359" s="6">
        <v>63</v>
      </c>
      <c r="AG359" s="6">
        <v>46</v>
      </c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/>
      <c r="AP359" s="4">
        <v>1</v>
      </c>
      <c r="AQ359" s="8">
        <v>17.54</v>
      </c>
      <c r="AR359" s="4"/>
      <c r="AS359" s="8"/>
      <c r="AT359" s="7"/>
      <c r="AU359" s="7"/>
      <c r="AV359" s="4">
        <v>4</v>
      </c>
      <c r="AW359" s="8">
        <v>89.06</v>
      </c>
      <c r="AX359" s="4" t="s">
        <v>100</v>
      </c>
      <c r="AY359" s="8" t="s">
        <v>100</v>
      </c>
      <c r="AZ359" s="7" t="s">
        <v>100</v>
      </c>
      <c r="BA359" s="7" t="s">
        <v>100</v>
      </c>
      <c r="BB359" s="7">
        <v>0.1969</v>
      </c>
      <c r="BC359" s="4" t="s">
        <v>100</v>
      </c>
      <c r="BD359" s="8" t="s">
        <v>100</v>
      </c>
      <c r="BE359" s="4" t="s">
        <v>100</v>
      </c>
      <c r="BF359" s="8" t="s">
        <v>100</v>
      </c>
      <c r="BG359" s="7" t="s">
        <v>100</v>
      </c>
      <c r="BH359" s="7" t="s">
        <v>100</v>
      </c>
      <c r="BI359" s="7">
        <v>0.0416</v>
      </c>
      <c r="BJ359" s="4">
        <v>28</v>
      </c>
      <c r="BK359" s="8">
        <v>498.9</v>
      </c>
      <c r="BL359" s="2" t="s">
        <v>1361</v>
      </c>
      <c r="BM359" s="7">
        <v>0.0357</v>
      </c>
      <c r="BN359" s="7">
        <v>0.0352</v>
      </c>
      <c r="BO359" s="4">
        <v>1</v>
      </c>
      <c r="BP359" s="8">
        <v>17.54</v>
      </c>
      <c r="BQ359" s="4"/>
      <c r="BR359" s="8"/>
      <c r="BS359" s="7"/>
      <c r="BT359" s="7"/>
      <c r="BU359" s="2" t="s">
        <v>109</v>
      </c>
      <c r="BV359" s="2" t="s">
        <v>97</v>
      </c>
      <c r="BW359" s="2" t="s">
        <v>889</v>
      </c>
      <c r="BX359" s="2" t="s">
        <v>890</v>
      </c>
      <c r="BY359" s="2" t="s">
        <v>112</v>
      </c>
      <c r="BZ359" s="2" t="s">
        <v>100</v>
      </c>
    </row>
    <row r="360">
      <c r="A360" s="2" t="s">
        <v>1362</v>
      </c>
      <c r="B360" s="2" t="s">
        <v>87</v>
      </c>
      <c r="C360" s="2" t="s">
        <v>785</v>
      </c>
      <c r="D360" s="2" t="s">
        <v>1255</v>
      </c>
      <c r="E360" s="2" t="s">
        <v>1256</v>
      </c>
      <c r="F360" s="2" t="s">
        <v>840</v>
      </c>
      <c r="G360" s="2" t="s">
        <v>841</v>
      </c>
      <c r="H360" s="2" t="s">
        <v>842</v>
      </c>
      <c r="I360" s="2" t="s">
        <v>1281</v>
      </c>
      <c r="J360" s="2" t="s">
        <v>157</v>
      </c>
      <c r="K360" s="2" t="s">
        <v>968</v>
      </c>
      <c r="L360" s="3">
        <v>19.76</v>
      </c>
      <c r="M360" s="3">
        <v>20.75</v>
      </c>
      <c r="N360" s="3">
        <v>39.99</v>
      </c>
      <c r="O360" s="2" t="s">
        <v>97</v>
      </c>
      <c r="P360" s="2" t="s">
        <v>483</v>
      </c>
      <c r="Q360" s="2" t="s">
        <v>99</v>
      </c>
      <c r="R360" s="2" t="s">
        <v>100</v>
      </c>
      <c r="S360" s="2" t="s">
        <v>969</v>
      </c>
      <c r="T360" s="2" t="s">
        <v>231</v>
      </c>
      <c r="U360" s="2" t="s">
        <v>432</v>
      </c>
      <c r="V360" s="2" t="s">
        <v>427</v>
      </c>
      <c r="W360" s="2" t="s">
        <v>428</v>
      </c>
      <c r="X360" s="2" t="s">
        <v>636</v>
      </c>
      <c r="Y360" s="2" t="s">
        <v>966</v>
      </c>
      <c r="Z360" s="4">
        <v>139</v>
      </c>
      <c r="AA360" s="4">
        <f>=ROUNDDOWN(37.5675675675676,0)</f>
      </c>
      <c r="AB360" s="5">
        <v>3.7</v>
      </c>
      <c r="AC360" s="2" t="s">
        <v>184</v>
      </c>
      <c r="AD360" s="4">
        <v>12</v>
      </c>
      <c r="AE360" s="4">
        <v>612</v>
      </c>
      <c r="AF360" s="6">
        <v>63</v>
      </c>
      <c r="AG360" s="6">
        <v>46</v>
      </c>
      <c r="AH360" s="7">
        <v>1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 t="s">
        <v>100</v>
      </c>
      <c r="AW360" s="8" t="s">
        <v>100</v>
      </c>
      <c r="AX360" s="4" t="s">
        <v>100</v>
      </c>
      <c r="AY360" s="8" t="s">
        <v>100</v>
      </c>
      <c r="AZ360" s="7" t="s">
        <v>100</v>
      </c>
      <c r="BA360" s="7" t="s">
        <v>100</v>
      </c>
      <c r="BB360" s="7"/>
      <c r="BC360" s="4" t="s">
        <v>100</v>
      </c>
      <c r="BD360" s="8" t="s">
        <v>100</v>
      </c>
      <c r="BE360" s="4" t="s">
        <v>100</v>
      </c>
      <c r="BF360" s="8" t="s">
        <v>100</v>
      </c>
      <c r="BG360" s="7" t="s">
        <v>100</v>
      </c>
      <c r="BH360" s="7" t="s">
        <v>100</v>
      </c>
      <c r="BI360" s="7" t="s">
        <v>100</v>
      </c>
      <c r="BJ360" s="4">
        <v>11</v>
      </c>
      <c r="BK360" s="8">
        <v>224.92</v>
      </c>
      <c r="BL360" s="2" t="s">
        <v>1363</v>
      </c>
      <c r="BM360" s="7"/>
      <c r="BN360" s="7"/>
      <c r="BO360" s="4"/>
      <c r="BP360" s="8"/>
      <c r="BQ360" s="4"/>
      <c r="BR360" s="8"/>
      <c r="BS360" s="7"/>
      <c r="BT360" s="7"/>
      <c r="BU360" s="2" t="s">
        <v>109</v>
      </c>
      <c r="BV360" s="2" t="s">
        <v>97</v>
      </c>
      <c r="BW360" s="2" t="s">
        <v>881</v>
      </c>
      <c r="BX360" s="2" t="s">
        <v>100</v>
      </c>
      <c r="BY360" s="2" t="s">
        <v>112</v>
      </c>
      <c r="BZ360" s="2" t="s">
        <v>100</v>
      </c>
    </row>
    <row r="361">
      <c r="A361" s="2" t="s">
        <v>1364</v>
      </c>
      <c r="B361" s="2" t="s">
        <v>87</v>
      </c>
      <c r="C361" s="2" t="s">
        <v>785</v>
      </c>
      <c r="D361" s="2" t="s">
        <v>1255</v>
      </c>
      <c r="E361" s="2" t="s">
        <v>1256</v>
      </c>
      <c r="F361" s="2" t="s">
        <v>840</v>
      </c>
      <c r="G361" s="2" t="s">
        <v>841</v>
      </c>
      <c r="H361" s="2" t="s">
        <v>842</v>
      </c>
      <c r="I361" s="2" t="s">
        <v>1281</v>
      </c>
      <c r="J361" s="2" t="s">
        <v>95</v>
      </c>
      <c r="K361" s="2" t="s">
        <v>968</v>
      </c>
      <c r="L361" s="3">
        <v>20.23</v>
      </c>
      <c r="M361" s="3">
        <v>21.24</v>
      </c>
      <c r="N361" s="3">
        <v>42.49</v>
      </c>
      <c r="O361" s="2" t="s">
        <v>97</v>
      </c>
      <c r="P361" s="2" t="s">
        <v>576</v>
      </c>
      <c r="Q361" s="2" t="s">
        <v>99</v>
      </c>
      <c r="R361" s="2" t="s">
        <v>100</v>
      </c>
      <c r="S361" s="2" t="s">
        <v>969</v>
      </c>
      <c r="T361" s="2" t="s">
        <v>231</v>
      </c>
      <c r="U361" s="2" t="s">
        <v>432</v>
      </c>
      <c r="V361" s="2" t="s">
        <v>427</v>
      </c>
      <c r="W361" s="2" t="s">
        <v>428</v>
      </c>
      <c r="X361" s="2" t="s">
        <v>636</v>
      </c>
      <c r="Y361" s="2" t="s">
        <v>889</v>
      </c>
      <c r="Z361" s="4">
        <v>537</v>
      </c>
      <c r="AA361" s="4">
        <f>=ROUNDDOWN(26.85,0)</f>
      </c>
      <c r="AB361" s="5">
        <v>20</v>
      </c>
      <c r="AC361" s="2" t="s">
        <v>845</v>
      </c>
      <c r="AD361" s="4">
        <v>500</v>
      </c>
      <c r="AE361" s="4">
        <v>500</v>
      </c>
      <c r="AF361" s="6">
        <v>63</v>
      </c>
      <c r="AG361" s="6">
        <v>46</v>
      </c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/>
      <c r="AP361" s="4">
        <v>2</v>
      </c>
      <c r="AQ361" s="8">
        <v>45.88</v>
      </c>
      <c r="AR361" s="4"/>
      <c r="AS361" s="8"/>
      <c r="AT361" s="7"/>
      <c r="AU361" s="7"/>
      <c r="AV361" s="4" t="s">
        <v>100</v>
      </c>
      <c r="AW361" s="8" t="s">
        <v>100</v>
      </c>
      <c r="AX361" s="4" t="s">
        <v>100</v>
      </c>
      <c r="AY361" s="8" t="s">
        <v>100</v>
      </c>
      <c r="AZ361" s="7" t="s">
        <v>100</v>
      </c>
      <c r="BA361" s="7" t="s">
        <v>100</v>
      </c>
      <c r="BB361" s="7">
        <v>0.5152</v>
      </c>
      <c r="BC361" s="4" t="s">
        <v>100</v>
      </c>
      <c r="BD361" s="8" t="s">
        <v>100</v>
      </c>
      <c r="BE361" s="4" t="s">
        <v>100</v>
      </c>
      <c r="BF361" s="8" t="s">
        <v>100</v>
      </c>
      <c r="BG361" s="7" t="s">
        <v>100</v>
      </c>
      <c r="BH361" s="7" t="s">
        <v>100</v>
      </c>
      <c r="BI361" s="7" t="s">
        <v>100</v>
      </c>
      <c r="BJ361" s="4">
        <v>139</v>
      </c>
      <c r="BK361" s="8">
        <v>2978.92</v>
      </c>
      <c r="BL361" s="2" t="s">
        <v>918</v>
      </c>
      <c r="BM361" s="7">
        <v>0.0144</v>
      </c>
      <c r="BN361" s="7">
        <v>0.0154</v>
      </c>
      <c r="BO361" s="4">
        <v>2</v>
      </c>
      <c r="BP361" s="8">
        <v>45.88</v>
      </c>
      <c r="BQ361" s="4"/>
      <c r="BR361" s="8"/>
      <c r="BS361" s="7"/>
      <c r="BT361" s="7"/>
      <c r="BU361" s="2" t="s">
        <v>109</v>
      </c>
      <c r="BV361" s="2" t="s">
        <v>97</v>
      </c>
      <c r="BW361" s="2" t="s">
        <v>889</v>
      </c>
      <c r="BX361" s="2" t="s">
        <v>1365</v>
      </c>
      <c r="BY361" s="2" t="s">
        <v>112</v>
      </c>
      <c r="BZ361" s="2" t="s">
        <v>100</v>
      </c>
    </row>
    <row r="362">
      <c r="A362" s="2" t="s">
        <v>1366</v>
      </c>
      <c r="B362" s="2" t="s">
        <v>87</v>
      </c>
      <c r="C362" s="2" t="s">
        <v>785</v>
      </c>
      <c r="D362" s="2" t="s">
        <v>1255</v>
      </c>
      <c r="E362" s="2" t="s">
        <v>1256</v>
      </c>
      <c r="F362" s="2" t="s">
        <v>840</v>
      </c>
      <c r="G362" s="2" t="s">
        <v>841</v>
      </c>
      <c r="H362" s="2" t="s">
        <v>842</v>
      </c>
      <c r="I362" s="2" t="s">
        <v>1281</v>
      </c>
      <c r="J362" s="2" t="s">
        <v>114</v>
      </c>
      <c r="K362" s="2" t="s">
        <v>968</v>
      </c>
      <c r="L362" s="3">
        <v>22.61</v>
      </c>
      <c r="M362" s="3">
        <v>23.74</v>
      </c>
      <c r="N362" s="3">
        <v>47.49</v>
      </c>
      <c r="O362" s="2" t="s">
        <v>97</v>
      </c>
      <c r="P362" s="2" t="s">
        <v>576</v>
      </c>
      <c r="Q362" s="2" t="s">
        <v>99</v>
      </c>
      <c r="R362" s="2" t="s">
        <v>100</v>
      </c>
      <c r="S362" s="2" t="s">
        <v>969</v>
      </c>
      <c r="T362" s="2" t="s">
        <v>231</v>
      </c>
      <c r="U362" s="2" t="s">
        <v>432</v>
      </c>
      <c r="V362" s="2" t="s">
        <v>427</v>
      </c>
      <c r="W362" s="2" t="s">
        <v>428</v>
      </c>
      <c r="X362" s="2" t="s">
        <v>636</v>
      </c>
      <c r="Y362" s="2" t="s">
        <v>889</v>
      </c>
      <c r="Z362" s="4">
        <v>676</v>
      </c>
      <c r="AA362" s="4">
        <f>=ROUNDDOWN(48.2857142857143,0)</f>
      </c>
      <c r="AB362" s="5">
        <v>14</v>
      </c>
      <c r="AC362" s="2" t="s">
        <v>100</v>
      </c>
      <c r="AD362" s="4"/>
      <c r="AE362" s="4"/>
      <c r="AF362" s="6">
        <v>63</v>
      </c>
      <c r="AG362" s="6">
        <v>46</v>
      </c>
      <c r="AH362" s="7">
        <v>1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/>
      <c r="AP362" s="4">
        <v>1</v>
      </c>
      <c r="AQ362" s="8">
        <v>25.64</v>
      </c>
      <c r="AR362" s="4"/>
      <c r="AS362" s="8"/>
      <c r="AT362" s="7"/>
      <c r="AU362" s="7"/>
      <c r="AV362" s="4" t="s">
        <v>100</v>
      </c>
      <c r="AW362" s="8" t="s">
        <v>100</v>
      </c>
      <c r="AX362" s="4" t="s">
        <v>100</v>
      </c>
      <c r="AY362" s="8" t="s">
        <v>100</v>
      </c>
      <c r="AZ362" s="7" t="s">
        <v>100</v>
      </c>
      <c r="BA362" s="7" t="s">
        <v>100</v>
      </c>
      <c r="BB362" s="7">
        <v>0.2879</v>
      </c>
      <c r="BC362" s="4" t="s">
        <v>100</v>
      </c>
      <c r="BD362" s="8" t="s">
        <v>100</v>
      </c>
      <c r="BE362" s="4" t="s">
        <v>100</v>
      </c>
      <c r="BF362" s="8" t="s">
        <v>100</v>
      </c>
      <c r="BG362" s="7" t="s">
        <v>100</v>
      </c>
      <c r="BH362" s="7" t="s">
        <v>100</v>
      </c>
      <c r="BI362" s="7" t="s">
        <v>100</v>
      </c>
      <c r="BJ362" s="4">
        <v>91</v>
      </c>
      <c r="BK362" s="8">
        <v>2170.03</v>
      </c>
      <c r="BL362" s="2" t="s">
        <v>1367</v>
      </c>
      <c r="BM362" s="7">
        <v>0.011</v>
      </c>
      <c r="BN362" s="7">
        <v>0.0118</v>
      </c>
      <c r="BO362" s="4">
        <v>1</v>
      </c>
      <c r="BP362" s="8">
        <v>25.64</v>
      </c>
      <c r="BQ362" s="4"/>
      <c r="BR362" s="8"/>
      <c r="BS362" s="7"/>
      <c r="BT362" s="7"/>
      <c r="BU362" s="2" t="s">
        <v>109</v>
      </c>
      <c r="BV362" s="2" t="s">
        <v>97</v>
      </c>
      <c r="BW362" s="2" t="s">
        <v>889</v>
      </c>
      <c r="BX362" s="2" t="s">
        <v>1365</v>
      </c>
      <c r="BY362" s="2" t="s">
        <v>112</v>
      </c>
      <c r="BZ362" s="2" t="s">
        <v>100</v>
      </c>
    </row>
    <row r="363">
      <c r="A363" s="2" t="s">
        <v>1368</v>
      </c>
      <c r="B363" s="2" t="s">
        <v>87</v>
      </c>
      <c r="C363" s="2" t="s">
        <v>785</v>
      </c>
      <c r="D363" s="2" t="s">
        <v>1255</v>
      </c>
      <c r="E363" s="2" t="s">
        <v>1256</v>
      </c>
      <c r="F363" s="2" t="s">
        <v>840</v>
      </c>
      <c r="G363" s="2" t="s">
        <v>841</v>
      </c>
      <c r="H363" s="2" t="s">
        <v>842</v>
      </c>
      <c r="I363" s="2" t="s">
        <v>1281</v>
      </c>
      <c r="J363" s="2" t="s">
        <v>120</v>
      </c>
      <c r="K363" s="2" t="s">
        <v>968</v>
      </c>
      <c r="L363" s="3">
        <v>23.57</v>
      </c>
      <c r="M363" s="3">
        <v>24.75</v>
      </c>
      <c r="N363" s="3">
        <v>44.99</v>
      </c>
      <c r="O363" s="2" t="s">
        <v>97</v>
      </c>
      <c r="P363" s="2" t="s">
        <v>483</v>
      </c>
      <c r="Q363" s="2" t="s">
        <v>99</v>
      </c>
      <c r="R363" s="2" t="s">
        <v>100</v>
      </c>
      <c r="S363" s="2" t="s">
        <v>969</v>
      </c>
      <c r="T363" s="2" t="s">
        <v>231</v>
      </c>
      <c r="U363" s="2" t="s">
        <v>432</v>
      </c>
      <c r="V363" s="2" t="s">
        <v>427</v>
      </c>
      <c r="W363" s="2" t="s">
        <v>428</v>
      </c>
      <c r="X363" s="2" t="s">
        <v>636</v>
      </c>
      <c r="Y363" s="2" t="s">
        <v>966</v>
      </c>
      <c r="Z363" s="4">
        <v>143</v>
      </c>
      <c r="AA363" s="4">
        <f>=ROUNDDOWN(68.0952380952381,0)</f>
      </c>
      <c r="AB363" s="5">
        <v>2.1</v>
      </c>
      <c r="AC363" s="2" t="s">
        <v>184</v>
      </c>
      <c r="AD363" s="4">
        <v>100</v>
      </c>
      <c r="AE363" s="4">
        <v>100</v>
      </c>
      <c r="AF363" s="6">
        <v>63</v>
      </c>
      <c r="AG363" s="6">
        <v>46</v>
      </c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100</v>
      </c>
      <c r="AW363" s="8" t="s">
        <v>100</v>
      </c>
      <c r="AX363" s="4" t="s">
        <v>100</v>
      </c>
      <c r="AY363" s="8" t="s">
        <v>100</v>
      </c>
      <c r="AZ363" s="7" t="s">
        <v>100</v>
      </c>
      <c r="BA363" s="7" t="s">
        <v>100</v>
      </c>
      <c r="BB363" s="7"/>
      <c r="BC363" s="4" t="s">
        <v>100</v>
      </c>
      <c r="BD363" s="8" t="s">
        <v>100</v>
      </c>
      <c r="BE363" s="4" t="s">
        <v>100</v>
      </c>
      <c r="BF363" s="8" t="s">
        <v>100</v>
      </c>
      <c r="BG363" s="7" t="s">
        <v>100</v>
      </c>
      <c r="BH363" s="7" t="s">
        <v>100</v>
      </c>
      <c r="BI363" s="7" t="s">
        <v>100</v>
      </c>
      <c r="BJ363" s="4">
        <v>4</v>
      </c>
      <c r="BK363" s="8">
        <v>111.04</v>
      </c>
      <c r="BL363" s="2" t="s">
        <v>1369</v>
      </c>
      <c r="BM363" s="7"/>
      <c r="BN363" s="7"/>
      <c r="BO363" s="4"/>
      <c r="BP363" s="8"/>
      <c r="BQ363" s="4"/>
      <c r="BR363" s="8"/>
      <c r="BS363" s="7"/>
      <c r="BT363" s="7"/>
      <c r="BU363" s="2" t="s">
        <v>109</v>
      </c>
      <c r="BV363" s="2" t="s">
        <v>97</v>
      </c>
      <c r="BW363" s="2" t="s">
        <v>881</v>
      </c>
      <c r="BX363" s="2" t="s">
        <v>100</v>
      </c>
      <c r="BY363" s="2" t="s">
        <v>112</v>
      </c>
      <c r="BZ363" s="2" t="s">
        <v>100</v>
      </c>
    </row>
    <row r="364">
      <c r="A364" s="2" t="s">
        <v>1370</v>
      </c>
      <c r="B364" s="2" t="s">
        <v>87</v>
      </c>
      <c r="C364" s="2" t="s">
        <v>785</v>
      </c>
      <c r="D364" s="2" t="s">
        <v>1255</v>
      </c>
      <c r="E364" s="2" t="s">
        <v>1256</v>
      </c>
      <c r="F364" s="2" t="s">
        <v>840</v>
      </c>
      <c r="G364" s="2" t="s">
        <v>841</v>
      </c>
      <c r="H364" s="2" t="s">
        <v>842</v>
      </c>
      <c r="I364" s="2" t="s">
        <v>1281</v>
      </c>
      <c r="J364" s="2" t="s">
        <v>791</v>
      </c>
      <c r="K364" s="2" t="s">
        <v>96</v>
      </c>
      <c r="L364" s="3">
        <v>15.47</v>
      </c>
      <c r="M364" s="3">
        <v>16.24</v>
      </c>
      <c r="N364" s="3">
        <v>29.99</v>
      </c>
      <c r="O364" s="2" t="s">
        <v>97</v>
      </c>
      <c r="P364" s="2" t="s">
        <v>483</v>
      </c>
      <c r="Q364" s="2" t="s">
        <v>99</v>
      </c>
      <c r="R364" s="2" t="s">
        <v>100</v>
      </c>
      <c r="S364" s="2" t="s">
        <v>982</v>
      </c>
      <c r="T364" s="2" t="s">
        <v>231</v>
      </c>
      <c r="U364" s="2" t="s">
        <v>426</v>
      </c>
      <c r="V364" s="2" t="s">
        <v>427</v>
      </c>
      <c r="W364" s="2" t="s">
        <v>428</v>
      </c>
      <c r="X364" s="2" t="s">
        <v>636</v>
      </c>
      <c r="Y364" s="2" t="s">
        <v>961</v>
      </c>
      <c r="Z364" s="4">
        <v>91</v>
      </c>
      <c r="AA364" s="4">
        <f>=ROUNDDOWN(10.2247191011236,0)</f>
      </c>
      <c r="AB364" s="5">
        <v>8.9</v>
      </c>
      <c r="AC364" s="2" t="s">
        <v>948</v>
      </c>
      <c r="AD364" s="4">
        <v>160</v>
      </c>
      <c r="AE364" s="4">
        <v>160</v>
      </c>
      <c r="AF364" s="6">
        <v>63</v>
      </c>
      <c r="AG364" s="6">
        <v>46</v>
      </c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>
        <v>3</v>
      </c>
      <c r="AW364" s="8">
        <v>74.22</v>
      </c>
      <c r="AX364" s="4" t="s">
        <v>100</v>
      </c>
      <c r="AY364" s="8" t="s">
        <v>100</v>
      </c>
      <c r="AZ364" s="7" t="s">
        <v>100</v>
      </c>
      <c r="BA364" s="7" t="s">
        <v>100</v>
      </c>
      <c r="BB364" s="7"/>
      <c r="BC364" s="4" t="s">
        <v>100</v>
      </c>
      <c r="BD364" s="8" t="s">
        <v>100</v>
      </c>
      <c r="BE364" s="4" t="s">
        <v>100</v>
      </c>
      <c r="BF364" s="8" t="s">
        <v>100</v>
      </c>
      <c r="BG364" s="7" t="s">
        <v>100</v>
      </c>
      <c r="BH364" s="7" t="s">
        <v>100</v>
      </c>
      <c r="BI364" s="7">
        <v>0.0347</v>
      </c>
      <c r="BJ364" s="4">
        <v>173</v>
      </c>
      <c r="BK364" s="8">
        <v>3006.73</v>
      </c>
      <c r="BL364" s="2" t="s">
        <v>1371</v>
      </c>
      <c r="BM364" s="7"/>
      <c r="BN364" s="7"/>
      <c r="BO364" s="4"/>
      <c r="BP364" s="8"/>
      <c r="BQ364" s="4"/>
      <c r="BR364" s="8"/>
      <c r="BS364" s="7"/>
      <c r="BT364" s="7"/>
      <c r="BU364" s="2" t="s">
        <v>109</v>
      </c>
      <c r="BV364" s="2" t="s">
        <v>97</v>
      </c>
      <c r="BW364" s="2" t="s">
        <v>1298</v>
      </c>
      <c r="BX364" s="2" t="s">
        <v>100</v>
      </c>
      <c r="BY364" s="2" t="s">
        <v>112</v>
      </c>
      <c r="BZ364" s="2" t="s">
        <v>100</v>
      </c>
    </row>
    <row r="365">
      <c r="A365" s="2" t="s">
        <v>1372</v>
      </c>
      <c r="B365" s="2" t="s">
        <v>87</v>
      </c>
      <c r="C365" s="2" t="s">
        <v>785</v>
      </c>
      <c r="D365" s="2" t="s">
        <v>1255</v>
      </c>
      <c r="E365" s="2" t="s">
        <v>1256</v>
      </c>
      <c r="F365" s="2" t="s">
        <v>840</v>
      </c>
      <c r="G365" s="2" t="s">
        <v>841</v>
      </c>
      <c r="H365" s="2" t="s">
        <v>842</v>
      </c>
      <c r="I365" s="2" t="s">
        <v>1281</v>
      </c>
      <c r="J365" s="2" t="s">
        <v>157</v>
      </c>
      <c r="K365" s="2" t="s">
        <v>96</v>
      </c>
      <c r="L365" s="3">
        <v>19.76</v>
      </c>
      <c r="M365" s="3">
        <v>20.75</v>
      </c>
      <c r="N365" s="3">
        <v>39.99</v>
      </c>
      <c r="O365" s="2" t="s">
        <v>97</v>
      </c>
      <c r="P365" s="2" t="s">
        <v>483</v>
      </c>
      <c r="Q365" s="2" t="s">
        <v>99</v>
      </c>
      <c r="R365" s="2" t="s">
        <v>100</v>
      </c>
      <c r="S365" s="2" t="s">
        <v>982</v>
      </c>
      <c r="T365" s="2" t="s">
        <v>231</v>
      </c>
      <c r="U365" s="2" t="s">
        <v>432</v>
      </c>
      <c r="V365" s="2" t="s">
        <v>427</v>
      </c>
      <c r="W365" s="2" t="s">
        <v>428</v>
      </c>
      <c r="X365" s="2" t="s">
        <v>636</v>
      </c>
      <c r="Y365" s="2" t="s">
        <v>935</v>
      </c>
      <c r="Z365" s="4">
        <v>324</v>
      </c>
      <c r="AA365" s="4">
        <f>=ROUNDDOWN(95.2941176470588,0)</f>
      </c>
      <c r="AB365" s="5">
        <v>3.4</v>
      </c>
      <c r="AC365" s="2" t="s">
        <v>436</v>
      </c>
      <c r="AD365" s="4">
        <v>188</v>
      </c>
      <c r="AE365" s="4">
        <v>188</v>
      </c>
      <c r="AF365" s="6">
        <v>63</v>
      </c>
      <c r="AG365" s="6">
        <v>46</v>
      </c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100</v>
      </c>
      <c r="AW365" s="8" t="s">
        <v>100</v>
      </c>
      <c r="AX365" s="4" t="s">
        <v>100</v>
      </c>
      <c r="AY365" s="8" t="s">
        <v>100</v>
      </c>
      <c r="AZ365" s="7" t="s">
        <v>100</v>
      </c>
      <c r="BA365" s="7" t="s">
        <v>100</v>
      </c>
      <c r="BB365" s="7"/>
      <c r="BC365" s="4" t="s">
        <v>100</v>
      </c>
      <c r="BD365" s="8" t="s">
        <v>100</v>
      </c>
      <c r="BE365" s="4" t="s">
        <v>100</v>
      </c>
      <c r="BF365" s="8" t="s">
        <v>100</v>
      </c>
      <c r="BG365" s="7" t="s">
        <v>100</v>
      </c>
      <c r="BH365" s="7" t="s">
        <v>100</v>
      </c>
      <c r="BI365" s="7" t="s">
        <v>100</v>
      </c>
      <c r="BJ365" s="4">
        <v>10</v>
      </c>
      <c r="BK365" s="8">
        <v>201.99</v>
      </c>
      <c r="BL365" s="2" t="s">
        <v>1373</v>
      </c>
      <c r="BM365" s="7"/>
      <c r="BN365" s="7"/>
      <c r="BO365" s="4"/>
      <c r="BP365" s="8"/>
      <c r="BQ365" s="4"/>
      <c r="BR365" s="8"/>
      <c r="BS365" s="7"/>
      <c r="BT365" s="7"/>
      <c r="BU365" s="2" t="s">
        <v>109</v>
      </c>
      <c r="BV365" s="2" t="s">
        <v>97</v>
      </c>
      <c r="BW365" s="2" t="s">
        <v>929</v>
      </c>
      <c r="BX365" s="2" t="s">
        <v>100</v>
      </c>
      <c r="BY365" s="2" t="s">
        <v>112</v>
      </c>
      <c r="BZ365" s="2" t="s">
        <v>100</v>
      </c>
    </row>
    <row r="366">
      <c r="A366" s="2" t="s">
        <v>1374</v>
      </c>
      <c r="B366" s="2" t="s">
        <v>87</v>
      </c>
      <c r="C366" s="2" t="s">
        <v>785</v>
      </c>
      <c r="D366" s="2" t="s">
        <v>1255</v>
      </c>
      <c r="E366" s="2" t="s">
        <v>1256</v>
      </c>
      <c r="F366" s="2" t="s">
        <v>840</v>
      </c>
      <c r="G366" s="2" t="s">
        <v>841</v>
      </c>
      <c r="H366" s="2" t="s">
        <v>842</v>
      </c>
      <c r="I366" s="2" t="s">
        <v>1281</v>
      </c>
      <c r="J366" s="2" t="s">
        <v>95</v>
      </c>
      <c r="K366" s="2" t="s">
        <v>96</v>
      </c>
      <c r="L366" s="3">
        <v>20.23</v>
      </c>
      <c r="M366" s="3">
        <v>21.24</v>
      </c>
      <c r="N366" s="3">
        <v>39.99</v>
      </c>
      <c r="O366" s="2" t="s">
        <v>97</v>
      </c>
      <c r="P366" s="2" t="s">
        <v>483</v>
      </c>
      <c r="Q366" s="2" t="s">
        <v>99</v>
      </c>
      <c r="R366" s="2" t="s">
        <v>100</v>
      </c>
      <c r="S366" s="2" t="s">
        <v>982</v>
      </c>
      <c r="T366" s="2" t="s">
        <v>231</v>
      </c>
      <c r="U366" s="2" t="s">
        <v>432</v>
      </c>
      <c r="V366" s="2" t="s">
        <v>427</v>
      </c>
      <c r="W366" s="2" t="s">
        <v>428</v>
      </c>
      <c r="X366" s="2" t="s">
        <v>636</v>
      </c>
      <c r="Y366" s="2" t="s">
        <v>961</v>
      </c>
      <c r="Z366" s="4">
        <v>594</v>
      </c>
      <c r="AA366" s="4">
        <f>=ROUNDDOWN(20.4123711340206,0)</f>
      </c>
      <c r="AB366" s="5">
        <v>29.1</v>
      </c>
      <c r="AC366" s="2" t="s">
        <v>184</v>
      </c>
      <c r="AD366" s="4">
        <v>368</v>
      </c>
      <c r="AE366" s="4">
        <v>668</v>
      </c>
      <c r="AF366" s="6">
        <v>63</v>
      </c>
      <c r="AG366" s="6">
        <v>46</v>
      </c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/>
      <c r="AP366" s="4">
        <v>1</v>
      </c>
      <c r="AQ366" s="8">
        <v>22.94</v>
      </c>
      <c r="AR366" s="4"/>
      <c r="AS366" s="8"/>
      <c r="AT366" s="7"/>
      <c r="AU366" s="7"/>
      <c r="AV366" s="4" t="s">
        <v>100</v>
      </c>
      <c r="AW366" s="8" t="s">
        <v>100</v>
      </c>
      <c r="AX366" s="4" t="s">
        <v>100</v>
      </c>
      <c r="AY366" s="8" t="s">
        <v>100</v>
      </c>
      <c r="AZ366" s="7" t="s">
        <v>100</v>
      </c>
      <c r="BA366" s="7" t="s">
        <v>100</v>
      </c>
      <c r="BB366" s="7">
        <v>0.3091</v>
      </c>
      <c r="BC366" s="4" t="s">
        <v>100</v>
      </c>
      <c r="BD366" s="8" t="s">
        <v>100</v>
      </c>
      <c r="BE366" s="4" t="s">
        <v>100</v>
      </c>
      <c r="BF366" s="8" t="s">
        <v>100</v>
      </c>
      <c r="BG366" s="7" t="s">
        <v>100</v>
      </c>
      <c r="BH366" s="7" t="s">
        <v>100</v>
      </c>
      <c r="BI366" s="7" t="s">
        <v>100</v>
      </c>
      <c r="BJ366" s="4">
        <v>177</v>
      </c>
      <c r="BK366" s="8">
        <v>3900.34</v>
      </c>
      <c r="BL366" s="2" t="s">
        <v>962</v>
      </c>
      <c r="BM366" s="7">
        <v>0.0056</v>
      </c>
      <c r="BN366" s="7">
        <v>0.0059</v>
      </c>
      <c r="BO366" s="4">
        <v>1</v>
      </c>
      <c r="BP366" s="8">
        <v>22.94</v>
      </c>
      <c r="BQ366" s="4"/>
      <c r="BR366" s="8"/>
      <c r="BS366" s="7"/>
      <c r="BT366" s="7"/>
      <c r="BU366" s="2" t="s">
        <v>109</v>
      </c>
      <c r="BV366" s="2" t="s">
        <v>97</v>
      </c>
      <c r="BW366" s="2" t="s">
        <v>1298</v>
      </c>
      <c r="BX366" s="2" t="s">
        <v>1321</v>
      </c>
      <c r="BY366" s="2" t="s">
        <v>112</v>
      </c>
      <c r="BZ366" s="2" t="s">
        <v>100</v>
      </c>
    </row>
    <row r="367">
      <c r="A367" s="2" t="s">
        <v>1375</v>
      </c>
      <c r="B367" s="2" t="s">
        <v>87</v>
      </c>
      <c r="C367" s="2" t="s">
        <v>785</v>
      </c>
      <c r="D367" s="2" t="s">
        <v>1255</v>
      </c>
      <c r="E367" s="2" t="s">
        <v>1256</v>
      </c>
      <c r="F367" s="2" t="s">
        <v>840</v>
      </c>
      <c r="G367" s="2" t="s">
        <v>841</v>
      </c>
      <c r="H367" s="2" t="s">
        <v>842</v>
      </c>
      <c r="I367" s="2" t="s">
        <v>1281</v>
      </c>
      <c r="J367" s="2" t="s">
        <v>114</v>
      </c>
      <c r="K367" s="2" t="s">
        <v>96</v>
      </c>
      <c r="L367" s="3">
        <v>22.61</v>
      </c>
      <c r="M367" s="3">
        <v>23.74</v>
      </c>
      <c r="N367" s="3">
        <v>44.99</v>
      </c>
      <c r="O367" s="2" t="s">
        <v>97</v>
      </c>
      <c r="P367" s="2" t="s">
        <v>483</v>
      </c>
      <c r="Q367" s="2" t="s">
        <v>99</v>
      </c>
      <c r="R367" s="2" t="s">
        <v>100</v>
      </c>
      <c r="S367" s="2" t="s">
        <v>982</v>
      </c>
      <c r="T367" s="2" t="s">
        <v>231</v>
      </c>
      <c r="U367" s="2" t="s">
        <v>432</v>
      </c>
      <c r="V367" s="2" t="s">
        <v>427</v>
      </c>
      <c r="W367" s="2" t="s">
        <v>428</v>
      </c>
      <c r="X367" s="2" t="s">
        <v>636</v>
      </c>
      <c r="Y367" s="2" t="s">
        <v>961</v>
      </c>
      <c r="Z367" s="4">
        <v>581</v>
      </c>
      <c r="AA367" s="4">
        <f>=ROUNDDOWN(20.75,0)</f>
      </c>
      <c r="AB367" s="5">
        <v>28</v>
      </c>
      <c r="AC367" s="2" t="s">
        <v>184</v>
      </c>
      <c r="AD367" s="4">
        <v>528</v>
      </c>
      <c r="AE367" s="4">
        <v>828</v>
      </c>
      <c r="AF367" s="6">
        <v>63</v>
      </c>
      <c r="AG367" s="6">
        <v>46</v>
      </c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/>
      <c r="AP367" s="4">
        <v>2</v>
      </c>
      <c r="AQ367" s="8">
        <v>51.28</v>
      </c>
      <c r="AR367" s="4"/>
      <c r="AS367" s="8"/>
      <c r="AT367" s="7"/>
      <c r="AU367" s="7"/>
      <c r="AV367" s="4" t="s">
        <v>100</v>
      </c>
      <c r="AW367" s="8" t="s">
        <v>100</v>
      </c>
      <c r="AX367" s="4" t="s">
        <v>100</v>
      </c>
      <c r="AY367" s="8" t="s">
        <v>100</v>
      </c>
      <c r="AZ367" s="7" t="s">
        <v>100</v>
      </c>
      <c r="BA367" s="7" t="s">
        <v>100</v>
      </c>
      <c r="BB367" s="7">
        <v>0.6909</v>
      </c>
      <c r="BC367" s="4" t="s">
        <v>100</v>
      </c>
      <c r="BD367" s="8" t="s">
        <v>100</v>
      </c>
      <c r="BE367" s="4" t="s">
        <v>100</v>
      </c>
      <c r="BF367" s="8" t="s">
        <v>100</v>
      </c>
      <c r="BG367" s="7" t="s">
        <v>100</v>
      </c>
      <c r="BH367" s="7" t="s">
        <v>100</v>
      </c>
      <c r="BI367" s="7" t="s">
        <v>100</v>
      </c>
      <c r="BJ367" s="4">
        <v>183</v>
      </c>
      <c r="BK367" s="8">
        <v>4356.81</v>
      </c>
      <c r="BL367" s="2" t="s">
        <v>1347</v>
      </c>
      <c r="BM367" s="7">
        <v>0.0109</v>
      </c>
      <c r="BN367" s="7">
        <v>0.0118</v>
      </c>
      <c r="BO367" s="4">
        <v>2</v>
      </c>
      <c r="BP367" s="8">
        <v>51.28</v>
      </c>
      <c r="BQ367" s="4"/>
      <c r="BR367" s="8"/>
      <c r="BS367" s="7"/>
      <c r="BT367" s="7"/>
      <c r="BU367" s="2" t="s">
        <v>109</v>
      </c>
      <c r="BV367" s="2" t="s">
        <v>97</v>
      </c>
      <c r="BW367" s="2" t="s">
        <v>1298</v>
      </c>
      <c r="BX367" s="2" t="s">
        <v>487</v>
      </c>
      <c r="BY367" s="2" t="s">
        <v>112</v>
      </c>
      <c r="BZ367" s="2" t="s">
        <v>100</v>
      </c>
    </row>
    <row r="368">
      <c r="A368" s="2" t="s">
        <v>1376</v>
      </c>
      <c r="B368" s="2" t="s">
        <v>87</v>
      </c>
      <c r="C368" s="2" t="s">
        <v>785</v>
      </c>
      <c r="D368" s="2" t="s">
        <v>1255</v>
      </c>
      <c r="E368" s="2" t="s">
        <v>1256</v>
      </c>
      <c r="F368" s="2" t="s">
        <v>840</v>
      </c>
      <c r="G368" s="2" t="s">
        <v>841</v>
      </c>
      <c r="H368" s="2" t="s">
        <v>842</v>
      </c>
      <c r="I368" s="2" t="s">
        <v>1281</v>
      </c>
      <c r="J368" s="2" t="s">
        <v>120</v>
      </c>
      <c r="K368" s="2" t="s">
        <v>96</v>
      </c>
      <c r="L368" s="3">
        <v>23.57</v>
      </c>
      <c r="M368" s="3">
        <v>24.75</v>
      </c>
      <c r="N368" s="3">
        <v>44.99</v>
      </c>
      <c r="O368" s="2" t="s">
        <v>97</v>
      </c>
      <c r="P368" s="2" t="s">
        <v>483</v>
      </c>
      <c r="Q368" s="2" t="s">
        <v>99</v>
      </c>
      <c r="R368" s="2" t="s">
        <v>100</v>
      </c>
      <c r="S368" s="2" t="s">
        <v>982</v>
      </c>
      <c r="T368" s="2" t="s">
        <v>231</v>
      </c>
      <c r="U368" s="2" t="s">
        <v>432</v>
      </c>
      <c r="V368" s="2" t="s">
        <v>427</v>
      </c>
      <c r="W368" s="2" t="s">
        <v>428</v>
      </c>
      <c r="X368" s="2" t="s">
        <v>636</v>
      </c>
      <c r="Y368" s="2" t="s">
        <v>935</v>
      </c>
      <c r="Z368" s="4">
        <v>316</v>
      </c>
      <c r="AA368" s="4">
        <f>=ROUNDDOWN(95.7575757575758,0)</f>
      </c>
      <c r="AB368" s="5">
        <v>3.3</v>
      </c>
      <c r="AC368" s="2" t="s">
        <v>436</v>
      </c>
      <c r="AD368" s="4">
        <v>396</v>
      </c>
      <c r="AE368" s="4">
        <v>396</v>
      </c>
      <c r="AF368" s="6">
        <v>63</v>
      </c>
      <c r="AG368" s="6">
        <v>46</v>
      </c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100</v>
      </c>
      <c r="AW368" s="8" t="s">
        <v>100</v>
      </c>
      <c r="AX368" s="4" t="s">
        <v>100</v>
      </c>
      <c r="AY368" s="8" t="s">
        <v>100</v>
      </c>
      <c r="AZ368" s="7" t="s">
        <v>100</v>
      </c>
      <c r="BA368" s="7" t="s">
        <v>100</v>
      </c>
      <c r="BB368" s="7"/>
      <c r="BC368" s="4" t="s">
        <v>100</v>
      </c>
      <c r="BD368" s="8" t="s">
        <v>100</v>
      </c>
      <c r="BE368" s="4" t="s">
        <v>100</v>
      </c>
      <c r="BF368" s="8" t="s">
        <v>100</v>
      </c>
      <c r="BG368" s="7" t="s">
        <v>100</v>
      </c>
      <c r="BH368" s="7" t="s">
        <v>100</v>
      </c>
      <c r="BI368" s="7" t="s">
        <v>100</v>
      </c>
      <c r="BJ368" s="4">
        <v>13</v>
      </c>
      <c r="BK368" s="8">
        <v>373.49</v>
      </c>
      <c r="BL368" s="2" t="s">
        <v>1215</v>
      </c>
      <c r="BM368" s="7"/>
      <c r="BN368" s="7"/>
      <c r="BO368" s="4"/>
      <c r="BP368" s="8"/>
      <c r="BQ368" s="4"/>
      <c r="BR368" s="8"/>
      <c r="BS368" s="7"/>
      <c r="BT368" s="7"/>
      <c r="BU368" s="2" t="s">
        <v>109</v>
      </c>
      <c r="BV368" s="2" t="s">
        <v>97</v>
      </c>
      <c r="BW368" s="2" t="s">
        <v>929</v>
      </c>
      <c r="BX368" s="2" t="s">
        <v>942</v>
      </c>
      <c r="BY368" s="2" t="s">
        <v>112</v>
      </c>
      <c r="BZ368" s="2" t="s">
        <v>100</v>
      </c>
    </row>
    <row r="369">
      <c r="A369" s="2" t="s">
        <v>1377</v>
      </c>
      <c r="B369" s="2" t="s">
        <v>87</v>
      </c>
      <c r="C369" s="2" t="s">
        <v>785</v>
      </c>
      <c r="D369" s="2" t="s">
        <v>1255</v>
      </c>
      <c r="E369" s="2" t="s">
        <v>1256</v>
      </c>
      <c r="F369" s="2" t="s">
        <v>840</v>
      </c>
      <c r="G369" s="2" t="s">
        <v>841</v>
      </c>
      <c r="H369" s="2" t="s">
        <v>842</v>
      </c>
      <c r="I369" s="2" t="s">
        <v>1281</v>
      </c>
      <c r="J369" s="2" t="s">
        <v>791</v>
      </c>
      <c r="K369" s="2" t="s">
        <v>764</v>
      </c>
      <c r="L369" s="3">
        <v>15.47</v>
      </c>
      <c r="M369" s="3">
        <v>16.24</v>
      </c>
      <c r="N369" s="3">
        <v>32.49</v>
      </c>
      <c r="O369" s="2" t="s">
        <v>97</v>
      </c>
      <c r="P369" s="2" t="s">
        <v>576</v>
      </c>
      <c r="Q369" s="2" t="s">
        <v>99</v>
      </c>
      <c r="R369" s="2" t="s">
        <v>100</v>
      </c>
      <c r="S369" s="2" t="s">
        <v>995</v>
      </c>
      <c r="T369" s="2" t="s">
        <v>231</v>
      </c>
      <c r="U369" s="2" t="s">
        <v>426</v>
      </c>
      <c r="V369" s="2" t="s">
        <v>427</v>
      </c>
      <c r="W369" s="2" t="s">
        <v>428</v>
      </c>
      <c r="X369" s="2" t="s">
        <v>636</v>
      </c>
      <c r="Y369" s="2" t="s">
        <v>889</v>
      </c>
      <c r="Z369" s="4">
        <v>95</v>
      </c>
      <c r="AA369" s="4">
        <f>=ROUNDDOWN(11.875,0)</f>
      </c>
      <c r="AB369" s="5">
        <v>8</v>
      </c>
      <c r="AC369" s="2" t="s">
        <v>162</v>
      </c>
      <c r="AD369" s="4">
        <v>100</v>
      </c>
      <c r="AE369" s="4">
        <v>100</v>
      </c>
      <c r="AF369" s="6">
        <v>63</v>
      </c>
      <c r="AG369" s="6">
        <v>46</v>
      </c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>
        <v>2</v>
      </c>
      <c r="AW369" s="8">
        <v>45.88</v>
      </c>
      <c r="AX369" s="4" t="s">
        <v>100</v>
      </c>
      <c r="AY369" s="8" t="s">
        <v>100</v>
      </c>
      <c r="AZ369" s="7" t="s">
        <v>100</v>
      </c>
      <c r="BA369" s="7" t="s">
        <v>100</v>
      </c>
      <c r="BB369" s="7"/>
      <c r="BC369" s="4" t="s">
        <v>100</v>
      </c>
      <c r="BD369" s="8" t="s">
        <v>100</v>
      </c>
      <c r="BE369" s="4" t="s">
        <v>100</v>
      </c>
      <c r="BF369" s="8" t="s">
        <v>100</v>
      </c>
      <c r="BG369" s="7" t="s">
        <v>100</v>
      </c>
      <c r="BH369" s="7" t="s">
        <v>100</v>
      </c>
      <c r="BI369" s="7">
        <v>0.0214</v>
      </c>
      <c r="BJ369" s="4">
        <v>21</v>
      </c>
      <c r="BK369" s="8">
        <v>359.79</v>
      </c>
      <c r="BL369" s="2" t="s">
        <v>1378</v>
      </c>
      <c r="BM369" s="7"/>
      <c r="BN369" s="7"/>
      <c r="BO369" s="4"/>
      <c r="BP369" s="8"/>
      <c r="BQ369" s="4"/>
      <c r="BR369" s="8"/>
      <c r="BS369" s="7"/>
      <c r="BT369" s="7"/>
      <c r="BU369" s="2" t="s">
        <v>109</v>
      </c>
      <c r="BV369" s="2" t="s">
        <v>97</v>
      </c>
      <c r="BW369" s="2" t="s">
        <v>889</v>
      </c>
      <c r="BX369" s="2" t="s">
        <v>100</v>
      </c>
      <c r="BY369" s="2" t="s">
        <v>112</v>
      </c>
      <c r="BZ369" s="2" t="s">
        <v>100</v>
      </c>
    </row>
    <row r="370">
      <c r="A370" s="2" t="s">
        <v>1379</v>
      </c>
      <c r="B370" s="2" t="s">
        <v>87</v>
      </c>
      <c r="C370" s="2" t="s">
        <v>785</v>
      </c>
      <c r="D370" s="2" t="s">
        <v>1255</v>
      </c>
      <c r="E370" s="2" t="s">
        <v>1256</v>
      </c>
      <c r="F370" s="2" t="s">
        <v>840</v>
      </c>
      <c r="G370" s="2" t="s">
        <v>841</v>
      </c>
      <c r="H370" s="2" t="s">
        <v>842</v>
      </c>
      <c r="I370" s="2" t="s">
        <v>1281</v>
      </c>
      <c r="J370" s="2" t="s">
        <v>157</v>
      </c>
      <c r="K370" s="2" t="s">
        <v>764</v>
      </c>
      <c r="L370" s="3">
        <v>19.76</v>
      </c>
      <c r="M370" s="3">
        <v>20.75</v>
      </c>
      <c r="N370" s="3">
        <v>39.99</v>
      </c>
      <c r="O370" s="2" t="s">
        <v>97</v>
      </c>
      <c r="P370" s="2" t="s">
        <v>483</v>
      </c>
      <c r="Q370" s="2" t="s">
        <v>99</v>
      </c>
      <c r="R370" s="2" t="s">
        <v>100</v>
      </c>
      <c r="S370" s="2" t="s">
        <v>995</v>
      </c>
      <c r="T370" s="2" t="s">
        <v>231</v>
      </c>
      <c r="U370" s="2" t="s">
        <v>432</v>
      </c>
      <c r="V370" s="2" t="s">
        <v>427</v>
      </c>
      <c r="W370" s="2" t="s">
        <v>428</v>
      </c>
      <c r="X370" s="2" t="s">
        <v>636</v>
      </c>
      <c r="Y370" s="2" t="s">
        <v>966</v>
      </c>
      <c r="Z370" s="4">
        <v>148</v>
      </c>
      <c r="AA370" s="4">
        <f>=ROUNDDOWN(92.5,0)</f>
      </c>
      <c r="AB370" s="5">
        <v>1.6</v>
      </c>
      <c r="AC370" s="2" t="s">
        <v>184</v>
      </c>
      <c r="AD370" s="4">
        <v>16</v>
      </c>
      <c r="AE370" s="4">
        <v>16</v>
      </c>
      <c r="AF370" s="6">
        <v>63</v>
      </c>
      <c r="AG370" s="6">
        <v>46</v>
      </c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100</v>
      </c>
      <c r="AW370" s="8" t="s">
        <v>100</v>
      </c>
      <c r="AX370" s="4" t="s">
        <v>100</v>
      </c>
      <c r="AY370" s="8" t="s">
        <v>100</v>
      </c>
      <c r="AZ370" s="7" t="s">
        <v>100</v>
      </c>
      <c r="BA370" s="7" t="s">
        <v>100</v>
      </c>
      <c r="BB370" s="7"/>
      <c r="BC370" s="4" t="s">
        <v>100</v>
      </c>
      <c r="BD370" s="8" t="s">
        <v>100</v>
      </c>
      <c r="BE370" s="4" t="s">
        <v>100</v>
      </c>
      <c r="BF370" s="8" t="s">
        <v>100</v>
      </c>
      <c r="BG370" s="7" t="s">
        <v>100</v>
      </c>
      <c r="BH370" s="7" t="s">
        <v>100</v>
      </c>
      <c r="BI370" s="7" t="s">
        <v>100</v>
      </c>
      <c r="BJ370" s="4">
        <v>5</v>
      </c>
      <c r="BK370" s="8">
        <v>101.05</v>
      </c>
      <c r="BL370" s="2" t="s">
        <v>1215</v>
      </c>
      <c r="BM370" s="7"/>
      <c r="BN370" s="7"/>
      <c r="BO370" s="4"/>
      <c r="BP370" s="8"/>
      <c r="BQ370" s="4"/>
      <c r="BR370" s="8"/>
      <c r="BS370" s="7"/>
      <c r="BT370" s="7"/>
      <c r="BU370" s="2" t="s">
        <v>109</v>
      </c>
      <c r="BV370" s="2" t="s">
        <v>97</v>
      </c>
      <c r="BW370" s="2" t="s">
        <v>881</v>
      </c>
      <c r="BX370" s="2" t="s">
        <v>893</v>
      </c>
      <c r="BY370" s="2" t="s">
        <v>112</v>
      </c>
      <c r="BZ370" s="2" t="s">
        <v>100</v>
      </c>
    </row>
    <row r="371">
      <c r="A371" s="2" t="s">
        <v>1380</v>
      </c>
      <c r="B371" s="2" t="s">
        <v>87</v>
      </c>
      <c r="C371" s="2" t="s">
        <v>785</v>
      </c>
      <c r="D371" s="2" t="s">
        <v>1255</v>
      </c>
      <c r="E371" s="2" t="s">
        <v>1256</v>
      </c>
      <c r="F371" s="2" t="s">
        <v>840</v>
      </c>
      <c r="G371" s="2" t="s">
        <v>841</v>
      </c>
      <c r="H371" s="2" t="s">
        <v>842</v>
      </c>
      <c r="I371" s="2" t="s">
        <v>1281</v>
      </c>
      <c r="J371" s="2" t="s">
        <v>95</v>
      </c>
      <c r="K371" s="2" t="s">
        <v>764</v>
      </c>
      <c r="L371" s="3">
        <v>20.23</v>
      </c>
      <c r="M371" s="3">
        <v>21.24</v>
      </c>
      <c r="N371" s="3">
        <v>42.49</v>
      </c>
      <c r="O371" s="2" t="s">
        <v>97</v>
      </c>
      <c r="P371" s="2" t="s">
        <v>576</v>
      </c>
      <c r="Q371" s="2" t="s">
        <v>99</v>
      </c>
      <c r="R371" s="2" t="s">
        <v>100</v>
      </c>
      <c r="S371" s="2" t="s">
        <v>995</v>
      </c>
      <c r="T371" s="2" t="s">
        <v>231</v>
      </c>
      <c r="U371" s="2" t="s">
        <v>432</v>
      </c>
      <c r="V371" s="2" t="s">
        <v>427</v>
      </c>
      <c r="W371" s="2" t="s">
        <v>428</v>
      </c>
      <c r="X371" s="2" t="s">
        <v>636</v>
      </c>
      <c r="Y371" s="2" t="s">
        <v>889</v>
      </c>
      <c r="Z371" s="4">
        <v>407</v>
      </c>
      <c r="AA371" s="4">
        <f>=ROUNDDOWN(22.6111111111111,0)</f>
      </c>
      <c r="AB371" s="5">
        <v>18</v>
      </c>
      <c r="AC371" s="2" t="s">
        <v>162</v>
      </c>
      <c r="AD371" s="4">
        <v>120</v>
      </c>
      <c r="AE371" s="4">
        <v>120</v>
      </c>
      <c r="AF371" s="6">
        <v>63</v>
      </c>
      <c r="AG371" s="6">
        <v>46</v>
      </c>
      <c r="AH371" s="7">
        <v>1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/>
      <c r="AP371" s="4">
        <v>2</v>
      </c>
      <c r="AQ371" s="8">
        <v>45.88</v>
      </c>
      <c r="AR371" s="4"/>
      <c r="AS371" s="8"/>
      <c r="AT371" s="7"/>
      <c r="AU371" s="7"/>
      <c r="AV371" s="4" t="s">
        <v>100</v>
      </c>
      <c r="AW371" s="8" t="s">
        <v>100</v>
      </c>
      <c r="AX371" s="4" t="s">
        <v>100</v>
      </c>
      <c r="AY371" s="8" t="s">
        <v>100</v>
      </c>
      <c r="AZ371" s="7" t="s">
        <v>100</v>
      </c>
      <c r="BA371" s="7" t="s">
        <v>100</v>
      </c>
      <c r="BB371" s="7">
        <v>1</v>
      </c>
      <c r="BC371" s="4" t="s">
        <v>100</v>
      </c>
      <c r="BD371" s="8" t="s">
        <v>100</v>
      </c>
      <c r="BE371" s="4" t="s">
        <v>100</v>
      </c>
      <c r="BF371" s="8" t="s">
        <v>100</v>
      </c>
      <c r="BG371" s="7" t="s">
        <v>100</v>
      </c>
      <c r="BH371" s="7" t="s">
        <v>100</v>
      </c>
      <c r="BI371" s="7" t="s">
        <v>100</v>
      </c>
      <c r="BJ371" s="4">
        <v>62</v>
      </c>
      <c r="BK371" s="8">
        <v>1311.24</v>
      </c>
      <c r="BL371" s="2" t="s">
        <v>1118</v>
      </c>
      <c r="BM371" s="7">
        <v>0.0323</v>
      </c>
      <c r="BN371" s="7">
        <v>0.035</v>
      </c>
      <c r="BO371" s="4">
        <v>2</v>
      </c>
      <c r="BP371" s="8">
        <v>45.88</v>
      </c>
      <c r="BQ371" s="4"/>
      <c r="BR371" s="8"/>
      <c r="BS371" s="7"/>
      <c r="BT371" s="7"/>
      <c r="BU371" s="2" t="s">
        <v>109</v>
      </c>
      <c r="BV371" s="2" t="s">
        <v>97</v>
      </c>
      <c r="BW371" s="2" t="s">
        <v>889</v>
      </c>
      <c r="BX371" s="2" t="s">
        <v>1381</v>
      </c>
      <c r="BY371" s="2" t="s">
        <v>112</v>
      </c>
      <c r="BZ371" s="2" t="s">
        <v>100</v>
      </c>
    </row>
    <row r="372">
      <c r="A372" s="2" t="s">
        <v>1382</v>
      </c>
      <c r="B372" s="2" t="s">
        <v>87</v>
      </c>
      <c r="C372" s="2" t="s">
        <v>785</v>
      </c>
      <c r="D372" s="2" t="s">
        <v>1255</v>
      </c>
      <c r="E372" s="2" t="s">
        <v>1256</v>
      </c>
      <c r="F372" s="2" t="s">
        <v>840</v>
      </c>
      <c r="G372" s="2" t="s">
        <v>841</v>
      </c>
      <c r="H372" s="2" t="s">
        <v>842</v>
      </c>
      <c r="I372" s="2" t="s">
        <v>1281</v>
      </c>
      <c r="J372" s="2" t="s">
        <v>114</v>
      </c>
      <c r="K372" s="2" t="s">
        <v>764</v>
      </c>
      <c r="L372" s="3">
        <v>22.61</v>
      </c>
      <c r="M372" s="3">
        <v>23.74</v>
      </c>
      <c r="N372" s="3">
        <v>47.49</v>
      </c>
      <c r="O372" s="2" t="s">
        <v>97</v>
      </c>
      <c r="P372" s="2" t="s">
        <v>576</v>
      </c>
      <c r="Q372" s="2" t="s">
        <v>99</v>
      </c>
      <c r="R372" s="2" t="s">
        <v>100</v>
      </c>
      <c r="S372" s="2" t="s">
        <v>995</v>
      </c>
      <c r="T372" s="2" t="s">
        <v>231</v>
      </c>
      <c r="U372" s="2" t="s">
        <v>432</v>
      </c>
      <c r="V372" s="2" t="s">
        <v>427</v>
      </c>
      <c r="W372" s="2" t="s">
        <v>428</v>
      </c>
      <c r="X372" s="2" t="s">
        <v>636</v>
      </c>
      <c r="Y372" s="2" t="s">
        <v>889</v>
      </c>
      <c r="Z372" s="4">
        <v>537</v>
      </c>
      <c r="AA372" s="4">
        <f>=ROUNDDOWN(59.6666666666667,0)</f>
      </c>
      <c r="AB372" s="5">
        <v>9</v>
      </c>
      <c r="AC372" s="2" t="s">
        <v>162</v>
      </c>
      <c r="AD372" s="4">
        <v>200</v>
      </c>
      <c r="AE372" s="4">
        <v>200</v>
      </c>
      <c r="AF372" s="6">
        <v>63</v>
      </c>
      <c r="AG372" s="6">
        <v>46</v>
      </c>
      <c r="AH372" s="7">
        <v>1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100</v>
      </c>
      <c r="AW372" s="8" t="s">
        <v>100</v>
      </c>
      <c r="AX372" s="4" t="s">
        <v>100</v>
      </c>
      <c r="AY372" s="8" t="s">
        <v>100</v>
      </c>
      <c r="AZ372" s="7" t="s">
        <v>100</v>
      </c>
      <c r="BA372" s="7" t="s">
        <v>100</v>
      </c>
      <c r="BB372" s="7"/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 t="s">
        <v>100</v>
      </c>
      <c r="BJ372" s="4">
        <v>56</v>
      </c>
      <c r="BK372" s="8">
        <v>1327.25</v>
      </c>
      <c r="BL372" s="2" t="s">
        <v>1383</v>
      </c>
      <c r="BM372" s="7"/>
      <c r="BN372" s="7"/>
      <c r="BO372" s="4"/>
      <c r="BP372" s="8"/>
      <c r="BQ372" s="4"/>
      <c r="BR372" s="8"/>
      <c r="BS372" s="7"/>
      <c r="BT372" s="7"/>
      <c r="BU372" s="2" t="s">
        <v>109</v>
      </c>
      <c r="BV372" s="2" t="s">
        <v>97</v>
      </c>
      <c r="BW372" s="2" t="s">
        <v>889</v>
      </c>
      <c r="BX372" s="2" t="s">
        <v>1384</v>
      </c>
      <c r="BY372" s="2" t="s">
        <v>112</v>
      </c>
      <c r="BZ372" s="2" t="s">
        <v>100</v>
      </c>
    </row>
    <row r="373">
      <c r="A373" s="2" t="s">
        <v>1385</v>
      </c>
      <c r="B373" s="2" t="s">
        <v>87</v>
      </c>
      <c r="C373" s="2" t="s">
        <v>785</v>
      </c>
      <c r="D373" s="2" t="s">
        <v>1255</v>
      </c>
      <c r="E373" s="2" t="s">
        <v>1256</v>
      </c>
      <c r="F373" s="2" t="s">
        <v>840</v>
      </c>
      <c r="G373" s="2" t="s">
        <v>841</v>
      </c>
      <c r="H373" s="2" t="s">
        <v>842</v>
      </c>
      <c r="I373" s="2" t="s">
        <v>1281</v>
      </c>
      <c r="J373" s="2" t="s">
        <v>120</v>
      </c>
      <c r="K373" s="2" t="s">
        <v>764</v>
      </c>
      <c r="L373" s="3">
        <v>23.57</v>
      </c>
      <c r="M373" s="3">
        <v>24.75</v>
      </c>
      <c r="N373" s="3">
        <v>44.99</v>
      </c>
      <c r="O373" s="2" t="s">
        <v>97</v>
      </c>
      <c r="P373" s="2" t="s">
        <v>483</v>
      </c>
      <c r="Q373" s="2" t="s">
        <v>99</v>
      </c>
      <c r="R373" s="2" t="s">
        <v>100</v>
      </c>
      <c r="S373" s="2" t="s">
        <v>995</v>
      </c>
      <c r="T373" s="2" t="s">
        <v>231</v>
      </c>
      <c r="U373" s="2" t="s">
        <v>432</v>
      </c>
      <c r="V373" s="2" t="s">
        <v>427</v>
      </c>
      <c r="W373" s="2" t="s">
        <v>428</v>
      </c>
      <c r="X373" s="2" t="s">
        <v>636</v>
      </c>
      <c r="Y373" s="2" t="s">
        <v>966</v>
      </c>
      <c r="Z373" s="4">
        <v>134</v>
      </c>
      <c r="AA373" s="4">
        <f>=ROUNDDOWN(111.666666666667,0)</f>
      </c>
      <c r="AB373" s="5">
        <v>1.2</v>
      </c>
      <c r="AC373" s="2" t="s">
        <v>100</v>
      </c>
      <c r="AD373" s="4"/>
      <c r="AE373" s="4"/>
      <c r="AF373" s="6">
        <v>63</v>
      </c>
      <c r="AG373" s="6">
        <v>46</v>
      </c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100</v>
      </c>
      <c r="AW373" s="8" t="s">
        <v>100</v>
      </c>
      <c r="AX373" s="4" t="s">
        <v>100</v>
      </c>
      <c r="AY373" s="8" t="s">
        <v>100</v>
      </c>
      <c r="AZ373" s="7" t="s">
        <v>100</v>
      </c>
      <c r="BA373" s="7" t="s">
        <v>100</v>
      </c>
      <c r="BB373" s="7"/>
      <c r="BC373" s="4" t="s">
        <v>100</v>
      </c>
      <c r="BD373" s="8" t="s">
        <v>100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 t="s">
        <v>100</v>
      </c>
      <c r="BJ373" s="4">
        <v>4</v>
      </c>
      <c r="BK373" s="8">
        <v>114.92</v>
      </c>
      <c r="BL373" s="2" t="s">
        <v>1215</v>
      </c>
      <c r="BM373" s="7"/>
      <c r="BN373" s="7"/>
      <c r="BO373" s="4"/>
      <c r="BP373" s="8"/>
      <c r="BQ373" s="4"/>
      <c r="BR373" s="8"/>
      <c r="BS373" s="7"/>
      <c r="BT373" s="7"/>
      <c r="BU373" s="2" t="s">
        <v>109</v>
      </c>
      <c r="BV373" s="2" t="s">
        <v>97</v>
      </c>
      <c r="BW373" s="2" t="s">
        <v>881</v>
      </c>
      <c r="BX373" s="2" t="s">
        <v>100</v>
      </c>
      <c r="BY373" s="2" t="s">
        <v>112</v>
      </c>
      <c r="BZ373" s="2" t="s">
        <v>100</v>
      </c>
    </row>
    <row r="374">
      <c r="A374" s="2" t="s">
        <v>1386</v>
      </c>
      <c r="B374" s="2" t="s">
        <v>87</v>
      </c>
      <c r="C374" s="2" t="s">
        <v>785</v>
      </c>
      <c r="D374" s="2" t="s">
        <v>1255</v>
      </c>
      <c r="E374" s="2" t="s">
        <v>1256</v>
      </c>
      <c r="F374" s="2" t="s">
        <v>840</v>
      </c>
      <c r="G374" s="2" t="s">
        <v>841</v>
      </c>
      <c r="H374" s="2" t="s">
        <v>842</v>
      </c>
      <c r="I374" s="2" t="s">
        <v>1281</v>
      </c>
      <c r="J374" s="2" t="s">
        <v>791</v>
      </c>
      <c r="K374" s="2" t="s">
        <v>203</v>
      </c>
      <c r="L374" s="3">
        <v>15.47</v>
      </c>
      <c r="M374" s="3">
        <v>16.24</v>
      </c>
      <c r="N374" s="3">
        <v>32.49</v>
      </c>
      <c r="O374" s="2" t="s">
        <v>97</v>
      </c>
      <c r="P374" s="2" t="s">
        <v>576</v>
      </c>
      <c r="Q374" s="2" t="s">
        <v>99</v>
      </c>
      <c r="R374" s="2" t="s">
        <v>100</v>
      </c>
      <c r="S374" s="2" t="s">
        <v>873</v>
      </c>
      <c r="T374" s="2" t="s">
        <v>231</v>
      </c>
      <c r="U374" s="2" t="s">
        <v>426</v>
      </c>
      <c r="V374" s="2" t="s">
        <v>427</v>
      </c>
      <c r="W374" s="2" t="s">
        <v>428</v>
      </c>
      <c r="X374" s="2" t="s">
        <v>636</v>
      </c>
      <c r="Y374" s="2" t="s">
        <v>889</v>
      </c>
      <c r="Z374" s="4">
        <v>269</v>
      </c>
      <c r="AA374" s="4">
        <f>=ROUNDDOWN(53.8,0)</f>
      </c>
      <c r="AB374" s="5">
        <v>5</v>
      </c>
      <c r="AC374" s="2" t="s">
        <v>162</v>
      </c>
      <c r="AD374" s="4">
        <v>100</v>
      </c>
      <c r="AE374" s="4">
        <v>100</v>
      </c>
      <c r="AF374" s="6">
        <v>63</v>
      </c>
      <c r="AG374" s="6">
        <v>46</v>
      </c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>
        <v>1</v>
      </c>
      <c r="AW374" s="8">
        <v>26.73</v>
      </c>
      <c r="AX374" s="4" t="s">
        <v>100</v>
      </c>
      <c r="AY374" s="8" t="s">
        <v>100</v>
      </c>
      <c r="AZ374" s="7" t="s">
        <v>100</v>
      </c>
      <c r="BA374" s="7" t="s">
        <v>100</v>
      </c>
      <c r="BB374" s="7"/>
      <c r="BC374" s="4" t="s">
        <v>100</v>
      </c>
      <c r="BD374" s="8" t="s">
        <v>100</v>
      </c>
      <c r="BE374" s="4" t="s">
        <v>100</v>
      </c>
      <c r="BF374" s="8" t="s">
        <v>100</v>
      </c>
      <c r="BG374" s="7" t="s">
        <v>100</v>
      </c>
      <c r="BH374" s="7" t="s">
        <v>100</v>
      </c>
      <c r="BI374" s="7">
        <v>0.0125</v>
      </c>
      <c r="BJ374" s="4">
        <v>17</v>
      </c>
      <c r="BK374" s="8">
        <v>289.53</v>
      </c>
      <c r="BL374" s="2" t="s">
        <v>1053</v>
      </c>
      <c r="BM374" s="7"/>
      <c r="BN374" s="7"/>
      <c r="BO374" s="4"/>
      <c r="BP374" s="8"/>
      <c r="BQ374" s="4"/>
      <c r="BR374" s="8"/>
      <c r="BS374" s="7"/>
      <c r="BT374" s="7"/>
      <c r="BU374" s="2" t="s">
        <v>109</v>
      </c>
      <c r="BV374" s="2" t="s">
        <v>97</v>
      </c>
      <c r="BW374" s="2" t="s">
        <v>889</v>
      </c>
      <c r="BX374" s="2" t="s">
        <v>890</v>
      </c>
      <c r="BY374" s="2" t="s">
        <v>112</v>
      </c>
      <c r="BZ374" s="2" t="s">
        <v>100</v>
      </c>
    </row>
    <row r="375">
      <c r="A375" s="2" t="s">
        <v>1387</v>
      </c>
      <c r="B375" s="2" t="s">
        <v>87</v>
      </c>
      <c r="C375" s="2" t="s">
        <v>785</v>
      </c>
      <c r="D375" s="2" t="s">
        <v>1255</v>
      </c>
      <c r="E375" s="2" t="s">
        <v>1256</v>
      </c>
      <c r="F375" s="2" t="s">
        <v>840</v>
      </c>
      <c r="G375" s="2" t="s">
        <v>841</v>
      </c>
      <c r="H375" s="2" t="s">
        <v>842</v>
      </c>
      <c r="I375" s="2" t="s">
        <v>1281</v>
      </c>
      <c r="J375" s="2" t="s">
        <v>157</v>
      </c>
      <c r="K375" s="2" t="s">
        <v>203</v>
      </c>
      <c r="L375" s="3">
        <v>19.76</v>
      </c>
      <c r="M375" s="3">
        <v>20.75</v>
      </c>
      <c r="N375" s="3">
        <v>39.99</v>
      </c>
      <c r="O375" s="2" t="s">
        <v>97</v>
      </c>
      <c r="P375" s="2" t="s">
        <v>483</v>
      </c>
      <c r="Q375" s="2" t="s">
        <v>99</v>
      </c>
      <c r="R375" s="2" t="s">
        <v>100</v>
      </c>
      <c r="S375" s="2" t="s">
        <v>873</v>
      </c>
      <c r="T375" s="2" t="s">
        <v>231</v>
      </c>
      <c r="U375" s="2" t="s">
        <v>432</v>
      </c>
      <c r="V375" s="2" t="s">
        <v>427</v>
      </c>
      <c r="W375" s="2" t="s">
        <v>428</v>
      </c>
      <c r="X375" s="2" t="s">
        <v>636</v>
      </c>
      <c r="Y375" s="2" t="s">
        <v>966</v>
      </c>
      <c r="Z375" s="4">
        <v>156</v>
      </c>
      <c r="AA375" s="4">
        <f>=ROUNDDOWN(52,0)</f>
      </c>
      <c r="AB375" s="5">
        <v>3</v>
      </c>
      <c r="AC375" s="2" t="s">
        <v>184</v>
      </c>
      <c r="AD375" s="4">
        <v>12</v>
      </c>
      <c r="AE375" s="4">
        <v>12</v>
      </c>
      <c r="AF375" s="6">
        <v>63</v>
      </c>
      <c r="AG375" s="6">
        <v>46</v>
      </c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100</v>
      </c>
      <c r="AW375" s="8" t="s">
        <v>100</v>
      </c>
      <c r="AX375" s="4" t="s">
        <v>100</v>
      </c>
      <c r="AY375" s="8" t="s">
        <v>100</v>
      </c>
      <c r="AZ375" s="7" t="s">
        <v>100</v>
      </c>
      <c r="BA375" s="7" t="s">
        <v>100</v>
      </c>
      <c r="BB375" s="7"/>
      <c r="BC375" s="4" t="s">
        <v>100</v>
      </c>
      <c r="BD375" s="8" t="s">
        <v>100</v>
      </c>
      <c r="BE375" s="4" t="s">
        <v>100</v>
      </c>
      <c r="BF375" s="8" t="s">
        <v>100</v>
      </c>
      <c r="BG375" s="7" t="s">
        <v>100</v>
      </c>
      <c r="BH375" s="7" t="s">
        <v>100</v>
      </c>
      <c r="BI375" s="7" t="s">
        <v>100</v>
      </c>
      <c r="BJ375" s="4">
        <v>9</v>
      </c>
      <c r="BK375" s="8">
        <v>180.53</v>
      </c>
      <c r="BL375" s="2" t="s">
        <v>1388</v>
      </c>
      <c r="BM375" s="7"/>
      <c r="BN375" s="7"/>
      <c r="BO375" s="4"/>
      <c r="BP375" s="8"/>
      <c r="BQ375" s="4"/>
      <c r="BR375" s="8"/>
      <c r="BS375" s="7"/>
      <c r="BT375" s="7"/>
      <c r="BU375" s="2" t="s">
        <v>109</v>
      </c>
      <c r="BV375" s="2" t="s">
        <v>97</v>
      </c>
      <c r="BW375" s="2" t="s">
        <v>881</v>
      </c>
      <c r="BX375" s="2" t="s">
        <v>100</v>
      </c>
      <c r="BY375" s="2" t="s">
        <v>112</v>
      </c>
      <c r="BZ375" s="2" t="s">
        <v>100</v>
      </c>
    </row>
    <row r="376">
      <c r="A376" s="2" t="s">
        <v>1389</v>
      </c>
      <c r="B376" s="2" t="s">
        <v>87</v>
      </c>
      <c r="C376" s="2" t="s">
        <v>785</v>
      </c>
      <c r="D376" s="2" t="s">
        <v>1255</v>
      </c>
      <c r="E376" s="2" t="s">
        <v>1256</v>
      </c>
      <c r="F376" s="2" t="s">
        <v>840</v>
      </c>
      <c r="G376" s="2" t="s">
        <v>841</v>
      </c>
      <c r="H376" s="2" t="s">
        <v>842</v>
      </c>
      <c r="I376" s="2" t="s">
        <v>1281</v>
      </c>
      <c r="J376" s="2" t="s">
        <v>95</v>
      </c>
      <c r="K376" s="2" t="s">
        <v>203</v>
      </c>
      <c r="L376" s="3">
        <v>20.23</v>
      </c>
      <c r="M376" s="3">
        <v>21.24</v>
      </c>
      <c r="N376" s="3">
        <v>42.49</v>
      </c>
      <c r="O376" s="2" t="s">
        <v>97</v>
      </c>
      <c r="P376" s="2" t="s">
        <v>576</v>
      </c>
      <c r="Q376" s="2" t="s">
        <v>99</v>
      </c>
      <c r="R376" s="2" t="s">
        <v>100</v>
      </c>
      <c r="S376" s="2" t="s">
        <v>873</v>
      </c>
      <c r="T376" s="2" t="s">
        <v>231</v>
      </c>
      <c r="U376" s="2" t="s">
        <v>432</v>
      </c>
      <c r="V376" s="2" t="s">
        <v>427</v>
      </c>
      <c r="W376" s="2" t="s">
        <v>428</v>
      </c>
      <c r="X376" s="2" t="s">
        <v>636</v>
      </c>
      <c r="Y376" s="2" t="s">
        <v>889</v>
      </c>
      <c r="Z376" s="4">
        <v>758</v>
      </c>
      <c r="AA376" s="4">
        <f>=ROUNDDOWN(39.8947368421053,0)</f>
      </c>
      <c r="AB376" s="5">
        <v>19</v>
      </c>
      <c r="AC376" s="2" t="s">
        <v>162</v>
      </c>
      <c r="AD376" s="4">
        <v>200</v>
      </c>
      <c r="AE376" s="4">
        <v>200</v>
      </c>
      <c r="AF376" s="6">
        <v>63</v>
      </c>
      <c r="AG376" s="6">
        <v>46</v>
      </c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100</v>
      </c>
      <c r="AW376" s="8" t="s">
        <v>100</v>
      </c>
      <c r="AX376" s="4" t="s">
        <v>100</v>
      </c>
      <c r="AY376" s="8" t="s">
        <v>100</v>
      </c>
      <c r="AZ376" s="7" t="s">
        <v>100</v>
      </c>
      <c r="BA376" s="7" t="s">
        <v>100</v>
      </c>
      <c r="BB376" s="7"/>
      <c r="BC376" s="4" t="s">
        <v>100</v>
      </c>
      <c r="BD376" s="8" t="s">
        <v>100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 t="s">
        <v>100</v>
      </c>
      <c r="BJ376" s="4">
        <v>112</v>
      </c>
      <c r="BK376" s="8">
        <v>2445.75</v>
      </c>
      <c r="BL376" s="2" t="s">
        <v>1075</v>
      </c>
      <c r="BM376" s="7"/>
      <c r="BN376" s="7"/>
      <c r="BO376" s="4"/>
      <c r="BP376" s="8"/>
      <c r="BQ376" s="4"/>
      <c r="BR376" s="8"/>
      <c r="BS376" s="7"/>
      <c r="BT376" s="7"/>
      <c r="BU376" s="2" t="s">
        <v>109</v>
      </c>
      <c r="BV376" s="2" t="s">
        <v>97</v>
      </c>
      <c r="BW376" s="2" t="s">
        <v>889</v>
      </c>
      <c r="BX376" s="2" t="s">
        <v>903</v>
      </c>
      <c r="BY376" s="2" t="s">
        <v>112</v>
      </c>
      <c r="BZ376" s="2" t="s">
        <v>100</v>
      </c>
    </row>
    <row r="377">
      <c r="A377" s="2" t="s">
        <v>1390</v>
      </c>
      <c r="B377" s="2" t="s">
        <v>87</v>
      </c>
      <c r="C377" s="2" t="s">
        <v>785</v>
      </c>
      <c r="D377" s="2" t="s">
        <v>1255</v>
      </c>
      <c r="E377" s="2" t="s">
        <v>1256</v>
      </c>
      <c r="F377" s="2" t="s">
        <v>840</v>
      </c>
      <c r="G377" s="2" t="s">
        <v>841</v>
      </c>
      <c r="H377" s="2" t="s">
        <v>842</v>
      </c>
      <c r="I377" s="2" t="s">
        <v>1281</v>
      </c>
      <c r="J377" s="2" t="s">
        <v>114</v>
      </c>
      <c r="K377" s="2" t="s">
        <v>203</v>
      </c>
      <c r="L377" s="3">
        <v>22.61</v>
      </c>
      <c r="M377" s="3">
        <v>23.74</v>
      </c>
      <c r="N377" s="3">
        <v>47.49</v>
      </c>
      <c r="O377" s="2" t="s">
        <v>97</v>
      </c>
      <c r="P377" s="2" t="s">
        <v>576</v>
      </c>
      <c r="Q377" s="2" t="s">
        <v>99</v>
      </c>
      <c r="R377" s="2" t="s">
        <v>100</v>
      </c>
      <c r="S377" s="2" t="s">
        <v>873</v>
      </c>
      <c r="T377" s="2" t="s">
        <v>231</v>
      </c>
      <c r="U377" s="2" t="s">
        <v>432</v>
      </c>
      <c r="V377" s="2" t="s">
        <v>427</v>
      </c>
      <c r="W377" s="2" t="s">
        <v>428</v>
      </c>
      <c r="X377" s="2" t="s">
        <v>636</v>
      </c>
      <c r="Y377" s="2" t="s">
        <v>889</v>
      </c>
      <c r="Z377" s="4">
        <v>946</v>
      </c>
      <c r="AA377" s="4">
        <f>=ROUNDDOWN(41.1304347826087,0)</f>
      </c>
      <c r="AB377" s="5">
        <v>23</v>
      </c>
      <c r="AC377" s="2" t="s">
        <v>162</v>
      </c>
      <c r="AD377" s="4">
        <v>200</v>
      </c>
      <c r="AE377" s="4">
        <v>200</v>
      </c>
      <c r="AF377" s="6">
        <v>63</v>
      </c>
      <c r="AG377" s="6">
        <v>46</v>
      </c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100</v>
      </c>
      <c r="AW377" s="8" t="s">
        <v>100</v>
      </c>
      <c r="AX377" s="4" t="s">
        <v>100</v>
      </c>
      <c r="AY377" s="8" t="s">
        <v>100</v>
      </c>
      <c r="AZ377" s="7" t="s">
        <v>100</v>
      </c>
      <c r="BA377" s="7" t="s">
        <v>100</v>
      </c>
      <c r="BB377" s="7"/>
      <c r="BC377" s="4" t="s">
        <v>100</v>
      </c>
      <c r="BD377" s="8" t="s">
        <v>100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 t="s">
        <v>100</v>
      </c>
      <c r="BJ377" s="4">
        <v>209</v>
      </c>
      <c r="BK377" s="8">
        <v>5092.84</v>
      </c>
      <c r="BL377" s="2" t="s">
        <v>1075</v>
      </c>
      <c r="BM377" s="7"/>
      <c r="BN377" s="7"/>
      <c r="BO377" s="4"/>
      <c r="BP377" s="8"/>
      <c r="BQ377" s="4"/>
      <c r="BR377" s="8"/>
      <c r="BS377" s="7"/>
      <c r="BT377" s="7"/>
      <c r="BU377" s="2" t="s">
        <v>109</v>
      </c>
      <c r="BV377" s="2" t="s">
        <v>97</v>
      </c>
      <c r="BW377" s="2" t="s">
        <v>889</v>
      </c>
      <c r="BX377" s="2" t="s">
        <v>978</v>
      </c>
      <c r="BY377" s="2" t="s">
        <v>112</v>
      </c>
      <c r="BZ377" s="2" t="s">
        <v>100</v>
      </c>
    </row>
    <row r="378">
      <c r="A378" s="2" t="s">
        <v>1391</v>
      </c>
      <c r="B378" s="2" t="s">
        <v>87</v>
      </c>
      <c r="C378" s="2" t="s">
        <v>785</v>
      </c>
      <c r="D378" s="2" t="s">
        <v>1255</v>
      </c>
      <c r="E378" s="2" t="s">
        <v>1256</v>
      </c>
      <c r="F378" s="2" t="s">
        <v>840</v>
      </c>
      <c r="G378" s="2" t="s">
        <v>841</v>
      </c>
      <c r="H378" s="2" t="s">
        <v>842</v>
      </c>
      <c r="I378" s="2" t="s">
        <v>1281</v>
      </c>
      <c r="J378" s="2" t="s">
        <v>120</v>
      </c>
      <c r="K378" s="2" t="s">
        <v>203</v>
      </c>
      <c r="L378" s="3">
        <v>23.57</v>
      </c>
      <c r="M378" s="3">
        <v>24.75</v>
      </c>
      <c r="N378" s="3">
        <v>44.99</v>
      </c>
      <c r="O378" s="2" t="s">
        <v>97</v>
      </c>
      <c r="P378" s="2" t="s">
        <v>483</v>
      </c>
      <c r="Q378" s="2" t="s">
        <v>99</v>
      </c>
      <c r="R378" s="2" t="s">
        <v>100</v>
      </c>
      <c r="S378" s="2" t="s">
        <v>873</v>
      </c>
      <c r="T378" s="2" t="s">
        <v>231</v>
      </c>
      <c r="U378" s="2" t="s">
        <v>432</v>
      </c>
      <c r="V378" s="2" t="s">
        <v>427</v>
      </c>
      <c r="W378" s="2" t="s">
        <v>428</v>
      </c>
      <c r="X378" s="2" t="s">
        <v>636</v>
      </c>
      <c r="Y378" s="2" t="s">
        <v>966</v>
      </c>
      <c r="Z378" s="4">
        <v>183</v>
      </c>
      <c r="AA378" s="4">
        <f>=ROUNDDOWN(53.8235294117647,0)</f>
      </c>
      <c r="AB378" s="5">
        <v>3.4</v>
      </c>
      <c r="AC378" s="2" t="s">
        <v>100</v>
      </c>
      <c r="AD378" s="4"/>
      <c r="AE378" s="4"/>
      <c r="AF378" s="6">
        <v>63</v>
      </c>
      <c r="AG378" s="6">
        <v>46</v>
      </c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/>
      <c r="AP378" s="4">
        <v>1</v>
      </c>
      <c r="AQ378" s="8">
        <v>26.73</v>
      </c>
      <c r="AR378" s="4"/>
      <c r="AS378" s="8"/>
      <c r="AT378" s="7"/>
      <c r="AU378" s="7"/>
      <c r="AV378" s="4" t="s">
        <v>100</v>
      </c>
      <c r="AW378" s="8" t="s">
        <v>100</v>
      </c>
      <c r="AX378" s="4" t="s">
        <v>100</v>
      </c>
      <c r="AY378" s="8" t="s">
        <v>100</v>
      </c>
      <c r="AZ378" s="7" t="s">
        <v>100</v>
      </c>
      <c r="BA378" s="7" t="s">
        <v>100</v>
      </c>
      <c r="BB378" s="7">
        <v>1</v>
      </c>
      <c r="BC378" s="4" t="s">
        <v>100</v>
      </c>
      <c r="BD378" s="8" t="s">
        <v>100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 t="s">
        <v>100</v>
      </c>
      <c r="BJ378" s="4">
        <v>11</v>
      </c>
      <c r="BK378" s="8">
        <v>314.03</v>
      </c>
      <c r="BL378" s="2" t="s">
        <v>1167</v>
      </c>
      <c r="BM378" s="7">
        <v>0.0909</v>
      </c>
      <c r="BN378" s="7">
        <v>0.0851</v>
      </c>
      <c r="BO378" s="4">
        <v>1</v>
      </c>
      <c r="BP378" s="8">
        <v>26.73</v>
      </c>
      <c r="BQ378" s="4"/>
      <c r="BR378" s="8"/>
      <c r="BS378" s="7"/>
      <c r="BT378" s="7"/>
      <c r="BU378" s="2" t="s">
        <v>109</v>
      </c>
      <c r="BV378" s="2" t="s">
        <v>97</v>
      </c>
      <c r="BW378" s="2" t="s">
        <v>881</v>
      </c>
      <c r="BX378" s="2" t="s">
        <v>1392</v>
      </c>
      <c r="BY378" s="2" t="s">
        <v>112</v>
      </c>
      <c r="BZ378" s="2" t="s">
        <v>100</v>
      </c>
    </row>
    <row r="379">
      <c r="A379" s="2" t="s">
        <v>1393</v>
      </c>
      <c r="B379" s="2" t="s">
        <v>87</v>
      </c>
      <c r="C379" s="2" t="s">
        <v>785</v>
      </c>
      <c r="D379" s="2" t="s">
        <v>1394</v>
      </c>
      <c r="E379" s="2" t="s">
        <v>1395</v>
      </c>
      <c r="F379" s="2" t="s">
        <v>787</v>
      </c>
      <c r="G379" s="2" t="s">
        <v>788</v>
      </c>
      <c r="H379" s="2" t="s">
        <v>789</v>
      </c>
      <c r="I379" s="2" t="s">
        <v>1396</v>
      </c>
      <c r="J379" s="2" t="s">
        <v>791</v>
      </c>
      <c r="K379" s="2" t="s">
        <v>575</v>
      </c>
      <c r="L379" s="3">
        <v>21.42</v>
      </c>
      <c r="M379" s="3">
        <v>22.49</v>
      </c>
      <c r="N379" s="3">
        <v>44.99</v>
      </c>
      <c r="O379" s="2" t="s">
        <v>97</v>
      </c>
      <c r="P379" s="2" t="s">
        <v>483</v>
      </c>
      <c r="Q379" s="2" t="s">
        <v>99</v>
      </c>
      <c r="R379" s="2" t="s">
        <v>100</v>
      </c>
      <c r="S379" s="2" t="s">
        <v>1397</v>
      </c>
      <c r="T379" s="2" t="s">
        <v>793</v>
      </c>
      <c r="U379" s="2" t="s">
        <v>426</v>
      </c>
      <c r="V379" s="2" t="s">
        <v>427</v>
      </c>
      <c r="W379" s="2" t="s">
        <v>428</v>
      </c>
      <c r="X379" s="2" t="s">
        <v>636</v>
      </c>
      <c r="Y379" s="2" t="s">
        <v>1398</v>
      </c>
      <c r="Z379" s="4">
        <v>193</v>
      </c>
      <c r="AA379" s="4">
        <f>=ROUNDDOWN(101.578947368421,0)</f>
      </c>
      <c r="AB379" s="5">
        <v>1.9</v>
      </c>
      <c r="AC379" s="2" t="s">
        <v>100</v>
      </c>
      <c r="AD379" s="4"/>
      <c r="AE379" s="4"/>
      <c r="AF379" s="6">
        <v>64</v>
      </c>
      <c r="AG379" s="6">
        <v>47</v>
      </c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100</v>
      </c>
      <c r="AW379" s="8" t="s">
        <v>100</v>
      </c>
      <c r="AX379" s="4" t="s">
        <v>100</v>
      </c>
      <c r="AY379" s="8" t="s">
        <v>100</v>
      </c>
      <c r="AZ379" s="7" t="s">
        <v>100</v>
      </c>
      <c r="BA379" s="7" t="s">
        <v>100</v>
      </c>
      <c r="BB379" s="7"/>
      <c r="BC379" s="4" t="s">
        <v>100</v>
      </c>
      <c r="BD379" s="8" t="s">
        <v>100</v>
      </c>
      <c r="BE379" s="4" t="s">
        <v>100</v>
      </c>
      <c r="BF379" s="8" t="s">
        <v>100</v>
      </c>
      <c r="BG379" s="7" t="s">
        <v>100</v>
      </c>
      <c r="BH379" s="7" t="s">
        <v>100</v>
      </c>
      <c r="BI379" s="7"/>
      <c r="BJ379" s="4">
        <v>5</v>
      </c>
      <c r="BK379" s="8">
        <v>108.5</v>
      </c>
      <c r="BL379" s="2" t="s">
        <v>1215</v>
      </c>
      <c r="BM379" s="7"/>
      <c r="BN379" s="7"/>
      <c r="BO379" s="4"/>
      <c r="BP379" s="8"/>
      <c r="BQ379" s="4"/>
      <c r="BR379" s="8"/>
      <c r="BS379" s="7"/>
      <c r="BT379" s="7"/>
      <c r="BU379" s="2" t="s">
        <v>109</v>
      </c>
      <c r="BV379" s="2" t="s">
        <v>97</v>
      </c>
      <c r="BW379" s="2" t="s">
        <v>927</v>
      </c>
      <c r="BX379" s="2" t="s">
        <v>100</v>
      </c>
      <c r="BY379" s="2" t="s">
        <v>112</v>
      </c>
      <c r="BZ379" s="2" t="s">
        <v>100</v>
      </c>
    </row>
    <row r="380">
      <c r="A380" s="2" t="s">
        <v>1399</v>
      </c>
      <c r="B380" s="2" t="s">
        <v>87</v>
      </c>
      <c r="C380" s="2" t="s">
        <v>785</v>
      </c>
      <c r="D380" s="2" t="s">
        <v>1394</v>
      </c>
      <c r="E380" s="2" t="s">
        <v>1395</v>
      </c>
      <c r="F380" s="2" t="s">
        <v>787</v>
      </c>
      <c r="G380" s="2" t="s">
        <v>788</v>
      </c>
      <c r="H380" s="2" t="s">
        <v>789</v>
      </c>
      <c r="I380" s="2" t="s">
        <v>1396</v>
      </c>
      <c r="J380" s="2" t="s">
        <v>558</v>
      </c>
      <c r="K380" s="2" t="s">
        <v>575</v>
      </c>
      <c r="L380" s="3">
        <v>26.19</v>
      </c>
      <c r="M380" s="3">
        <v>27.5</v>
      </c>
      <c r="N380" s="3">
        <v>54.99</v>
      </c>
      <c r="O380" s="2" t="s">
        <v>97</v>
      </c>
      <c r="P380" s="2" t="s">
        <v>483</v>
      </c>
      <c r="Q380" s="2" t="s">
        <v>99</v>
      </c>
      <c r="R380" s="2" t="s">
        <v>100</v>
      </c>
      <c r="S380" s="2" t="s">
        <v>1397</v>
      </c>
      <c r="T380" s="2" t="s">
        <v>793</v>
      </c>
      <c r="U380" s="2" t="s">
        <v>432</v>
      </c>
      <c r="V380" s="2" t="s">
        <v>427</v>
      </c>
      <c r="W380" s="2" t="s">
        <v>428</v>
      </c>
      <c r="X380" s="2" t="s">
        <v>636</v>
      </c>
      <c r="Y380" s="2" t="s">
        <v>1400</v>
      </c>
      <c r="Z380" s="4">
        <v>631</v>
      </c>
      <c r="AA380" s="4">
        <f>=ROUNDDOWN(114.727272727273,0)</f>
      </c>
      <c r="AB380" s="5">
        <v>5.5</v>
      </c>
      <c r="AC380" s="2" t="s">
        <v>100</v>
      </c>
      <c r="AD380" s="4"/>
      <c r="AE380" s="4"/>
      <c r="AF380" s="6">
        <v>64</v>
      </c>
      <c r="AG380" s="6">
        <v>47</v>
      </c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100</v>
      </c>
      <c r="AW380" s="8" t="s">
        <v>100</v>
      </c>
      <c r="AX380" s="4" t="s">
        <v>100</v>
      </c>
      <c r="AY380" s="8" t="s">
        <v>100</v>
      </c>
      <c r="AZ380" s="7" t="s">
        <v>100</v>
      </c>
      <c r="BA380" s="7" t="s">
        <v>100</v>
      </c>
      <c r="BB380" s="7"/>
      <c r="BC380" s="4" t="s">
        <v>100</v>
      </c>
      <c r="BD380" s="8" t="s">
        <v>100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/>
      <c r="BJ380" s="4">
        <v>26</v>
      </c>
      <c r="BK380" s="8">
        <v>719.75</v>
      </c>
      <c r="BL380" s="2" t="s">
        <v>1401</v>
      </c>
      <c r="BM380" s="7"/>
      <c r="BN380" s="7"/>
      <c r="BO380" s="4"/>
      <c r="BP380" s="8"/>
      <c r="BQ380" s="4"/>
      <c r="BR380" s="8"/>
      <c r="BS380" s="7"/>
      <c r="BT380" s="7"/>
      <c r="BU380" s="2" t="s">
        <v>109</v>
      </c>
      <c r="BV380" s="2" t="s">
        <v>97</v>
      </c>
      <c r="BW380" s="2" t="s">
        <v>927</v>
      </c>
      <c r="BX380" s="2" t="s">
        <v>100</v>
      </c>
      <c r="BY380" s="2" t="s">
        <v>112</v>
      </c>
      <c r="BZ380" s="2" t="s">
        <v>100</v>
      </c>
    </row>
    <row r="381">
      <c r="A381" s="2" t="s">
        <v>1402</v>
      </c>
      <c r="B381" s="2" t="s">
        <v>87</v>
      </c>
      <c r="C381" s="2" t="s">
        <v>785</v>
      </c>
      <c r="D381" s="2" t="s">
        <v>1394</v>
      </c>
      <c r="E381" s="2" t="s">
        <v>1395</v>
      </c>
      <c r="F381" s="2" t="s">
        <v>787</v>
      </c>
      <c r="G381" s="2" t="s">
        <v>788</v>
      </c>
      <c r="H381" s="2" t="s">
        <v>789</v>
      </c>
      <c r="I381" s="2" t="s">
        <v>1396</v>
      </c>
      <c r="J381" s="2" t="s">
        <v>563</v>
      </c>
      <c r="K381" s="2" t="s">
        <v>575</v>
      </c>
      <c r="L381" s="3">
        <v>28.57</v>
      </c>
      <c r="M381" s="3">
        <v>30</v>
      </c>
      <c r="N381" s="3">
        <v>64.99</v>
      </c>
      <c r="O381" s="2" t="s">
        <v>97</v>
      </c>
      <c r="P381" s="2" t="s">
        <v>483</v>
      </c>
      <c r="Q381" s="2" t="s">
        <v>99</v>
      </c>
      <c r="R381" s="2" t="s">
        <v>100</v>
      </c>
      <c r="S381" s="2" t="s">
        <v>1397</v>
      </c>
      <c r="T381" s="2" t="s">
        <v>793</v>
      </c>
      <c r="U381" s="2" t="s">
        <v>432</v>
      </c>
      <c r="V381" s="2" t="s">
        <v>427</v>
      </c>
      <c r="W381" s="2" t="s">
        <v>428</v>
      </c>
      <c r="X381" s="2" t="s">
        <v>636</v>
      </c>
      <c r="Y381" s="2" t="s">
        <v>1398</v>
      </c>
      <c r="Z381" s="4">
        <v>538</v>
      </c>
      <c r="AA381" s="4">
        <f>=ROUNDDOWN(69.8701298701299,0)</f>
      </c>
      <c r="AB381" s="5">
        <v>7.7</v>
      </c>
      <c r="AC381" s="2" t="s">
        <v>100</v>
      </c>
      <c r="AD381" s="4"/>
      <c r="AE381" s="4"/>
      <c r="AF381" s="6">
        <v>64</v>
      </c>
      <c r="AG381" s="6">
        <v>47</v>
      </c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100</v>
      </c>
      <c r="AW381" s="8" t="s">
        <v>100</v>
      </c>
      <c r="AX381" s="4" t="s">
        <v>100</v>
      </c>
      <c r="AY381" s="8" t="s">
        <v>100</v>
      </c>
      <c r="AZ381" s="7" t="s">
        <v>100</v>
      </c>
      <c r="BA381" s="7" t="s">
        <v>100</v>
      </c>
      <c r="BB381" s="7"/>
      <c r="BC381" s="4" t="s">
        <v>100</v>
      </c>
      <c r="BD381" s="8" t="s">
        <v>100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/>
      <c r="BJ381" s="4">
        <v>27</v>
      </c>
      <c r="BK381" s="8">
        <v>824.36</v>
      </c>
      <c r="BL381" s="2" t="s">
        <v>1403</v>
      </c>
      <c r="BM381" s="7"/>
      <c r="BN381" s="7"/>
      <c r="BO381" s="4"/>
      <c r="BP381" s="8"/>
      <c r="BQ381" s="4"/>
      <c r="BR381" s="8"/>
      <c r="BS381" s="7"/>
      <c r="BT381" s="7"/>
      <c r="BU381" s="2" t="s">
        <v>109</v>
      </c>
      <c r="BV381" s="2" t="s">
        <v>97</v>
      </c>
      <c r="BW381" s="2" t="s">
        <v>927</v>
      </c>
      <c r="BX381" s="2" t="s">
        <v>100</v>
      </c>
      <c r="BY381" s="2" t="s">
        <v>112</v>
      </c>
      <c r="BZ381" s="2" t="s">
        <v>100</v>
      </c>
    </row>
    <row r="382">
      <c r="A382" s="2" t="s">
        <v>1404</v>
      </c>
      <c r="B382" s="2" t="s">
        <v>87</v>
      </c>
      <c r="C382" s="2" t="s">
        <v>785</v>
      </c>
      <c r="D382" s="2" t="s">
        <v>1394</v>
      </c>
      <c r="E382" s="2" t="s">
        <v>1395</v>
      </c>
      <c r="F382" s="2" t="s">
        <v>787</v>
      </c>
      <c r="G382" s="2" t="s">
        <v>788</v>
      </c>
      <c r="H382" s="2" t="s">
        <v>789</v>
      </c>
      <c r="I382" s="2" t="s">
        <v>1396</v>
      </c>
      <c r="J382" s="2" t="s">
        <v>791</v>
      </c>
      <c r="K382" s="2" t="s">
        <v>229</v>
      </c>
      <c r="L382" s="3">
        <v>21.42</v>
      </c>
      <c r="M382" s="3">
        <v>22.49</v>
      </c>
      <c r="N382" s="3">
        <v>44.99</v>
      </c>
      <c r="O382" s="2" t="s">
        <v>97</v>
      </c>
      <c r="P382" s="2" t="s">
        <v>483</v>
      </c>
      <c r="Q382" s="2" t="s">
        <v>99</v>
      </c>
      <c r="R382" s="2" t="s">
        <v>100</v>
      </c>
      <c r="S382" s="2" t="s">
        <v>1405</v>
      </c>
      <c r="T382" s="2" t="s">
        <v>793</v>
      </c>
      <c r="U382" s="2" t="s">
        <v>426</v>
      </c>
      <c r="V382" s="2" t="s">
        <v>427</v>
      </c>
      <c r="W382" s="2" t="s">
        <v>428</v>
      </c>
      <c r="X382" s="2" t="s">
        <v>636</v>
      </c>
      <c r="Y382" s="2" t="s">
        <v>1400</v>
      </c>
      <c r="Z382" s="4">
        <v>317</v>
      </c>
      <c r="AA382" s="4">
        <f>=ROUNDDOWN(121.923076923077,0)</f>
      </c>
      <c r="AB382" s="5">
        <v>2.6</v>
      </c>
      <c r="AC382" s="2" t="s">
        <v>100</v>
      </c>
      <c r="AD382" s="4"/>
      <c r="AE382" s="4"/>
      <c r="AF382" s="6">
        <v>64</v>
      </c>
      <c r="AG382" s="6">
        <v>47</v>
      </c>
      <c r="AH382" s="7">
        <v>1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100</v>
      </c>
      <c r="AW382" s="8" t="s">
        <v>100</v>
      </c>
      <c r="AX382" s="4" t="s">
        <v>100</v>
      </c>
      <c r="AY382" s="8" t="s">
        <v>100</v>
      </c>
      <c r="AZ382" s="7" t="s">
        <v>100</v>
      </c>
      <c r="BA382" s="7" t="s">
        <v>100</v>
      </c>
      <c r="BB382" s="7"/>
      <c r="BC382" s="4" t="s">
        <v>100</v>
      </c>
      <c r="BD382" s="8" t="s">
        <v>100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/>
      <c r="BJ382" s="4">
        <v>5</v>
      </c>
      <c r="BK382" s="8">
        <v>107.7</v>
      </c>
      <c r="BL382" s="2" t="s">
        <v>1406</v>
      </c>
      <c r="BM382" s="7"/>
      <c r="BN382" s="7"/>
      <c r="BO382" s="4"/>
      <c r="BP382" s="8"/>
      <c r="BQ382" s="4"/>
      <c r="BR382" s="8"/>
      <c r="BS382" s="7"/>
      <c r="BT382" s="7"/>
      <c r="BU382" s="2" t="s">
        <v>109</v>
      </c>
      <c r="BV382" s="2" t="s">
        <v>97</v>
      </c>
      <c r="BW382" s="2" t="s">
        <v>927</v>
      </c>
      <c r="BX382" s="2" t="s">
        <v>100</v>
      </c>
      <c r="BY382" s="2" t="s">
        <v>112</v>
      </c>
      <c r="BZ382" s="2" t="s">
        <v>100</v>
      </c>
    </row>
    <row r="383">
      <c r="A383" s="2" t="s">
        <v>1407</v>
      </c>
      <c r="B383" s="2" t="s">
        <v>87</v>
      </c>
      <c r="C383" s="2" t="s">
        <v>785</v>
      </c>
      <c r="D383" s="2" t="s">
        <v>1394</v>
      </c>
      <c r="E383" s="2" t="s">
        <v>1395</v>
      </c>
      <c r="F383" s="2" t="s">
        <v>787</v>
      </c>
      <c r="G383" s="2" t="s">
        <v>788</v>
      </c>
      <c r="H383" s="2" t="s">
        <v>789</v>
      </c>
      <c r="I383" s="2" t="s">
        <v>1396</v>
      </c>
      <c r="J383" s="2" t="s">
        <v>558</v>
      </c>
      <c r="K383" s="2" t="s">
        <v>229</v>
      </c>
      <c r="L383" s="3">
        <v>26.19</v>
      </c>
      <c r="M383" s="3">
        <v>27.5</v>
      </c>
      <c r="N383" s="3">
        <v>54.99</v>
      </c>
      <c r="O383" s="2" t="s">
        <v>97</v>
      </c>
      <c r="P383" s="2" t="s">
        <v>483</v>
      </c>
      <c r="Q383" s="2" t="s">
        <v>99</v>
      </c>
      <c r="R383" s="2" t="s">
        <v>100</v>
      </c>
      <c r="S383" s="2" t="s">
        <v>1405</v>
      </c>
      <c r="T383" s="2" t="s">
        <v>793</v>
      </c>
      <c r="U383" s="2" t="s">
        <v>432</v>
      </c>
      <c r="V383" s="2" t="s">
        <v>427</v>
      </c>
      <c r="W383" s="2" t="s">
        <v>428</v>
      </c>
      <c r="X383" s="2" t="s">
        <v>636</v>
      </c>
      <c r="Y383" s="2" t="s">
        <v>1400</v>
      </c>
      <c r="Z383" s="4">
        <v>913</v>
      </c>
      <c r="AA383" s="4">
        <f>=ROUNDDOWN(198.478260869565,0)</f>
      </c>
      <c r="AB383" s="5">
        <v>4.6</v>
      </c>
      <c r="AC383" s="2" t="s">
        <v>100</v>
      </c>
      <c r="AD383" s="4"/>
      <c r="AE383" s="4"/>
      <c r="AF383" s="6">
        <v>64</v>
      </c>
      <c r="AG383" s="6">
        <v>47</v>
      </c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100</v>
      </c>
      <c r="AW383" s="8" t="s">
        <v>100</v>
      </c>
      <c r="AX383" s="4" t="s">
        <v>100</v>
      </c>
      <c r="AY383" s="8" t="s">
        <v>100</v>
      </c>
      <c r="AZ383" s="7" t="s">
        <v>100</v>
      </c>
      <c r="BA383" s="7" t="s">
        <v>100</v>
      </c>
      <c r="BB383" s="7"/>
      <c r="BC383" s="4" t="s">
        <v>100</v>
      </c>
      <c r="BD383" s="8" t="s">
        <v>100</v>
      </c>
      <c r="BE383" s="4" t="s">
        <v>100</v>
      </c>
      <c r="BF383" s="8" t="s">
        <v>100</v>
      </c>
      <c r="BG383" s="7" t="s">
        <v>100</v>
      </c>
      <c r="BH383" s="7" t="s">
        <v>100</v>
      </c>
      <c r="BI383" s="7"/>
      <c r="BJ383" s="4">
        <v>14</v>
      </c>
      <c r="BK383" s="8">
        <v>379.5</v>
      </c>
      <c r="BL383" s="2" t="s">
        <v>1408</v>
      </c>
      <c r="BM383" s="7"/>
      <c r="BN383" s="7"/>
      <c r="BO383" s="4"/>
      <c r="BP383" s="8"/>
      <c r="BQ383" s="4"/>
      <c r="BR383" s="8"/>
      <c r="BS383" s="7"/>
      <c r="BT383" s="7"/>
      <c r="BU383" s="2" t="s">
        <v>109</v>
      </c>
      <c r="BV383" s="2" t="s">
        <v>97</v>
      </c>
      <c r="BW383" s="2" t="s">
        <v>927</v>
      </c>
      <c r="BX383" s="2" t="s">
        <v>100</v>
      </c>
      <c r="BY383" s="2" t="s">
        <v>112</v>
      </c>
      <c r="BZ383" s="2" t="s">
        <v>100</v>
      </c>
    </row>
    <row r="384">
      <c r="A384" s="2" t="s">
        <v>1409</v>
      </c>
      <c r="B384" s="2" t="s">
        <v>87</v>
      </c>
      <c r="C384" s="2" t="s">
        <v>785</v>
      </c>
      <c r="D384" s="2" t="s">
        <v>1394</v>
      </c>
      <c r="E384" s="2" t="s">
        <v>1395</v>
      </c>
      <c r="F384" s="2" t="s">
        <v>787</v>
      </c>
      <c r="G384" s="2" t="s">
        <v>788</v>
      </c>
      <c r="H384" s="2" t="s">
        <v>789</v>
      </c>
      <c r="I384" s="2" t="s">
        <v>1396</v>
      </c>
      <c r="J384" s="2" t="s">
        <v>563</v>
      </c>
      <c r="K384" s="2" t="s">
        <v>229</v>
      </c>
      <c r="L384" s="3">
        <v>28.57</v>
      </c>
      <c r="M384" s="3">
        <v>30</v>
      </c>
      <c r="N384" s="3">
        <v>64.99</v>
      </c>
      <c r="O384" s="2" t="s">
        <v>97</v>
      </c>
      <c r="P384" s="2" t="s">
        <v>483</v>
      </c>
      <c r="Q384" s="2" t="s">
        <v>99</v>
      </c>
      <c r="R384" s="2" t="s">
        <v>100</v>
      </c>
      <c r="S384" s="2" t="s">
        <v>1405</v>
      </c>
      <c r="T384" s="2" t="s">
        <v>793</v>
      </c>
      <c r="U384" s="2" t="s">
        <v>432</v>
      </c>
      <c r="V384" s="2" t="s">
        <v>427</v>
      </c>
      <c r="W384" s="2" t="s">
        <v>428</v>
      </c>
      <c r="X384" s="2" t="s">
        <v>636</v>
      </c>
      <c r="Y384" s="2" t="s">
        <v>1398</v>
      </c>
      <c r="Z384" s="4">
        <v>862</v>
      </c>
      <c r="AA384" s="4">
        <f>=ROUNDDOWN(132.615384615385,0)</f>
      </c>
      <c r="AB384" s="5">
        <v>6.5</v>
      </c>
      <c r="AC384" s="2" t="s">
        <v>100</v>
      </c>
      <c r="AD384" s="4"/>
      <c r="AE384" s="4"/>
      <c r="AF384" s="6">
        <v>64</v>
      </c>
      <c r="AG384" s="6">
        <v>47</v>
      </c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 t="s">
        <v>100</v>
      </c>
      <c r="AW384" s="8" t="s">
        <v>100</v>
      </c>
      <c r="AX384" s="4" t="s">
        <v>100</v>
      </c>
      <c r="AY384" s="8" t="s">
        <v>100</v>
      </c>
      <c r="AZ384" s="7" t="s">
        <v>100</v>
      </c>
      <c r="BA384" s="7" t="s">
        <v>100</v>
      </c>
      <c r="BB384" s="7"/>
      <c r="BC384" s="4" t="s">
        <v>100</v>
      </c>
      <c r="BD384" s="8" t="s">
        <v>100</v>
      </c>
      <c r="BE384" s="4" t="s">
        <v>100</v>
      </c>
      <c r="BF384" s="8" t="s">
        <v>100</v>
      </c>
      <c r="BG384" s="7" t="s">
        <v>100</v>
      </c>
      <c r="BH384" s="7" t="s">
        <v>100</v>
      </c>
      <c r="BI384" s="7"/>
      <c r="BJ384" s="4">
        <v>14</v>
      </c>
      <c r="BK384" s="8">
        <v>441.1</v>
      </c>
      <c r="BL384" s="2" t="s">
        <v>1410</v>
      </c>
      <c r="BM384" s="7"/>
      <c r="BN384" s="7"/>
      <c r="BO384" s="4"/>
      <c r="BP384" s="8"/>
      <c r="BQ384" s="4"/>
      <c r="BR384" s="8"/>
      <c r="BS384" s="7"/>
      <c r="BT384" s="7"/>
      <c r="BU384" s="2" t="s">
        <v>109</v>
      </c>
      <c r="BV384" s="2" t="s">
        <v>97</v>
      </c>
      <c r="BW384" s="2" t="s">
        <v>927</v>
      </c>
      <c r="BX384" s="2" t="s">
        <v>100</v>
      </c>
      <c r="BY384" s="2" t="s">
        <v>112</v>
      </c>
      <c r="BZ384" s="2" t="s">
        <v>100</v>
      </c>
    </row>
    <row r="385">
      <c r="A385" s="2" t="s">
        <v>1411</v>
      </c>
      <c r="B385" s="2" t="s">
        <v>87</v>
      </c>
      <c r="C385" s="2" t="s">
        <v>785</v>
      </c>
      <c r="D385" s="2" t="s">
        <v>1394</v>
      </c>
      <c r="E385" s="2" t="s">
        <v>1395</v>
      </c>
      <c r="F385" s="2" t="s">
        <v>787</v>
      </c>
      <c r="G385" s="2" t="s">
        <v>788</v>
      </c>
      <c r="H385" s="2" t="s">
        <v>789</v>
      </c>
      <c r="I385" s="2" t="s">
        <v>1396</v>
      </c>
      <c r="J385" s="2" t="s">
        <v>791</v>
      </c>
      <c r="K385" s="2" t="s">
        <v>623</v>
      </c>
      <c r="L385" s="3">
        <v>21.42</v>
      </c>
      <c r="M385" s="3">
        <v>22.49</v>
      </c>
      <c r="N385" s="3">
        <v>44.99</v>
      </c>
      <c r="O385" s="2" t="s">
        <v>97</v>
      </c>
      <c r="P385" s="2" t="s">
        <v>483</v>
      </c>
      <c r="Q385" s="2" t="s">
        <v>99</v>
      </c>
      <c r="R385" s="2" t="s">
        <v>100</v>
      </c>
      <c r="S385" s="2" t="s">
        <v>1412</v>
      </c>
      <c r="T385" s="2" t="s">
        <v>793</v>
      </c>
      <c r="U385" s="2" t="s">
        <v>426</v>
      </c>
      <c r="V385" s="2" t="s">
        <v>427</v>
      </c>
      <c r="W385" s="2" t="s">
        <v>428</v>
      </c>
      <c r="X385" s="2" t="s">
        <v>636</v>
      </c>
      <c r="Y385" s="2" t="s">
        <v>1400</v>
      </c>
      <c r="Z385" s="4">
        <v>232</v>
      </c>
      <c r="AA385" s="4">
        <f>=ROUNDDOWN(110.47619047619,0)</f>
      </c>
      <c r="AB385" s="5">
        <v>2.1</v>
      </c>
      <c r="AC385" s="2" t="s">
        <v>100</v>
      </c>
      <c r="AD385" s="4"/>
      <c r="AE385" s="4"/>
      <c r="AF385" s="6">
        <v>64</v>
      </c>
      <c r="AG385" s="6">
        <v>47</v>
      </c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100</v>
      </c>
      <c r="AW385" s="8" t="s">
        <v>100</v>
      </c>
      <c r="AX385" s="4" t="s">
        <v>100</v>
      </c>
      <c r="AY385" s="8" t="s">
        <v>100</v>
      </c>
      <c r="AZ385" s="7" t="s">
        <v>100</v>
      </c>
      <c r="BA385" s="7" t="s">
        <v>100</v>
      </c>
      <c r="BB385" s="7"/>
      <c r="BC385" s="4" t="s">
        <v>100</v>
      </c>
      <c r="BD385" s="8" t="s">
        <v>100</v>
      </c>
      <c r="BE385" s="4" t="s">
        <v>100</v>
      </c>
      <c r="BF385" s="8" t="s">
        <v>100</v>
      </c>
      <c r="BG385" s="7" t="s">
        <v>100</v>
      </c>
      <c r="BH385" s="7" t="s">
        <v>100</v>
      </c>
      <c r="BI385" s="7"/>
      <c r="BJ385" s="4">
        <v>8</v>
      </c>
      <c r="BK385" s="8">
        <v>173.6</v>
      </c>
      <c r="BL385" s="2" t="s">
        <v>1215</v>
      </c>
      <c r="BM385" s="7"/>
      <c r="BN385" s="7"/>
      <c r="BO385" s="4"/>
      <c r="BP385" s="8"/>
      <c r="BQ385" s="4"/>
      <c r="BR385" s="8"/>
      <c r="BS385" s="7"/>
      <c r="BT385" s="7"/>
      <c r="BU385" s="2" t="s">
        <v>109</v>
      </c>
      <c r="BV385" s="2" t="s">
        <v>97</v>
      </c>
      <c r="BW385" s="2" t="s">
        <v>927</v>
      </c>
      <c r="BX385" s="2" t="s">
        <v>100</v>
      </c>
      <c r="BY385" s="2" t="s">
        <v>112</v>
      </c>
      <c r="BZ385" s="2" t="s">
        <v>100</v>
      </c>
    </row>
    <row r="386">
      <c r="A386" s="2" t="s">
        <v>1413</v>
      </c>
      <c r="B386" s="2" t="s">
        <v>87</v>
      </c>
      <c r="C386" s="2" t="s">
        <v>785</v>
      </c>
      <c r="D386" s="2" t="s">
        <v>1394</v>
      </c>
      <c r="E386" s="2" t="s">
        <v>1395</v>
      </c>
      <c r="F386" s="2" t="s">
        <v>787</v>
      </c>
      <c r="G386" s="2" t="s">
        <v>788</v>
      </c>
      <c r="H386" s="2" t="s">
        <v>789</v>
      </c>
      <c r="I386" s="2" t="s">
        <v>1396</v>
      </c>
      <c r="J386" s="2" t="s">
        <v>558</v>
      </c>
      <c r="K386" s="2" t="s">
        <v>623</v>
      </c>
      <c r="L386" s="3">
        <v>26.19</v>
      </c>
      <c r="M386" s="3">
        <v>27.5</v>
      </c>
      <c r="N386" s="3">
        <v>54.99</v>
      </c>
      <c r="O386" s="2" t="s">
        <v>97</v>
      </c>
      <c r="P386" s="2" t="s">
        <v>483</v>
      </c>
      <c r="Q386" s="2" t="s">
        <v>99</v>
      </c>
      <c r="R386" s="2" t="s">
        <v>100</v>
      </c>
      <c r="S386" s="2" t="s">
        <v>1412</v>
      </c>
      <c r="T386" s="2" t="s">
        <v>793</v>
      </c>
      <c r="U386" s="2" t="s">
        <v>432</v>
      </c>
      <c r="V386" s="2" t="s">
        <v>427</v>
      </c>
      <c r="W386" s="2" t="s">
        <v>428</v>
      </c>
      <c r="X386" s="2" t="s">
        <v>636</v>
      </c>
      <c r="Y386" s="2" t="s">
        <v>1398</v>
      </c>
      <c r="Z386" s="4">
        <v>760</v>
      </c>
      <c r="AA386" s="4">
        <f>=ROUNDDOWN(135.714285714286,0)</f>
      </c>
      <c r="AB386" s="5">
        <v>5.6</v>
      </c>
      <c r="AC386" s="2" t="s">
        <v>100</v>
      </c>
      <c r="AD386" s="4"/>
      <c r="AE386" s="4"/>
      <c r="AF386" s="6">
        <v>64</v>
      </c>
      <c r="AG386" s="6">
        <v>47</v>
      </c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100</v>
      </c>
      <c r="AW386" s="8" t="s">
        <v>100</v>
      </c>
      <c r="AX386" s="4" t="s">
        <v>100</v>
      </c>
      <c r="AY386" s="8" t="s">
        <v>100</v>
      </c>
      <c r="AZ386" s="7" t="s">
        <v>100</v>
      </c>
      <c r="BA386" s="7" t="s">
        <v>100</v>
      </c>
      <c r="BB386" s="7"/>
      <c r="BC386" s="4" t="s">
        <v>100</v>
      </c>
      <c r="BD386" s="8" t="s">
        <v>100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/>
      <c r="BJ386" s="4">
        <v>22</v>
      </c>
      <c r="BK386" s="8">
        <v>606.16</v>
      </c>
      <c r="BL386" s="2" t="s">
        <v>1414</v>
      </c>
      <c r="BM386" s="7"/>
      <c r="BN386" s="7"/>
      <c r="BO386" s="4"/>
      <c r="BP386" s="8"/>
      <c r="BQ386" s="4"/>
      <c r="BR386" s="8"/>
      <c r="BS386" s="7"/>
      <c r="BT386" s="7"/>
      <c r="BU386" s="2" t="s">
        <v>109</v>
      </c>
      <c r="BV386" s="2" t="s">
        <v>97</v>
      </c>
      <c r="BW386" s="2" t="s">
        <v>927</v>
      </c>
      <c r="BX386" s="2" t="s">
        <v>100</v>
      </c>
      <c r="BY386" s="2" t="s">
        <v>112</v>
      </c>
      <c r="BZ386" s="2" t="s">
        <v>100</v>
      </c>
    </row>
    <row r="387">
      <c r="A387" s="2" t="s">
        <v>1415</v>
      </c>
      <c r="B387" s="2" t="s">
        <v>87</v>
      </c>
      <c r="C387" s="2" t="s">
        <v>785</v>
      </c>
      <c r="D387" s="2" t="s">
        <v>1394</v>
      </c>
      <c r="E387" s="2" t="s">
        <v>1395</v>
      </c>
      <c r="F387" s="2" t="s">
        <v>787</v>
      </c>
      <c r="G387" s="2" t="s">
        <v>788</v>
      </c>
      <c r="H387" s="2" t="s">
        <v>789</v>
      </c>
      <c r="I387" s="2" t="s">
        <v>1396</v>
      </c>
      <c r="J387" s="2" t="s">
        <v>563</v>
      </c>
      <c r="K387" s="2" t="s">
        <v>623</v>
      </c>
      <c r="L387" s="3">
        <v>28.57</v>
      </c>
      <c r="M387" s="3">
        <v>30</v>
      </c>
      <c r="N387" s="3">
        <v>64.99</v>
      </c>
      <c r="O387" s="2" t="s">
        <v>97</v>
      </c>
      <c r="P387" s="2" t="s">
        <v>483</v>
      </c>
      <c r="Q387" s="2" t="s">
        <v>99</v>
      </c>
      <c r="R387" s="2" t="s">
        <v>100</v>
      </c>
      <c r="S387" s="2" t="s">
        <v>1412</v>
      </c>
      <c r="T387" s="2" t="s">
        <v>793</v>
      </c>
      <c r="U387" s="2" t="s">
        <v>432</v>
      </c>
      <c r="V387" s="2" t="s">
        <v>427</v>
      </c>
      <c r="W387" s="2" t="s">
        <v>428</v>
      </c>
      <c r="X387" s="2" t="s">
        <v>636</v>
      </c>
      <c r="Y387" s="2" t="s">
        <v>1398</v>
      </c>
      <c r="Z387" s="4">
        <v>727</v>
      </c>
      <c r="AA387" s="4">
        <f>=ROUNDDOWN(84.5348837209302,0)</f>
      </c>
      <c r="AB387" s="5">
        <v>8.6</v>
      </c>
      <c r="AC387" s="2" t="s">
        <v>100</v>
      </c>
      <c r="AD387" s="4"/>
      <c r="AE387" s="4"/>
      <c r="AF387" s="6">
        <v>64</v>
      </c>
      <c r="AG387" s="6">
        <v>47</v>
      </c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100</v>
      </c>
      <c r="AW387" s="8" t="s">
        <v>100</v>
      </c>
      <c r="AX387" s="4" t="s">
        <v>100</v>
      </c>
      <c r="AY387" s="8" t="s">
        <v>100</v>
      </c>
      <c r="AZ387" s="7" t="s">
        <v>100</v>
      </c>
      <c r="BA387" s="7" t="s">
        <v>100</v>
      </c>
      <c r="BB387" s="7"/>
      <c r="BC387" s="4" t="s">
        <v>100</v>
      </c>
      <c r="BD387" s="8" t="s">
        <v>100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/>
      <c r="BJ387" s="4">
        <v>26</v>
      </c>
      <c r="BK387" s="8">
        <v>796.87</v>
      </c>
      <c r="BL387" s="2" t="s">
        <v>1250</v>
      </c>
      <c r="BM387" s="7"/>
      <c r="BN387" s="7"/>
      <c r="BO387" s="4"/>
      <c r="BP387" s="8"/>
      <c r="BQ387" s="4"/>
      <c r="BR387" s="8"/>
      <c r="BS387" s="7"/>
      <c r="BT387" s="7"/>
      <c r="BU387" s="2" t="s">
        <v>109</v>
      </c>
      <c r="BV387" s="2" t="s">
        <v>97</v>
      </c>
      <c r="BW387" s="2" t="s">
        <v>927</v>
      </c>
      <c r="BX387" s="2" t="s">
        <v>100</v>
      </c>
      <c r="BY387" s="2" t="s">
        <v>112</v>
      </c>
      <c r="BZ387" s="2" t="s">
        <v>100</v>
      </c>
    </row>
    <row r="388">
      <c r="A388" s="2" t="s">
        <v>1416</v>
      </c>
      <c r="B388" s="2" t="s">
        <v>87</v>
      </c>
      <c r="C388" s="2" t="s">
        <v>785</v>
      </c>
      <c r="D388" s="2" t="s">
        <v>1394</v>
      </c>
      <c r="E388" s="2" t="s">
        <v>1395</v>
      </c>
      <c r="F388" s="2" t="s">
        <v>787</v>
      </c>
      <c r="G388" s="2" t="s">
        <v>788</v>
      </c>
      <c r="H388" s="2" t="s">
        <v>789</v>
      </c>
      <c r="I388" s="2" t="s">
        <v>1396</v>
      </c>
      <c r="J388" s="2" t="s">
        <v>791</v>
      </c>
      <c r="K388" s="2" t="s">
        <v>440</v>
      </c>
      <c r="L388" s="3">
        <v>21.42</v>
      </c>
      <c r="M388" s="3">
        <v>22.49</v>
      </c>
      <c r="N388" s="3">
        <v>44.99</v>
      </c>
      <c r="O388" s="2" t="s">
        <v>97</v>
      </c>
      <c r="P388" s="2" t="s">
        <v>483</v>
      </c>
      <c r="Q388" s="2" t="s">
        <v>99</v>
      </c>
      <c r="R388" s="2" t="s">
        <v>100</v>
      </c>
      <c r="S388" s="2" t="s">
        <v>1417</v>
      </c>
      <c r="T388" s="2" t="s">
        <v>793</v>
      </c>
      <c r="U388" s="2" t="s">
        <v>426</v>
      </c>
      <c r="V388" s="2" t="s">
        <v>427</v>
      </c>
      <c r="W388" s="2" t="s">
        <v>428</v>
      </c>
      <c r="X388" s="2" t="s">
        <v>636</v>
      </c>
      <c r="Y388" s="2" t="s">
        <v>1398</v>
      </c>
      <c r="Z388" s="4">
        <v>343</v>
      </c>
      <c r="AA388" s="4">
        <f>=ROUNDDOWN(190.555555555556,0)</f>
      </c>
      <c r="AB388" s="5">
        <v>1.8</v>
      </c>
      <c r="AC388" s="2" t="s">
        <v>100</v>
      </c>
      <c r="AD388" s="4"/>
      <c r="AE388" s="4"/>
      <c r="AF388" s="6">
        <v>64</v>
      </c>
      <c r="AG388" s="6">
        <v>47</v>
      </c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100</v>
      </c>
      <c r="AW388" s="8" t="s">
        <v>100</v>
      </c>
      <c r="AX388" s="4" t="s">
        <v>100</v>
      </c>
      <c r="AY388" s="8" t="s">
        <v>100</v>
      </c>
      <c r="AZ388" s="7" t="s">
        <v>100</v>
      </c>
      <c r="BA388" s="7" t="s">
        <v>100</v>
      </c>
      <c r="BB388" s="7"/>
      <c r="BC388" s="4" t="s">
        <v>100</v>
      </c>
      <c r="BD388" s="8" t="s">
        <v>100</v>
      </c>
      <c r="BE388" s="4" t="s">
        <v>100</v>
      </c>
      <c r="BF388" s="8" t="s">
        <v>100</v>
      </c>
      <c r="BG388" s="7" t="s">
        <v>100</v>
      </c>
      <c r="BH388" s="7" t="s">
        <v>100</v>
      </c>
      <c r="BI388" s="7"/>
      <c r="BJ388" s="4">
        <v>4</v>
      </c>
      <c r="BK388" s="8">
        <v>92.09</v>
      </c>
      <c r="BL388" s="2" t="s">
        <v>1388</v>
      </c>
      <c r="BM388" s="7"/>
      <c r="BN388" s="7"/>
      <c r="BO388" s="4"/>
      <c r="BP388" s="8"/>
      <c r="BQ388" s="4"/>
      <c r="BR388" s="8"/>
      <c r="BS388" s="7"/>
      <c r="BT388" s="7"/>
      <c r="BU388" s="2" t="s">
        <v>109</v>
      </c>
      <c r="BV388" s="2" t="s">
        <v>97</v>
      </c>
      <c r="BW388" s="2" t="s">
        <v>927</v>
      </c>
      <c r="BX388" s="2" t="s">
        <v>100</v>
      </c>
      <c r="BY388" s="2" t="s">
        <v>112</v>
      </c>
      <c r="BZ388" s="2" t="s">
        <v>100</v>
      </c>
    </row>
    <row r="389">
      <c r="A389" s="2" t="s">
        <v>1418</v>
      </c>
      <c r="B389" s="2" t="s">
        <v>87</v>
      </c>
      <c r="C389" s="2" t="s">
        <v>785</v>
      </c>
      <c r="D389" s="2" t="s">
        <v>1394</v>
      </c>
      <c r="E389" s="2" t="s">
        <v>1395</v>
      </c>
      <c r="F389" s="2" t="s">
        <v>787</v>
      </c>
      <c r="G389" s="2" t="s">
        <v>788</v>
      </c>
      <c r="H389" s="2" t="s">
        <v>789</v>
      </c>
      <c r="I389" s="2" t="s">
        <v>1396</v>
      </c>
      <c r="J389" s="2" t="s">
        <v>558</v>
      </c>
      <c r="K389" s="2" t="s">
        <v>440</v>
      </c>
      <c r="L389" s="3">
        <v>26.19</v>
      </c>
      <c r="M389" s="3">
        <v>27.5</v>
      </c>
      <c r="N389" s="3">
        <v>54.99</v>
      </c>
      <c r="O389" s="2" t="s">
        <v>97</v>
      </c>
      <c r="P389" s="2" t="s">
        <v>483</v>
      </c>
      <c r="Q389" s="2" t="s">
        <v>99</v>
      </c>
      <c r="R389" s="2" t="s">
        <v>100</v>
      </c>
      <c r="S389" s="2" t="s">
        <v>1417</v>
      </c>
      <c r="T389" s="2" t="s">
        <v>793</v>
      </c>
      <c r="U389" s="2" t="s">
        <v>432</v>
      </c>
      <c r="V389" s="2" t="s">
        <v>427</v>
      </c>
      <c r="W389" s="2" t="s">
        <v>428</v>
      </c>
      <c r="X389" s="2" t="s">
        <v>636</v>
      </c>
      <c r="Y389" s="2" t="s">
        <v>1400</v>
      </c>
      <c r="Z389" s="4">
        <v>1379</v>
      </c>
      <c r="AA389" s="4">
        <f>=ROUNDDOWN(530.384615384615,0)</f>
      </c>
      <c r="AB389" s="5">
        <v>2.6</v>
      </c>
      <c r="AC389" s="2" t="s">
        <v>100</v>
      </c>
      <c r="AD389" s="4"/>
      <c r="AE389" s="4"/>
      <c r="AF389" s="6">
        <v>64</v>
      </c>
      <c r="AG389" s="6">
        <v>47</v>
      </c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100</v>
      </c>
      <c r="AW389" s="8" t="s">
        <v>100</v>
      </c>
      <c r="AX389" s="4" t="s">
        <v>100</v>
      </c>
      <c r="AY389" s="8" t="s">
        <v>100</v>
      </c>
      <c r="AZ389" s="7" t="s">
        <v>100</v>
      </c>
      <c r="BA389" s="7" t="s">
        <v>100</v>
      </c>
      <c r="BB389" s="7"/>
      <c r="BC389" s="4" t="s">
        <v>100</v>
      </c>
      <c r="BD389" s="8" t="s">
        <v>100</v>
      </c>
      <c r="BE389" s="4" t="s">
        <v>100</v>
      </c>
      <c r="BF389" s="8" t="s">
        <v>100</v>
      </c>
      <c r="BG389" s="7" t="s">
        <v>100</v>
      </c>
      <c r="BH389" s="7" t="s">
        <v>100</v>
      </c>
      <c r="BI389" s="7"/>
      <c r="BJ389" s="4">
        <v>10</v>
      </c>
      <c r="BK389" s="8">
        <v>274.41</v>
      </c>
      <c r="BL389" s="2" t="s">
        <v>1419</v>
      </c>
      <c r="BM389" s="7"/>
      <c r="BN389" s="7"/>
      <c r="BO389" s="4"/>
      <c r="BP389" s="8"/>
      <c r="BQ389" s="4"/>
      <c r="BR389" s="8"/>
      <c r="BS389" s="7"/>
      <c r="BT389" s="7"/>
      <c r="BU389" s="2" t="s">
        <v>109</v>
      </c>
      <c r="BV389" s="2" t="s">
        <v>97</v>
      </c>
      <c r="BW389" s="2" t="s">
        <v>927</v>
      </c>
      <c r="BX389" s="2" t="s">
        <v>100</v>
      </c>
      <c r="BY389" s="2" t="s">
        <v>112</v>
      </c>
      <c r="BZ389" s="2" t="s">
        <v>100</v>
      </c>
    </row>
    <row r="390">
      <c r="A390" s="2" t="s">
        <v>1420</v>
      </c>
      <c r="B390" s="2" t="s">
        <v>87</v>
      </c>
      <c r="C390" s="2" t="s">
        <v>785</v>
      </c>
      <c r="D390" s="2" t="s">
        <v>1394</v>
      </c>
      <c r="E390" s="2" t="s">
        <v>1395</v>
      </c>
      <c r="F390" s="2" t="s">
        <v>787</v>
      </c>
      <c r="G390" s="2" t="s">
        <v>788</v>
      </c>
      <c r="H390" s="2" t="s">
        <v>789</v>
      </c>
      <c r="I390" s="2" t="s">
        <v>1396</v>
      </c>
      <c r="J390" s="2" t="s">
        <v>563</v>
      </c>
      <c r="K390" s="2" t="s">
        <v>440</v>
      </c>
      <c r="L390" s="3">
        <v>28.57</v>
      </c>
      <c r="M390" s="3">
        <v>30</v>
      </c>
      <c r="N390" s="3">
        <v>64.99</v>
      </c>
      <c r="O390" s="2" t="s">
        <v>97</v>
      </c>
      <c r="P390" s="2" t="s">
        <v>483</v>
      </c>
      <c r="Q390" s="2" t="s">
        <v>99</v>
      </c>
      <c r="R390" s="2" t="s">
        <v>100</v>
      </c>
      <c r="S390" s="2" t="s">
        <v>1417</v>
      </c>
      <c r="T390" s="2" t="s">
        <v>793</v>
      </c>
      <c r="U390" s="2" t="s">
        <v>432</v>
      </c>
      <c r="V390" s="2" t="s">
        <v>427</v>
      </c>
      <c r="W390" s="2" t="s">
        <v>428</v>
      </c>
      <c r="X390" s="2" t="s">
        <v>636</v>
      </c>
      <c r="Y390" s="2" t="s">
        <v>1400</v>
      </c>
      <c r="Z390" s="4">
        <v>1310</v>
      </c>
      <c r="AA390" s="4">
        <f>=ROUNDDOWN(218.333333333333,0)</f>
      </c>
      <c r="AB390" s="5">
        <v>6</v>
      </c>
      <c r="AC390" s="2" t="s">
        <v>100</v>
      </c>
      <c r="AD390" s="4"/>
      <c r="AE390" s="4"/>
      <c r="AF390" s="6">
        <v>64</v>
      </c>
      <c r="AG390" s="6">
        <v>47</v>
      </c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100</v>
      </c>
      <c r="AW390" s="8" t="s">
        <v>100</v>
      </c>
      <c r="AX390" s="4" t="s">
        <v>100</v>
      </c>
      <c r="AY390" s="8" t="s">
        <v>100</v>
      </c>
      <c r="AZ390" s="7" t="s">
        <v>100</v>
      </c>
      <c r="BA390" s="7" t="s">
        <v>100</v>
      </c>
      <c r="BB390" s="7"/>
      <c r="BC390" s="4" t="s">
        <v>100</v>
      </c>
      <c r="BD390" s="8" t="s">
        <v>100</v>
      </c>
      <c r="BE390" s="4" t="s">
        <v>100</v>
      </c>
      <c r="BF390" s="8" t="s">
        <v>100</v>
      </c>
      <c r="BG390" s="7" t="s">
        <v>100</v>
      </c>
      <c r="BH390" s="7" t="s">
        <v>100</v>
      </c>
      <c r="BI390" s="7"/>
      <c r="BJ390" s="4">
        <v>25</v>
      </c>
      <c r="BK390" s="8">
        <v>757.04</v>
      </c>
      <c r="BL390" s="2" t="s">
        <v>1408</v>
      </c>
      <c r="BM390" s="7"/>
      <c r="BN390" s="7"/>
      <c r="BO390" s="4"/>
      <c r="BP390" s="8"/>
      <c r="BQ390" s="4"/>
      <c r="BR390" s="8"/>
      <c r="BS390" s="7"/>
      <c r="BT390" s="7"/>
      <c r="BU390" s="2" t="s">
        <v>109</v>
      </c>
      <c r="BV390" s="2" t="s">
        <v>97</v>
      </c>
      <c r="BW390" s="2" t="s">
        <v>927</v>
      </c>
      <c r="BX390" s="2" t="s">
        <v>100</v>
      </c>
      <c r="BY390" s="2" t="s">
        <v>112</v>
      </c>
      <c r="BZ390" s="2" t="s">
        <v>100</v>
      </c>
    </row>
    <row r="391">
      <c r="A391" s="2" t="s">
        <v>1421</v>
      </c>
      <c r="B391" s="2" t="s">
        <v>87</v>
      </c>
      <c r="C391" s="2" t="s">
        <v>1422</v>
      </c>
      <c r="D391" s="2" t="s">
        <v>89</v>
      </c>
      <c r="E391" s="2" t="s">
        <v>90</v>
      </c>
      <c r="F391" s="2" t="s">
        <v>1423</v>
      </c>
      <c r="G391" s="2" t="s">
        <v>1423</v>
      </c>
      <c r="H391" s="2" t="s">
        <v>1423</v>
      </c>
      <c r="I391" s="2" t="s">
        <v>1424</v>
      </c>
      <c r="J391" s="2" t="s">
        <v>95</v>
      </c>
      <c r="K391" s="2" t="s">
        <v>1425</v>
      </c>
      <c r="L391" s="3">
        <v>170.23</v>
      </c>
      <c r="M391" s="3">
        <v>178.74</v>
      </c>
      <c r="N391" s="3">
        <v>499.99</v>
      </c>
      <c r="O391" s="2" t="s">
        <v>97</v>
      </c>
      <c r="P391" s="2" t="s">
        <v>141</v>
      </c>
      <c r="Q391" s="2" t="s">
        <v>99</v>
      </c>
      <c r="R391" s="2" t="s">
        <v>100</v>
      </c>
      <c r="S391" s="2" t="s">
        <v>100</v>
      </c>
      <c r="T391" s="2" t="s">
        <v>100</v>
      </c>
      <c r="U391" s="2" t="s">
        <v>1426</v>
      </c>
      <c r="V391" s="2" t="s">
        <v>1427</v>
      </c>
      <c r="W391" s="2" t="s">
        <v>291</v>
      </c>
      <c r="X391" s="2" t="s">
        <v>100</v>
      </c>
      <c r="Y391" s="2" t="s">
        <v>1428</v>
      </c>
      <c r="Z391" s="4">
        <v>79</v>
      </c>
      <c r="AA391" s="4">
        <f>=ROUNDDOWN(14.1071428571429,0)</f>
      </c>
      <c r="AB391" s="5">
        <v>5.6</v>
      </c>
      <c r="AC391" s="2" t="s">
        <v>184</v>
      </c>
      <c r="AD391" s="4">
        <v>180</v>
      </c>
      <c r="AE391" s="4">
        <v>180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/>
      <c r="AP391" s="4">
        <v>9</v>
      </c>
      <c r="AQ391" s="8">
        <v>1737.36</v>
      </c>
      <c r="AR391" s="4">
        <v>9</v>
      </c>
      <c r="AS391" s="8">
        <v>1737.36</v>
      </c>
      <c r="AT391" s="7"/>
      <c r="AU391" s="7"/>
      <c r="AV391" s="4">
        <v>19</v>
      </c>
      <c r="AW391" s="8">
        <v>4053.86</v>
      </c>
      <c r="AX391" s="4">
        <v>16</v>
      </c>
      <c r="AY391" s="8">
        <v>3358.91</v>
      </c>
      <c r="AZ391" s="7">
        <v>0.1875</v>
      </c>
      <c r="BA391" s="7">
        <v>0.2069</v>
      </c>
      <c r="BB391" s="7">
        <v>0.4286</v>
      </c>
      <c r="BC391" s="4">
        <v>30</v>
      </c>
      <c r="BD391" s="8">
        <v>6408.96</v>
      </c>
      <c r="BE391" s="4">
        <v>35</v>
      </c>
      <c r="BF391" s="8">
        <v>7451.38</v>
      </c>
      <c r="BG391" s="7">
        <v>-0.1429</v>
      </c>
      <c r="BH391" s="7">
        <v>-0.1399</v>
      </c>
      <c r="BI391" s="7">
        <v>0.6325</v>
      </c>
      <c r="BJ391" s="4">
        <v>39</v>
      </c>
      <c r="BK391" s="8">
        <v>7772.63</v>
      </c>
      <c r="BL391" s="2" t="s">
        <v>1429</v>
      </c>
      <c r="BM391" s="7">
        <v>0.2308</v>
      </c>
      <c r="BN391" s="7">
        <v>0.2235</v>
      </c>
      <c r="BO391" s="4">
        <v>9</v>
      </c>
      <c r="BP391" s="8">
        <v>1737.36</v>
      </c>
      <c r="BQ391" s="4">
        <v>9</v>
      </c>
      <c r="BR391" s="8">
        <v>1737.36</v>
      </c>
      <c r="BS391" s="7"/>
      <c r="BT391" s="7"/>
      <c r="BU391" s="2" t="s">
        <v>109</v>
      </c>
      <c r="BV391" s="2" t="s">
        <v>97</v>
      </c>
      <c r="BW391" s="2" t="s">
        <v>1430</v>
      </c>
      <c r="BX391" s="2" t="s">
        <v>1431</v>
      </c>
      <c r="BY391" s="2" t="s">
        <v>112</v>
      </c>
      <c r="BZ391" s="2" t="s">
        <v>100</v>
      </c>
    </row>
    <row r="392">
      <c r="A392" s="2" t="s">
        <v>1432</v>
      </c>
      <c r="B392" s="2" t="s">
        <v>87</v>
      </c>
      <c r="C392" s="2" t="s">
        <v>1422</v>
      </c>
      <c r="D392" s="2" t="s">
        <v>89</v>
      </c>
      <c r="E392" s="2" t="s">
        <v>90</v>
      </c>
      <c r="F392" s="2" t="s">
        <v>1423</v>
      </c>
      <c r="G392" s="2" t="s">
        <v>1423</v>
      </c>
      <c r="H392" s="2" t="s">
        <v>1423</v>
      </c>
      <c r="I392" s="2" t="s">
        <v>1424</v>
      </c>
      <c r="J392" s="2" t="s">
        <v>114</v>
      </c>
      <c r="K392" s="2" t="s">
        <v>1425</v>
      </c>
      <c r="L392" s="3">
        <v>204.28</v>
      </c>
      <c r="M392" s="3">
        <v>214.49</v>
      </c>
      <c r="N392" s="3">
        <v>599.99</v>
      </c>
      <c r="O392" s="2" t="s">
        <v>97</v>
      </c>
      <c r="P392" s="2" t="s">
        <v>141</v>
      </c>
      <c r="Q392" s="2" t="s">
        <v>99</v>
      </c>
      <c r="R392" s="2" t="s">
        <v>100</v>
      </c>
      <c r="S392" s="2" t="s">
        <v>100</v>
      </c>
      <c r="T392" s="2" t="s">
        <v>100</v>
      </c>
      <c r="U392" s="2" t="s">
        <v>1426</v>
      </c>
      <c r="V392" s="2" t="s">
        <v>1427</v>
      </c>
      <c r="W392" s="2" t="s">
        <v>291</v>
      </c>
      <c r="X392" s="2" t="s">
        <v>100</v>
      </c>
      <c r="Y392" s="2" t="s">
        <v>1428</v>
      </c>
      <c r="Z392" s="4">
        <v>144</v>
      </c>
      <c r="AA392" s="4">
        <f>=ROUNDDOWN(30.6382978723404,0)</f>
      </c>
      <c r="AB392" s="5">
        <v>4.7</v>
      </c>
      <c r="AC392" s="2" t="s">
        <v>184</v>
      </c>
      <c r="AD392" s="4">
        <v>180</v>
      </c>
      <c r="AE392" s="4">
        <v>180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/>
      <c r="AP392" s="4">
        <v>7</v>
      </c>
      <c r="AQ392" s="8">
        <v>1621.55</v>
      </c>
      <c r="AR392" s="4">
        <v>7</v>
      </c>
      <c r="AS392" s="8">
        <v>1621.55</v>
      </c>
      <c r="AT392" s="7"/>
      <c r="AU392" s="7"/>
      <c r="AV392" s="4" t="s">
        <v>100</v>
      </c>
      <c r="AW392" s="8" t="s">
        <v>100</v>
      </c>
      <c r="AX392" s="4" t="s">
        <v>100</v>
      </c>
      <c r="AY392" s="8" t="s">
        <v>100</v>
      </c>
      <c r="AZ392" s="7" t="s">
        <v>100</v>
      </c>
      <c r="BA392" s="7" t="s">
        <v>100</v>
      </c>
      <c r="BB392" s="7">
        <v>0.4</v>
      </c>
      <c r="BC392" s="4" t="s">
        <v>100</v>
      </c>
      <c r="BD392" s="8" t="s">
        <v>100</v>
      </c>
      <c r="BE392" s="4" t="s">
        <v>100</v>
      </c>
      <c r="BF392" s="8" t="s">
        <v>100</v>
      </c>
      <c r="BG392" s="7" t="s">
        <v>100</v>
      </c>
      <c r="BH392" s="7" t="s">
        <v>100</v>
      </c>
      <c r="BI392" s="7" t="s">
        <v>100</v>
      </c>
      <c r="BJ392" s="4">
        <v>24</v>
      </c>
      <c r="BK392" s="8">
        <v>5367.2</v>
      </c>
      <c r="BL392" s="2" t="s">
        <v>1433</v>
      </c>
      <c r="BM392" s="7">
        <v>0.2917</v>
      </c>
      <c r="BN392" s="7">
        <v>0.3021</v>
      </c>
      <c r="BO392" s="4">
        <v>7</v>
      </c>
      <c r="BP392" s="8">
        <v>1621.55</v>
      </c>
      <c r="BQ392" s="4">
        <v>7</v>
      </c>
      <c r="BR392" s="8">
        <v>1621.55</v>
      </c>
      <c r="BS392" s="7"/>
      <c r="BT392" s="7"/>
      <c r="BU392" s="2" t="s">
        <v>109</v>
      </c>
      <c r="BV392" s="2" t="s">
        <v>97</v>
      </c>
      <c r="BW392" s="2" t="s">
        <v>1430</v>
      </c>
      <c r="BX392" s="2" t="s">
        <v>794</v>
      </c>
      <c r="BY392" s="2" t="s">
        <v>112</v>
      </c>
      <c r="BZ392" s="2" t="s">
        <v>100</v>
      </c>
    </row>
    <row r="393">
      <c r="A393" s="2" t="s">
        <v>1434</v>
      </c>
      <c r="B393" s="2" t="s">
        <v>87</v>
      </c>
      <c r="C393" s="2" t="s">
        <v>1422</v>
      </c>
      <c r="D393" s="2" t="s">
        <v>89</v>
      </c>
      <c r="E393" s="2" t="s">
        <v>90</v>
      </c>
      <c r="F393" s="2" t="s">
        <v>1423</v>
      </c>
      <c r="G393" s="2" t="s">
        <v>1423</v>
      </c>
      <c r="H393" s="2" t="s">
        <v>1423</v>
      </c>
      <c r="I393" s="2" t="s">
        <v>1424</v>
      </c>
      <c r="J393" s="2" t="s">
        <v>120</v>
      </c>
      <c r="K393" s="2" t="s">
        <v>1425</v>
      </c>
      <c r="L393" s="3">
        <v>204.28</v>
      </c>
      <c r="M393" s="3">
        <v>214.49</v>
      </c>
      <c r="N393" s="3">
        <v>599.99</v>
      </c>
      <c r="O393" s="2" t="s">
        <v>97</v>
      </c>
      <c r="P393" s="2" t="s">
        <v>141</v>
      </c>
      <c r="Q393" s="2" t="s">
        <v>99</v>
      </c>
      <c r="R393" s="2" t="s">
        <v>100</v>
      </c>
      <c r="S393" s="2" t="s">
        <v>100</v>
      </c>
      <c r="T393" s="2" t="s">
        <v>100</v>
      </c>
      <c r="U393" s="2" t="s">
        <v>1426</v>
      </c>
      <c r="V393" s="2" t="s">
        <v>1427</v>
      </c>
      <c r="W393" s="2" t="s">
        <v>291</v>
      </c>
      <c r="X393" s="2" t="s">
        <v>100</v>
      </c>
      <c r="Y393" s="2" t="s">
        <v>1428</v>
      </c>
      <c r="Z393" s="4">
        <v>41</v>
      </c>
      <c r="AA393" s="4">
        <f>=ROUNDDOWN(17.0833333333333,0)</f>
      </c>
      <c r="AB393" s="5">
        <v>2.4</v>
      </c>
      <c r="AC393" s="2" t="s">
        <v>184</v>
      </c>
      <c r="AD393" s="4">
        <v>15</v>
      </c>
      <c r="AE393" s="4">
        <v>140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/>
      <c r="AP393" s="4">
        <v>3</v>
      </c>
      <c r="AQ393" s="8">
        <v>694.95</v>
      </c>
      <c r="AR393" s="4"/>
      <c r="AS393" s="8"/>
      <c r="AT393" s="7"/>
      <c r="AU393" s="7"/>
      <c r="AV393" s="4" t="s">
        <v>100</v>
      </c>
      <c r="AW393" s="8" t="s">
        <v>100</v>
      </c>
      <c r="AX393" s="4" t="s">
        <v>100</v>
      </c>
      <c r="AY393" s="8" t="s">
        <v>100</v>
      </c>
      <c r="AZ393" s="7" t="s">
        <v>100</v>
      </c>
      <c r="BA393" s="7" t="s">
        <v>100</v>
      </c>
      <c r="BB393" s="7">
        <v>0.1714</v>
      </c>
      <c r="BC393" s="4" t="s">
        <v>100</v>
      </c>
      <c r="BD393" s="8" t="s">
        <v>100</v>
      </c>
      <c r="BE393" s="4" t="s">
        <v>100</v>
      </c>
      <c r="BF393" s="8" t="s">
        <v>100</v>
      </c>
      <c r="BG393" s="7" t="s">
        <v>100</v>
      </c>
      <c r="BH393" s="7" t="s">
        <v>100</v>
      </c>
      <c r="BI393" s="7" t="s">
        <v>100</v>
      </c>
      <c r="BJ393" s="4">
        <v>15</v>
      </c>
      <c r="BK393" s="8">
        <v>3516.03</v>
      </c>
      <c r="BL393" s="2" t="s">
        <v>1435</v>
      </c>
      <c r="BM393" s="7">
        <v>0.2</v>
      </c>
      <c r="BN393" s="7">
        <v>0.1977</v>
      </c>
      <c r="BO393" s="4">
        <v>3</v>
      </c>
      <c r="BP393" s="8">
        <v>694.95</v>
      </c>
      <c r="BQ393" s="4"/>
      <c r="BR393" s="8"/>
      <c r="BS393" s="7"/>
      <c r="BT393" s="7"/>
      <c r="BU393" s="2" t="s">
        <v>109</v>
      </c>
      <c r="BV393" s="2" t="s">
        <v>97</v>
      </c>
      <c r="BW393" s="2" t="s">
        <v>899</v>
      </c>
      <c r="BX393" s="2" t="s">
        <v>1436</v>
      </c>
      <c r="BY393" s="2" t="s">
        <v>112</v>
      </c>
      <c r="BZ393" s="2" t="s">
        <v>100</v>
      </c>
    </row>
    <row r="394">
      <c r="A394" s="2" t="s">
        <v>1437</v>
      </c>
      <c r="B394" s="2" t="s">
        <v>87</v>
      </c>
      <c r="C394" s="2" t="s">
        <v>1422</v>
      </c>
      <c r="D394" s="2" t="s">
        <v>89</v>
      </c>
      <c r="E394" s="2" t="s">
        <v>90</v>
      </c>
      <c r="F394" s="2" t="s">
        <v>1423</v>
      </c>
      <c r="G394" s="2" t="s">
        <v>1423</v>
      </c>
      <c r="H394" s="2" t="s">
        <v>1423</v>
      </c>
      <c r="I394" s="2" t="s">
        <v>1424</v>
      </c>
      <c r="J394" s="2" t="s">
        <v>95</v>
      </c>
      <c r="K394" s="2" t="s">
        <v>895</v>
      </c>
      <c r="L394" s="3">
        <v>170.23</v>
      </c>
      <c r="M394" s="3">
        <v>178.75</v>
      </c>
      <c r="N394" s="3">
        <v>499.99</v>
      </c>
      <c r="O394" s="2" t="s">
        <v>97</v>
      </c>
      <c r="P394" s="2" t="s">
        <v>141</v>
      </c>
      <c r="Q394" s="2" t="s">
        <v>99</v>
      </c>
      <c r="R394" s="2" t="s">
        <v>100</v>
      </c>
      <c r="S394" s="2" t="s">
        <v>100</v>
      </c>
      <c r="T394" s="2" t="s">
        <v>100</v>
      </c>
      <c r="U394" s="2" t="s">
        <v>1426</v>
      </c>
      <c r="V394" s="2" t="s">
        <v>1427</v>
      </c>
      <c r="W394" s="2" t="s">
        <v>291</v>
      </c>
      <c r="X394" s="2" t="s">
        <v>100</v>
      </c>
      <c r="Y394" s="2" t="s">
        <v>1438</v>
      </c>
      <c r="Z394" s="4">
        <v>89</v>
      </c>
      <c r="AA394" s="4">
        <f>=ROUNDDOWN(17.8,0)</f>
      </c>
      <c r="AB394" s="5">
        <v>5</v>
      </c>
      <c r="AC394" s="2" t="s">
        <v>184</v>
      </c>
      <c r="AD394" s="4">
        <v>215</v>
      </c>
      <c r="AE394" s="4">
        <v>215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/>
      <c r="AP394" s="4">
        <v>5</v>
      </c>
      <c r="AQ394" s="8">
        <v>965.2</v>
      </c>
      <c r="AR394" s="4">
        <v>8</v>
      </c>
      <c r="AS394" s="8">
        <v>1544.32</v>
      </c>
      <c r="AT394" s="7">
        <v>-0.375</v>
      </c>
      <c r="AU394" s="7">
        <v>-0.375</v>
      </c>
      <c r="AV394" s="4">
        <v>11</v>
      </c>
      <c r="AW394" s="8">
        <v>2355.1</v>
      </c>
      <c r="AX394" s="4">
        <v>19</v>
      </c>
      <c r="AY394" s="8">
        <v>4092.47</v>
      </c>
      <c r="AZ394" s="7">
        <v>-0.4211</v>
      </c>
      <c r="BA394" s="7">
        <v>-0.4245</v>
      </c>
      <c r="BB394" s="7">
        <v>0.4098</v>
      </c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>
        <v>0.3675</v>
      </c>
      <c r="BJ394" s="4">
        <v>32</v>
      </c>
      <c r="BK394" s="8">
        <v>5954.5</v>
      </c>
      <c r="BL394" s="2" t="s">
        <v>1439</v>
      </c>
      <c r="BM394" s="7">
        <v>0.1562</v>
      </c>
      <c r="BN394" s="7">
        <v>0.1621</v>
      </c>
      <c r="BO394" s="4">
        <v>5</v>
      </c>
      <c r="BP394" s="8">
        <v>965.2</v>
      </c>
      <c r="BQ394" s="4">
        <v>8</v>
      </c>
      <c r="BR394" s="8">
        <v>1544.32</v>
      </c>
      <c r="BS394" s="7">
        <v>-0.375</v>
      </c>
      <c r="BT394" s="7">
        <v>-0.375</v>
      </c>
      <c r="BU394" s="2" t="s">
        <v>109</v>
      </c>
      <c r="BV394" s="2" t="s">
        <v>97</v>
      </c>
      <c r="BW394" s="2" t="s">
        <v>1430</v>
      </c>
      <c r="BX394" s="2" t="s">
        <v>794</v>
      </c>
      <c r="BY394" s="2" t="s">
        <v>112</v>
      </c>
      <c r="BZ394" s="2" t="s">
        <v>100</v>
      </c>
    </row>
    <row r="395">
      <c r="A395" s="2" t="s">
        <v>1440</v>
      </c>
      <c r="B395" s="2" t="s">
        <v>87</v>
      </c>
      <c r="C395" s="2" t="s">
        <v>1422</v>
      </c>
      <c r="D395" s="2" t="s">
        <v>89</v>
      </c>
      <c r="E395" s="2" t="s">
        <v>90</v>
      </c>
      <c r="F395" s="2" t="s">
        <v>1423</v>
      </c>
      <c r="G395" s="2" t="s">
        <v>1423</v>
      </c>
      <c r="H395" s="2" t="s">
        <v>1423</v>
      </c>
      <c r="I395" s="2" t="s">
        <v>1424</v>
      </c>
      <c r="J395" s="2" t="s">
        <v>114</v>
      </c>
      <c r="K395" s="2" t="s">
        <v>895</v>
      </c>
      <c r="L395" s="3">
        <v>204.28</v>
      </c>
      <c r="M395" s="3">
        <v>214.5</v>
      </c>
      <c r="N395" s="3">
        <v>599.99</v>
      </c>
      <c r="O395" s="2" t="s">
        <v>97</v>
      </c>
      <c r="P395" s="2" t="s">
        <v>141</v>
      </c>
      <c r="Q395" s="2" t="s">
        <v>99</v>
      </c>
      <c r="R395" s="2" t="s">
        <v>100</v>
      </c>
      <c r="S395" s="2" t="s">
        <v>100</v>
      </c>
      <c r="T395" s="2" t="s">
        <v>100</v>
      </c>
      <c r="U395" s="2" t="s">
        <v>1426</v>
      </c>
      <c r="V395" s="2" t="s">
        <v>1427</v>
      </c>
      <c r="W395" s="2" t="s">
        <v>291</v>
      </c>
      <c r="X395" s="2" t="s">
        <v>100</v>
      </c>
      <c r="Y395" s="2" t="s">
        <v>1438</v>
      </c>
      <c r="Z395" s="4">
        <v>132</v>
      </c>
      <c r="AA395" s="4">
        <f>=ROUNDDOWN(17.1428571428571,0)</f>
      </c>
      <c r="AB395" s="5">
        <v>7.7</v>
      </c>
      <c r="AC395" s="2" t="s">
        <v>184</v>
      </c>
      <c r="AD395" s="4">
        <v>155</v>
      </c>
      <c r="AE395" s="4">
        <v>155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/>
      <c r="AP395" s="4">
        <v>5</v>
      </c>
      <c r="AQ395" s="8">
        <v>1158.25</v>
      </c>
      <c r="AR395" s="4">
        <v>10</v>
      </c>
      <c r="AS395" s="8">
        <v>2316.5</v>
      </c>
      <c r="AT395" s="7">
        <v>-0.5</v>
      </c>
      <c r="AU395" s="7">
        <v>-0.5</v>
      </c>
      <c r="AV395" s="4" t="s">
        <v>100</v>
      </c>
      <c r="AW395" s="8" t="s">
        <v>100</v>
      </c>
      <c r="AX395" s="4" t="s">
        <v>100</v>
      </c>
      <c r="AY395" s="8" t="s">
        <v>100</v>
      </c>
      <c r="AZ395" s="7" t="s">
        <v>100</v>
      </c>
      <c r="BA395" s="7" t="s">
        <v>100</v>
      </c>
      <c r="BB395" s="7">
        <v>0.4918</v>
      </c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 t="s">
        <v>100</v>
      </c>
      <c r="BJ395" s="4">
        <v>22</v>
      </c>
      <c r="BK395" s="8">
        <v>4963.41</v>
      </c>
      <c r="BL395" s="2" t="s">
        <v>1429</v>
      </c>
      <c r="BM395" s="7">
        <v>0.2273</v>
      </c>
      <c r="BN395" s="7">
        <v>0.2334</v>
      </c>
      <c r="BO395" s="4">
        <v>5</v>
      </c>
      <c r="BP395" s="8">
        <v>1158.25</v>
      </c>
      <c r="BQ395" s="4">
        <v>10</v>
      </c>
      <c r="BR395" s="8">
        <v>2316.5</v>
      </c>
      <c r="BS395" s="7">
        <v>-0.5</v>
      </c>
      <c r="BT395" s="7">
        <v>-0.5</v>
      </c>
      <c r="BU395" s="2" t="s">
        <v>109</v>
      </c>
      <c r="BV395" s="2" t="s">
        <v>97</v>
      </c>
      <c r="BW395" s="2" t="s">
        <v>1430</v>
      </c>
      <c r="BX395" s="2" t="s">
        <v>1441</v>
      </c>
      <c r="BY395" s="2" t="s">
        <v>112</v>
      </c>
      <c r="BZ395" s="2" t="s">
        <v>100</v>
      </c>
    </row>
    <row r="396">
      <c r="A396" s="2" t="s">
        <v>1442</v>
      </c>
      <c r="B396" s="2" t="s">
        <v>87</v>
      </c>
      <c r="C396" s="2" t="s">
        <v>1422</v>
      </c>
      <c r="D396" s="2" t="s">
        <v>89</v>
      </c>
      <c r="E396" s="2" t="s">
        <v>90</v>
      </c>
      <c r="F396" s="2" t="s">
        <v>1423</v>
      </c>
      <c r="G396" s="2" t="s">
        <v>1423</v>
      </c>
      <c r="H396" s="2" t="s">
        <v>1423</v>
      </c>
      <c r="I396" s="2" t="s">
        <v>1424</v>
      </c>
      <c r="J396" s="2" t="s">
        <v>120</v>
      </c>
      <c r="K396" s="2" t="s">
        <v>895</v>
      </c>
      <c r="L396" s="3">
        <v>204.28</v>
      </c>
      <c r="M396" s="3">
        <v>214.5</v>
      </c>
      <c r="N396" s="3">
        <v>599.99</v>
      </c>
      <c r="O396" s="2" t="s">
        <v>97</v>
      </c>
      <c r="P396" s="2" t="s">
        <v>141</v>
      </c>
      <c r="Q396" s="2" t="s">
        <v>99</v>
      </c>
      <c r="R396" s="2" t="s">
        <v>100</v>
      </c>
      <c r="S396" s="2" t="s">
        <v>100</v>
      </c>
      <c r="T396" s="2" t="s">
        <v>100</v>
      </c>
      <c r="U396" s="2" t="s">
        <v>1426</v>
      </c>
      <c r="V396" s="2" t="s">
        <v>1427</v>
      </c>
      <c r="W396" s="2" t="s">
        <v>291</v>
      </c>
      <c r="X396" s="2" t="s">
        <v>100</v>
      </c>
      <c r="Y396" s="2" t="s">
        <v>1438</v>
      </c>
      <c r="Z396" s="4">
        <v>44</v>
      </c>
      <c r="AA396" s="4">
        <f>=ROUNDDOWN(13.75,0)</f>
      </c>
      <c r="AB396" s="5">
        <v>3.2</v>
      </c>
      <c r="AC396" s="2" t="s">
        <v>184</v>
      </c>
      <c r="AD396" s="4">
        <v>130</v>
      </c>
      <c r="AE396" s="4">
        <v>130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/>
      <c r="AP396" s="4">
        <v>1</v>
      </c>
      <c r="AQ396" s="8">
        <v>231.65</v>
      </c>
      <c r="AR396" s="4">
        <v>1</v>
      </c>
      <c r="AS396" s="8">
        <v>231.65</v>
      </c>
      <c r="AT396" s="7"/>
      <c r="AU396" s="7"/>
      <c r="AV396" s="4" t="s">
        <v>100</v>
      </c>
      <c r="AW396" s="8" t="s">
        <v>100</v>
      </c>
      <c r="AX396" s="4" t="s">
        <v>100</v>
      </c>
      <c r="AY396" s="8" t="s">
        <v>100</v>
      </c>
      <c r="AZ396" s="7" t="s">
        <v>100</v>
      </c>
      <c r="BA396" s="7" t="s">
        <v>100</v>
      </c>
      <c r="BB396" s="7">
        <v>0.0984</v>
      </c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 t="s">
        <v>100</v>
      </c>
      <c r="BJ396" s="4">
        <v>13</v>
      </c>
      <c r="BK396" s="8">
        <v>3047.42</v>
      </c>
      <c r="BL396" s="2" t="s">
        <v>1443</v>
      </c>
      <c r="BM396" s="7">
        <v>0.0769</v>
      </c>
      <c r="BN396" s="7">
        <v>0.076</v>
      </c>
      <c r="BO396" s="4">
        <v>1</v>
      </c>
      <c r="BP396" s="8">
        <v>231.65</v>
      </c>
      <c r="BQ396" s="4">
        <v>1</v>
      </c>
      <c r="BR396" s="8">
        <v>231.65</v>
      </c>
      <c r="BS396" s="7"/>
      <c r="BT396" s="7"/>
      <c r="BU396" s="2" t="s">
        <v>109</v>
      </c>
      <c r="BV396" s="2" t="s">
        <v>97</v>
      </c>
      <c r="BW396" s="2" t="s">
        <v>1430</v>
      </c>
      <c r="BX396" s="2" t="s">
        <v>1444</v>
      </c>
      <c r="BY396" s="2" t="s">
        <v>112</v>
      </c>
      <c r="BZ396" s="2" t="s">
        <v>100</v>
      </c>
    </row>
    <row r="397">
      <c r="A397" s="16" t="s">
        <v>1445</v>
      </c>
      <c r="B397" s="9" t="s">
        <v>100</v>
      </c>
      <c r="C397" s="9" t="s">
        <v>100</v>
      </c>
      <c r="D397" s="9" t="s">
        <v>100</v>
      </c>
      <c r="E397" s="9" t="s">
        <v>100</v>
      </c>
      <c r="F397" s="9" t="s">
        <v>100</v>
      </c>
      <c r="G397" s="9" t="s">
        <v>100</v>
      </c>
      <c r="H397" s="9" t="s">
        <v>100</v>
      </c>
      <c r="I397" s="9" t="s">
        <v>100</v>
      </c>
      <c r="J397" s="9" t="s">
        <v>100</v>
      </c>
      <c r="K397" s="9" t="s">
        <v>100</v>
      </c>
      <c r="L397" s="10"/>
      <c r="M397" s="10"/>
      <c r="N397" s="10"/>
      <c r="O397" s="9" t="s">
        <v>100</v>
      </c>
      <c r="P397" s="9" t="s">
        <v>100</v>
      </c>
      <c r="Q397" s="9" t="s">
        <v>100</v>
      </c>
      <c r="R397" s="9" t="s">
        <v>100</v>
      </c>
      <c r="S397" s="9" t="s">
        <v>100</v>
      </c>
      <c r="T397" s="9" t="s">
        <v>100</v>
      </c>
      <c r="U397" s="9" t="s">
        <v>100</v>
      </c>
      <c r="V397" s="9" t="s">
        <v>100</v>
      </c>
      <c r="W397" s="9" t="s">
        <v>100</v>
      </c>
      <c r="X397" s="9" t="s">
        <v>100</v>
      </c>
      <c r="Y397" s="9" t="s">
        <v>100</v>
      </c>
      <c r="Z397" s="11">
        <v>327080</v>
      </c>
      <c r="AA397" s="11">
        <f>=ROUNDDOWN({0},0)</f>
      </c>
      <c r="AB397" s="12">
        <v>10501.2</v>
      </c>
      <c r="AC397" s="9" t="s">
        <v>100</v>
      </c>
      <c r="AD397" s="11"/>
      <c r="AE397" s="11">
        <v>247372</v>
      </c>
      <c r="AF397" s="13"/>
      <c r="AG397" s="13"/>
      <c r="AH397" s="14"/>
      <c r="AI397" s="11"/>
      <c r="AJ397" s="11">
        <f>=ROUNDDOWN({0},0)</f>
      </c>
      <c r="AK397" s="12">
        <v>38.6</v>
      </c>
      <c r="AL397" s="9" t="s">
        <v>100</v>
      </c>
      <c r="AM397" s="11"/>
      <c r="AN397" s="11">
        <v>350</v>
      </c>
      <c r="AO397" s="14"/>
      <c r="AP397" s="11">
        <v>2071</v>
      </c>
      <c r="AQ397" s="15">
        <v>181099.28</v>
      </c>
      <c r="AR397" s="11">
        <v>2398</v>
      </c>
      <c r="AS397" s="15">
        <v>257135.71</v>
      </c>
      <c r="AT397" s="14">
        <v>-0.1364</v>
      </c>
      <c r="AU397" s="14">
        <v>-0.2957</v>
      </c>
      <c r="AV397" s="11">
        <v>2071</v>
      </c>
      <c r="AW397" s="15">
        <v>181099.28</v>
      </c>
      <c r="AX397" s="11">
        <v>2398</v>
      </c>
      <c r="AY397" s="15">
        <v>257135.71</v>
      </c>
      <c r="AZ397" s="14">
        <v>-0.1364</v>
      </c>
      <c r="BA397" s="14">
        <v>-0.2957</v>
      </c>
      <c r="BB397" s="14"/>
      <c r="BC397" s="11">
        <v>2071</v>
      </c>
      <c r="BD397" s="15">
        <v>181099.28</v>
      </c>
      <c r="BE397" s="11">
        <v>2398</v>
      </c>
      <c r="BF397" s="15">
        <v>257135.71</v>
      </c>
      <c r="BG397" s="14">
        <v>-0.1364</v>
      </c>
      <c r="BH397" s="14">
        <v>-0.2957</v>
      </c>
      <c r="BI397" s="14"/>
      <c r="BJ397" s="11"/>
      <c r="BK397" s="15"/>
      <c r="BL397" s="9" t="s">
        <v>100</v>
      </c>
      <c r="BM397" s="14"/>
      <c r="BN397" s="14"/>
      <c r="BO397" s="11">
        <v>2071</v>
      </c>
      <c r="BP397" s="15">
        <v>181099.28</v>
      </c>
      <c r="BQ397" s="11">
        <v>2398</v>
      </c>
      <c r="BR397" s="15">
        <v>257135.71</v>
      </c>
      <c r="BS397" s="14">
        <v>-0.1364</v>
      </c>
      <c r="BT397" s="14">
        <v>-0.2957</v>
      </c>
      <c r="BU397" s="9" t="s">
        <v>100</v>
      </c>
      <c r="BV397" s="9" t="s">
        <v>100</v>
      </c>
      <c r="BW397" s="9" t="s">
        <v>100</v>
      </c>
      <c r="BX397" s="9" t="s">
        <v>100</v>
      </c>
      <c r="BY397" s="9" t="s">
        <v>100</v>
      </c>
      <c r="BZ397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4"/>
    <mergeCell ref="BD6:BD14"/>
    <mergeCell ref="BE6:BE14"/>
    <mergeCell ref="BF6:BF14"/>
    <mergeCell ref="BG6:BG14"/>
    <mergeCell ref="BH6:BH14"/>
    <mergeCell ref="BC15:BC35"/>
    <mergeCell ref="BD15:BD35"/>
    <mergeCell ref="BE15:BE35"/>
    <mergeCell ref="BF15:BF35"/>
    <mergeCell ref="BG15:BG35"/>
    <mergeCell ref="BH15:BH35"/>
    <mergeCell ref="BC36:BC44"/>
    <mergeCell ref="BD36:BD44"/>
    <mergeCell ref="BE36:BE44"/>
    <mergeCell ref="BF36:BF44"/>
    <mergeCell ref="BG36:BG44"/>
    <mergeCell ref="BH36:BH44"/>
    <mergeCell ref="BC45:BC56"/>
    <mergeCell ref="BD45:BD56"/>
    <mergeCell ref="BE45:BE56"/>
    <mergeCell ref="BF45:BF56"/>
    <mergeCell ref="BG45:BG56"/>
    <mergeCell ref="BH45:BH56"/>
    <mergeCell ref="BC57:BC65"/>
    <mergeCell ref="BD57:BD65"/>
    <mergeCell ref="BE57:BE65"/>
    <mergeCell ref="BF57:BF65"/>
    <mergeCell ref="BG57:BG65"/>
    <mergeCell ref="BH57:BH65"/>
    <mergeCell ref="BC66:BC74"/>
    <mergeCell ref="BD66:BD74"/>
    <mergeCell ref="BE66:BE74"/>
    <mergeCell ref="BF66:BF74"/>
    <mergeCell ref="BG66:BG74"/>
    <mergeCell ref="BH66:BH74"/>
    <mergeCell ref="BC75:BC109"/>
    <mergeCell ref="BD75:BD109"/>
    <mergeCell ref="BE75:BE109"/>
    <mergeCell ref="BF75:BF109"/>
    <mergeCell ref="BG75:BG109"/>
    <mergeCell ref="BH75:BH109"/>
    <mergeCell ref="BC110:BC113"/>
    <mergeCell ref="BD110:BD113"/>
    <mergeCell ref="BE110:BE113"/>
    <mergeCell ref="BF110:BF113"/>
    <mergeCell ref="BG110:BG113"/>
    <mergeCell ref="BH110:BH113"/>
    <mergeCell ref="BC114:BC119"/>
    <mergeCell ref="BD114:BD119"/>
    <mergeCell ref="BE114:BE119"/>
    <mergeCell ref="BF114:BF119"/>
    <mergeCell ref="BG114:BG119"/>
    <mergeCell ref="BH114:BH119"/>
    <mergeCell ref="BC120:BC123"/>
    <mergeCell ref="BD120:BD123"/>
    <mergeCell ref="BE120:BE123"/>
    <mergeCell ref="BF120:BF123"/>
    <mergeCell ref="BG120:BG123"/>
    <mergeCell ref="BH120:BH123"/>
    <mergeCell ref="BC124:BC125"/>
    <mergeCell ref="BD124:BD125"/>
    <mergeCell ref="BE124:BE125"/>
    <mergeCell ref="BF124:BF125"/>
    <mergeCell ref="BG124:BG125"/>
    <mergeCell ref="BH124:BH125"/>
    <mergeCell ref="BC126:BC143"/>
    <mergeCell ref="BD126:BD143"/>
    <mergeCell ref="BE126:BE143"/>
    <mergeCell ref="BF126:BF143"/>
    <mergeCell ref="BG126:BG143"/>
    <mergeCell ref="BH126:BH143"/>
    <mergeCell ref="BC144:BC158"/>
    <mergeCell ref="BD144:BD158"/>
    <mergeCell ref="BE144:BE158"/>
    <mergeCell ref="BF144:BF158"/>
    <mergeCell ref="BG144:BG158"/>
    <mergeCell ref="BH144:BH158"/>
    <mergeCell ref="BC159:BC170"/>
    <mergeCell ref="BD159:BD170"/>
    <mergeCell ref="BE159:BE170"/>
    <mergeCell ref="BF159:BF170"/>
    <mergeCell ref="BG159:BG170"/>
    <mergeCell ref="BH159:BH170"/>
    <mergeCell ref="BC171:BC235"/>
    <mergeCell ref="BD171:BD235"/>
    <mergeCell ref="BE171:BE235"/>
    <mergeCell ref="BF171:BF235"/>
    <mergeCell ref="BG171:BG235"/>
    <mergeCell ref="BH171:BH235"/>
    <mergeCell ref="BC236:BC253"/>
    <mergeCell ref="BD236:BD253"/>
    <mergeCell ref="BE236:BE253"/>
    <mergeCell ref="BF236:BF253"/>
    <mergeCell ref="BG236:BG253"/>
    <mergeCell ref="BH236:BH253"/>
    <mergeCell ref="BC254:BC265"/>
    <mergeCell ref="BD254:BD265"/>
    <mergeCell ref="BE254:BE265"/>
    <mergeCell ref="BF254:BF265"/>
    <mergeCell ref="BG254:BG265"/>
    <mergeCell ref="BH254:BH265"/>
    <mergeCell ref="BC266:BC280"/>
    <mergeCell ref="BD266:BD280"/>
    <mergeCell ref="BE266:BE280"/>
    <mergeCell ref="BF266:BF280"/>
    <mergeCell ref="BG266:BG280"/>
    <mergeCell ref="BH266:BH280"/>
    <mergeCell ref="BC281:BC286"/>
    <mergeCell ref="BD281:BD286"/>
    <mergeCell ref="BE281:BE286"/>
    <mergeCell ref="BF281:BF286"/>
    <mergeCell ref="BG281:BG286"/>
    <mergeCell ref="BH281:BH286"/>
    <mergeCell ref="BC287:BC295"/>
    <mergeCell ref="BD287:BD295"/>
    <mergeCell ref="BE287:BE295"/>
    <mergeCell ref="BF287:BF295"/>
    <mergeCell ref="BG287:BG295"/>
    <mergeCell ref="BH287:BH295"/>
    <mergeCell ref="BC296:BC301"/>
    <mergeCell ref="BD296:BD301"/>
    <mergeCell ref="BE296:BE301"/>
    <mergeCell ref="BF296:BF301"/>
    <mergeCell ref="BG296:BG301"/>
    <mergeCell ref="BH296:BH301"/>
    <mergeCell ref="BC302:BC313"/>
    <mergeCell ref="BD302:BD313"/>
    <mergeCell ref="BE302:BE313"/>
    <mergeCell ref="BF302:BF313"/>
    <mergeCell ref="BG302:BG313"/>
    <mergeCell ref="BH302:BH313"/>
    <mergeCell ref="BC314:BC378"/>
    <mergeCell ref="BD314:BD378"/>
    <mergeCell ref="BE314:BE378"/>
    <mergeCell ref="BF314:BF378"/>
    <mergeCell ref="BG314:BG378"/>
    <mergeCell ref="BH314:BH378"/>
    <mergeCell ref="BC379:BC390"/>
    <mergeCell ref="BD379:BD390"/>
    <mergeCell ref="BE379:BE390"/>
    <mergeCell ref="BF379:BF390"/>
    <mergeCell ref="BG379:BG390"/>
    <mergeCell ref="BH379:BH390"/>
    <mergeCell ref="BC391:BC396"/>
    <mergeCell ref="BD391:BD396"/>
    <mergeCell ref="BE391:BE396"/>
    <mergeCell ref="BF391:BF396"/>
    <mergeCell ref="BG391:BG396"/>
    <mergeCell ref="BH391:BH39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8"/>
    <mergeCell ref="AW15:AW18"/>
    <mergeCell ref="AX15:AX18"/>
    <mergeCell ref="AY15:AY18"/>
    <mergeCell ref="AZ15:AZ18"/>
    <mergeCell ref="BA15:BA18"/>
    <mergeCell ref="BI15:BI18"/>
    <mergeCell ref="AV19:AV21"/>
    <mergeCell ref="AW19:AW21"/>
    <mergeCell ref="AX19:AX21"/>
    <mergeCell ref="AY19:AY21"/>
    <mergeCell ref="AZ19:AZ21"/>
    <mergeCell ref="BA19:BA21"/>
    <mergeCell ref="BI19:BI21"/>
    <mergeCell ref="AV22:AV25"/>
    <mergeCell ref="AW22:AW25"/>
    <mergeCell ref="AX22:AX25"/>
    <mergeCell ref="AY22:AY25"/>
    <mergeCell ref="AZ22:AZ25"/>
    <mergeCell ref="BA22:BA25"/>
    <mergeCell ref="BI22:BI25"/>
    <mergeCell ref="AV26:AV29"/>
    <mergeCell ref="AW26:AW29"/>
    <mergeCell ref="AX26:AX29"/>
    <mergeCell ref="AY26:AY29"/>
    <mergeCell ref="AZ26:AZ29"/>
    <mergeCell ref="BA26:BA29"/>
    <mergeCell ref="BI26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8"/>
    <mergeCell ref="AW75:AW78"/>
    <mergeCell ref="AX75:AX78"/>
    <mergeCell ref="AY75:AY78"/>
    <mergeCell ref="AZ75:AZ78"/>
    <mergeCell ref="BA75:BA78"/>
    <mergeCell ref="BI75:BI78"/>
    <mergeCell ref="AV79:AV82"/>
    <mergeCell ref="AW79:AW82"/>
    <mergeCell ref="AX79:AX82"/>
    <mergeCell ref="AY79:AY82"/>
    <mergeCell ref="AZ79:AZ82"/>
    <mergeCell ref="BA79:BA82"/>
    <mergeCell ref="BI79:BI82"/>
    <mergeCell ref="AV83:AV84"/>
    <mergeCell ref="AW83:AW84"/>
    <mergeCell ref="AX83:AX84"/>
    <mergeCell ref="AY83:AY84"/>
    <mergeCell ref="AZ83:AZ84"/>
    <mergeCell ref="BA83:BA84"/>
    <mergeCell ref="BI83:BI84"/>
    <mergeCell ref="AV85:AV88"/>
    <mergeCell ref="AW85:AW88"/>
    <mergeCell ref="AX85:AX88"/>
    <mergeCell ref="AY85:AY88"/>
    <mergeCell ref="AZ85:AZ88"/>
    <mergeCell ref="BA85:BA88"/>
    <mergeCell ref="BI85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6"/>
    <mergeCell ref="AW93:AW96"/>
    <mergeCell ref="AX93:AX96"/>
    <mergeCell ref="AY93:AY96"/>
    <mergeCell ref="AZ93:AZ96"/>
    <mergeCell ref="BA93:BA96"/>
    <mergeCell ref="BI93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8"/>
    <mergeCell ref="AW126:AW128"/>
    <mergeCell ref="AX126:AX128"/>
    <mergeCell ref="AY126:AY128"/>
    <mergeCell ref="AZ126:AZ128"/>
    <mergeCell ref="BA126:BA128"/>
    <mergeCell ref="BI126:BI128"/>
    <mergeCell ref="AV129:AV131"/>
    <mergeCell ref="AW129:AW131"/>
    <mergeCell ref="AX129:AX131"/>
    <mergeCell ref="AY129:AY131"/>
    <mergeCell ref="AZ129:AZ131"/>
    <mergeCell ref="BA129:BA131"/>
    <mergeCell ref="BI129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7"/>
    <mergeCell ref="AW165:AW167"/>
    <mergeCell ref="AX165:AX167"/>
    <mergeCell ref="AY165:AY167"/>
    <mergeCell ref="AZ165:AZ167"/>
    <mergeCell ref="BA165:BA167"/>
    <mergeCell ref="BI165:BI167"/>
    <mergeCell ref="AV168:AV170"/>
    <mergeCell ref="AW168:AW170"/>
    <mergeCell ref="AX168:AX170"/>
    <mergeCell ref="AY168:AY170"/>
    <mergeCell ref="AZ168:AZ170"/>
    <mergeCell ref="BA168:BA170"/>
    <mergeCell ref="BI168:BI170"/>
    <mergeCell ref="AV171:AV175"/>
    <mergeCell ref="AW171:AW175"/>
    <mergeCell ref="AX171:AX175"/>
    <mergeCell ref="AY171:AY175"/>
    <mergeCell ref="AZ171:AZ175"/>
    <mergeCell ref="BA171:BA175"/>
    <mergeCell ref="BI171:BI175"/>
    <mergeCell ref="AV176:AV180"/>
    <mergeCell ref="AW176:AW180"/>
    <mergeCell ref="AX176:AX180"/>
    <mergeCell ref="AY176:AY180"/>
    <mergeCell ref="AZ176:AZ180"/>
    <mergeCell ref="BA176:BA180"/>
    <mergeCell ref="BI176:BI180"/>
    <mergeCell ref="AV181:AV185"/>
    <mergeCell ref="AW181:AW185"/>
    <mergeCell ref="AX181:AX185"/>
    <mergeCell ref="AY181:AY185"/>
    <mergeCell ref="AZ181:AZ185"/>
    <mergeCell ref="BA181:BA185"/>
    <mergeCell ref="BI181:BI185"/>
    <mergeCell ref="AV186:AV190"/>
    <mergeCell ref="AW186:AW190"/>
    <mergeCell ref="AX186:AX190"/>
    <mergeCell ref="AY186:AY190"/>
    <mergeCell ref="AZ186:AZ190"/>
    <mergeCell ref="BA186:BA190"/>
    <mergeCell ref="BI186:BI190"/>
    <mergeCell ref="AV191:AV195"/>
    <mergeCell ref="AW191:AW195"/>
    <mergeCell ref="AX191:AX195"/>
    <mergeCell ref="AY191:AY195"/>
    <mergeCell ref="AZ191:AZ195"/>
    <mergeCell ref="BA191:BA195"/>
    <mergeCell ref="BI191:BI195"/>
    <mergeCell ref="AV196:AV200"/>
    <mergeCell ref="AW196:AW200"/>
    <mergeCell ref="AX196:AX200"/>
    <mergeCell ref="AY196:AY200"/>
    <mergeCell ref="AZ196:AZ200"/>
    <mergeCell ref="BA196:BA200"/>
    <mergeCell ref="BI196:BI200"/>
    <mergeCell ref="AV201:AV205"/>
    <mergeCell ref="AW201:AW205"/>
    <mergeCell ref="AX201:AX205"/>
    <mergeCell ref="AY201:AY205"/>
    <mergeCell ref="AZ201:AZ205"/>
    <mergeCell ref="BA201:BA205"/>
    <mergeCell ref="BI201:BI205"/>
    <mergeCell ref="AV206:AV210"/>
    <mergeCell ref="AW206:AW210"/>
    <mergeCell ref="AX206:AX210"/>
    <mergeCell ref="AY206:AY210"/>
    <mergeCell ref="AZ206:AZ210"/>
    <mergeCell ref="BA206:BA210"/>
    <mergeCell ref="BI206:BI210"/>
    <mergeCell ref="AV211:AV215"/>
    <mergeCell ref="AW211:AW215"/>
    <mergeCell ref="AX211:AX215"/>
    <mergeCell ref="AY211:AY215"/>
    <mergeCell ref="AZ211:AZ215"/>
    <mergeCell ref="BA211:BA215"/>
    <mergeCell ref="BI211:BI215"/>
    <mergeCell ref="AV216:AV220"/>
    <mergeCell ref="AW216:AW220"/>
    <mergeCell ref="AX216:AX220"/>
    <mergeCell ref="AY216:AY220"/>
    <mergeCell ref="AZ216:AZ220"/>
    <mergeCell ref="BA216:BA220"/>
    <mergeCell ref="BI216:BI220"/>
    <mergeCell ref="AV221:AV225"/>
    <mergeCell ref="AW221:AW225"/>
    <mergeCell ref="AX221:AX225"/>
    <mergeCell ref="AY221:AY225"/>
    <mergeCell ref="AZ221:AZ225"/>
    <mergeCell ref="BA221:BA225"/>
    <mergeCell ref="BI221:BI225"/>
    <mergeCell ref="AV226:AV230"/>
    <mergeCell ref="AW226:AW230"/>
    <mergeCell ref="AX226:AX230"/>
    <mergeCell ref="AY226:AY230"/>
    <mergeCell ref="AZ226:AZ230"/>
    <mergeCell ref="BA226:BA230"/>
    <mergeCell ref="BI226:BI230"/>
    <mergeCell ref="AV231:AV235"/>
    <mergeCell ref="AW231:AW235"/>
    <mergeCell ref="AX231:AX235"/>
    <mergeCell ref="AY231:AY235"/>
    <mergeCell ref="AZ231:AZ235"/>
    <mergeCell ref="BA231:BA235"/>
    <mergeCell ref="BI231:BI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1"/>
    <mergeCell ref="AW239:AW241"/>
    <mergeCell ref="AX239:AX241"/>
    <mergeCell ref="AY239:AY241"/>
    <mergeCell ref="AZ239:AZ241"/>
    <mergeCell ref="BA239:BA241"/>
    <mergeCell ref="BI239:BI241"/>
    <mergeCell ref="AV242:AV244"/>
    <mergeCell ref="AW242:AW244"/>
    <mergeCell ref="AX242:AX244"/>
    <mergeCell ref="AY242:AY244"/>
    <mergeCell ref="AZ242:AZ244"/>
    <mergeCell ref="BA242:BA244"/>
    <mergeCell ref="BI242:BI244"/>
    <mergeCell ref="AV245:AV247"/>
    <mergeCell ref="AW245:AW247"/>
    <mergeCell ref="AX245:AX247"/>
    <mergeCell ref="AY245:AY247"/>
    <mergeCell ref="AZ245:AZ247"/>
    <mergeCell ref="BA245:BA247"/>
    <mergeCell ref="BI245:BI247"/>
    <mergeCell ref="AV248:AV250"/>
    <mergeCell ref="AW248:AW250"/>
    <mergeCell ref="AX248:AX250"/>
    <mergeCell ref="AY248:AY250"/>
    <mergeCell ref="AZ248:AZ250"/>
    <mergeCell ref="BA248:BA250"/>
    <mergeCell ref="BI248:BI250"/>
    <mergeCell ref="AV251:AV253"/>
    <mergeCell ref="AW251:AW253"/>
    <mergeCell ref="AX251:AX253"/>
    <mergeCell ref="AY251:AY253"/>
    <mergeCell ref="AZ251:AZ253"/>
    <mergeCell ref="BA251:BA253"/>
    <mergeCell ref="BI251:BI253"/>
    <mergeCell ref="AV254:AV256"/>
    <mergeCell ref="AW254:AW256"/>
    <mergeCell ref="AX254:AX256"/>
    <mergeCell ref="AY254:AY256"/>
    <mergeCell ref="AZ254:AZ256"/>
    <mergeCell ref="BA254:BA256"/>
    <mergeCell ref="BI254:BI256"/>
    <mergeCell ref="AV257:AV259"/>
    <mergeCell ref="AW257:AW259"/>
    <mergeCell ref="AX257:AX259"/>
    <mergeCell ref="AY257:AY259"/>
    <mergeCell ref="AZ257:AZ259"/>
    <mergeCell ref="BA257:BA259"/>
    <mergeCell ref="BI257:BI259"/>
    <mergeCell ref="AV260:AV262"/>
    <mergeCell ref="AW260:AW262"/>
    <mergeCell ref="AX260:AX262"/>
    <mergeCell ref="AY260:AY262"/>
    <mergeCell ref="AZ260:AZ262"/>
    <mergeCell ref="BA260:BA262"/>
    <mergeCell ref="BI260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8"/>
    <mergeCell ref="AW266:AW268"/>
    <mergeCell ref="AX266:AX268"/>
    <mergeCell ref="AY266:AY268"/>
    <mergeCell ref="AZ266:AZ268"/>
    <mergeCell ref="BA266:BA268"/>
    <mergeCell ref="BI266:BI268"/>
    <mergeCell ref="AV269:AV271"/>
    <mergeCell ref="AW269:AW271"/>
    <mergeCell ref="AX269:AX271"/>
    <mergeCell ref="AY269:AY271"/>
    <mergeCell ref="AZ269:AZ271"/>
    <mergeCell ref="BA269:BA271"/>
    <mergeCell ref="BI269:BI271"/>
    <mergeCell ref="AV272:AV274"/>
    <mergeCell ref="AW272:AW274"/>
    <mergeCell ref="AX272:AX274"/>
    <mergeCell ref="AY272:AY274"/>
    <mergeCell ref="AZ272:AZ274"/>
    <mergeCell ref="BA272:BA274"/>
    <mergeCell ref="BI272:BI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80"/>
    <mergeCell ref="AW278:AW280"/>
    <mergeCell ref="AX278:AX280"/>
    <mergeCell ref="AY278:AY280"/>
    <mergeCell ref="AZ278:AZ280"/>
    <mergeCell ref="BA278:BA280"/>
    <mergeCell ref="BI278:BI280"/>
    <mergeCell ref="AV281:AV283"/>
    <mergeCell ref="AW281:AW283"/>
    <mergeCell ref="AX281:AX283"/>
    <mergeCell ref="AY281:AY283"/>
    <mergeCell ref="AZ281:AZ283"/>
    <mergeCell ref="BA281:BA283"/>
    <mergeCell ref="BI281:BI283"/>
    <mergeCell ref="AV284:AV286"/>
    <mergeCell ref="AW284:AW286"/>
    <mergeCell ref="AX284:AX286"/>
    <mergeCell ref="AY284:AY286"/>
    <mergeCell ref="AZ284:AZ286"/>
    <mergeCell ref="BA284:BA286"/>
    <mergeCell ref="BI284:BI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2"/>
    <mergeCell ref="AW290:AW292"/>
    <mergeCell ref="AX290:AX292"/>
    <mergeCell ref="AY290:AY292"/>
    <mergeCell ref="AZ290:AZ292"/>
    <mergeCell ref="BA290:BA292"/>
    <mergeCell ref="BI290:BI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8"/>
    <mergeCell ref="AW296:AW298"/>
    <mergeCell ref="AX296:AX298"/>
    <mergeCell ref="AY296:AY298"/>
    <mergeCell ref="AZ296:AZ298"/>
    <mergeCell ref="BA296:BA298"/>
    <mergeCell ref="BI296:BI298"/>
    <mergeCell ref="AV299:AV301"/>
    <mergeCell ref="AW299:AW301"/>
    <mergeCell ref="AX299:AX301"/>
    <mergeCell ref="AY299:AY301"/>
    <mergeCell ref="AZ299:AZ301"/>
    <mergeCell ref="BA299:BA301"/>
    <mergeCell ref="BI299:BI301"/>
    <mergeCell ref="AV302:AV304"/>
    <mergeCell ref="AW302:AW304"/>
    <mergeCell ref="AX302:AX304"/>
    <mergeCell ref="AY302:AY304"/>
    <mergeCell ref="AZ302:AZ304"/>
    <mergeCell ref="BA302:BA304"/>
    <mergeCell ref="BI302:BI304"/>
    <mergeCell ref="AV305:AV307"/>
    <mergeCell ref="AW305:AW307"/>
    <mergeCell ref="AX305:AX307"/>
    <mergeCell ref="AY305:AY307"/>
    <mergeCell ref="AZ305:AZ307"/>
    <mergeCell ref="BA305:BA307"/>
    <mergeCell ref="BI305:BI307"/>
    <mergeCell ref="AV308:AV310"/>
    <mergeCell ref="AW308:AW310"/>
    <mergeCell ref="AX308:AX310"/>
    <mergeCell ref="AY308:AY310"/>
    <mergeCell ref="AZ308:AZ310"/>
    <mergeCell ref="BA308:BA310"/>
    <mergeCell ref="BI308:BI310"/>
    <mergeCell ref="AV311:AV313"/>
    <mergeCell ref="AW311:AW313"/>
    <mergeCell ref="AX311:AX313"/>
    <mergeCell ref="AY311:AY313"/>
    <mergeCell ref="AZ311:AZ313"/>
    <mergeCell ref="BA311:BA313"/>
    <mergeCell ref="BI311:BI313"/>
    <mergeCell ref="AV314:AV318"/>
    <mergeCell ref="AW314:AW318"/>
    <mergeCell ref="AX314:AX318"/>
    <mergeCell ref="AY314:AY318"/>
    <mergeCell ref="AZ314:AZ318"/>
    <mergeCell ref="BA314:BA318"/>
    <mergeCell ref="BI314:BI318"/>
    <mergeCell ref="AV319:AV323"/>
    <mergeCell ref="AW319:AW323"/>
    <mergeCell ref="AX319:AX323"/>
    <mergeCell ref="AY319:AY323"/>
    <mergeCell ref="AZ319:AZ323"/>
    <mergeCell ref="BA319:BA323"/>
    <mergeCell ref="BI319:BI323"/>
    <mergeCell ref="AV324:AV328"/>
    <mergeCell ref="AW324:AW328"/>
    <mergeCell ref="AX324:AX328"/>
    <mergeCell ref="AY324:AY328"/>
    <mergeCell ref="AZ324:AZ328"/>
    <mergeCell ref="BA324:BA328"/>
    <mergeCell ref="BI324:BI328"/>
    <mergeCell ref="AV329:AV333"/>
    <mergeCell ref="AW329:AW333"/>
    <mergeCell ref="AX329:AX333"/>
    <mergeCell ref="AY329:AY333"/>
    <mergeCell ref="AZ329:AZ333"/>
    <mergeCell ref="BA329:BA333"/>
    <mergeCell ref="BI329:BI333"/>
    <mergeCell ref="AV334:AV338"/>
    <mergeCell ref="AW334:AW338"/>
    <mergeCell ref="AX334:AX338"/>
    <mergeCell ref="AY334:AY338"/>
    <mergeCell ref="AZ334:AZ338"/>
    <mergeCell ref="BA334:BA338"/>
    <mergeCell ref="BI334:BI338"/>
    <mergeCell ref="AV339:AV343"/>
    <mergeCell ref="AW339:AW343"/>
    <mergeCell ref="AX339:AX343"/>
    <mergeCell ref="AY339:AY343"/>
    <mergeCell ref="AZ339:AZ343"/>
    <mergeCell ref="BA339:BA343"/>
    <mergeCell ref="BI339:BI343"/>
    <mergeCell ref="AV344:AV348"/>
    <mergeCell ref="AW344:AW348"/>
    <mergeCell ref="AX344:AX348"/>
    <mergeCell ref="AY344:AY348"/>
    <mergeCell ref="AZ344:AZ348"/>
    <mergeCell ref="BA344:BA348"/>
    <mergeCell ref="BI344:BI348"/>
    <mergeCell ref="AV349:AV353"/>
    <mergeCell ref="AW349:AW353"/>
    <mergeCell ref="AX349:AX353"/>
    <mergeCell ref="AY349:AY353"/>
    <mergeCell ref="AZ349:AZ353"/>
    <mergeCell ref="BA349:BA353"/>
    <mergeCell ref="BI349:BI353"/>
    <mergeCell ref="AV354:AV358"/>
    <mergeCell ref="AW354:AW358"/>
    <mergeCell ref="AX354:AX358"/>
    <mergeCell ref="AY354:AY358"/>
    <mergeCell ref="AZ354:AZ358"/>
    <mergeCell ref="BA354:BA358"/>
    <mergeCell ref="BI354:BI358"/>
    <mergeCell ref="AV359:AV363"/>
    <mergeCell ref="AW359:AW363"/>
    <mergeCell ref="AX359:AX363"/>
    <mergeCell ref="AY359:AY363"/>
    <mergeCell ref="AZ359:AZ363"/>
    <mergeCell ref="BA359:BA363"/>
    <mergeCell ref="BI359:BI363"/>
    <mergeCell ref="AV364:AV368"/>
    <mergeCell ref="AW364:AW368"/>
    <mergeCell ref="AX364:AX368"/>
    <mergeCell ref="AY364:AY368"/>
    <mergeCell ref="AZ364:AZ368"/>
    <mergeCell ref="BA364:BA368"/>
    <mergeCell ref="BI364:BI368"/>
    <mergeCell ref="AV369:AV373"/>
    <mergeCell ref="AW369:AW373"/>
    <mergeCell ref="AX369:AX373"/>
    <mergeCell ref="AY369:AY373"/>
    <mergeCell ref="AZ369:AZ373"/>
    <mergeCell ref="BA369:BA373"/>
    <mergeCell ref="BI369:BI373"/>
    <mergeCell ref="AV374:AV378"/>
    <mergeCell ref="AW374:AW378"/>
    <mergeCell ref="AX374:AX378"/>
    <mergeCell ref="AY374:AY378"/>
    <mergeCell ref="AZ374:AZ378"/>
    <mergeCell ref="BA374:BA378"/>
    <mergeCell ref="BI374:BI378"/>
    <mergeCell ref="AV379:AV381"/>
    <mergeCell ref="AW379:AW381"/>
    <mergeCell ref="AX379:AX381"/>
    <mergeCell ref="AY379:AY381"/>
    <mergeCell ref="AZ379:AZ381"/>
    <mergeCell ref="BA379:BA381"/>
    <mergeCell ref="AV382:AV384"/>
    <mergeCell ref="AW382:AW384"/>
    <mergeCell ref="AX382:AX384"/>
    <mergeCell ref="AY382:AY384"/>
    <mergeCell ref="AZ382:AZ384"/>
    <mergeCell ref="BA382:BA384"/>
    <mergeCell ref="AV385:AV387"/>
    <mergeCell ref="AW385:AW387"/>
    <mergeCell ref="AX385:AX387"/>
    <mergeCell ref="AY385:AY387"/>
    <mergeCell ref="AZ385:AZ387"/>
    <mergeCell ref="BA385:BA387"/>
    <mergeCell ref="AV388:AV390"/>
    <mergeCell ref="AW388:AW390"/>
    <mergeCell ref="AX388:AX390"/>
    <mergeCell ref="AY388:AY390"/>
    <mergeCell ref="AZ388:AZ390"/>
    <mergeCell ref="BA388:BA390"/>
    <mergeCell ref="AV391:AV393"/>
    <mergeCell ref="AW391:AW393"/>
    <mergeCell ref="AX391:AX393"/>
    <mergeCell ref="AY391:AY393"/>
    <mergeCell ref="AZ391:AZ393"/>
    <mergeCell ref="BA391:BA393"/>
    <mergeCell ref="BI391:BI393"/>
    <mergeCell ref="AV394:AV396"/>
    <mergeCell ref="AW394:AW396"/>
    <mergeCell ref="AX394:AX396"/>
    <mergeCell ref="AY394:AY396"/>
    <mergeCell ref="AZ394:AZ396"/>
    <mergeCell ref="BA394:BA396"/>
    <mergeCell ref="BI394:BI39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1446</v>
      </c>
      <c r="D2" s="0" t="s">
        <v>1447</v>
      </c>
      <c r="E2" s="0" t="s">
        <v>1448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1449</v>
      </c>
      <c r="J4" s="1" t="s">
        <v>1450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1451</v>
      </c>
      <c r="P4" s="1" t="s">
        <v>1452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1453</v>
      </c>
      <c r="F5" s="1" t="s">
        <v>1454</v>
      </c>
      <c r="G5" s="1" t="s">
        <v>1453</v>
      </c>
      <c r="H5" s="1" t="s">
        <v>1454</v>
      </c>
      <c r="I5" s="1" t="s">
        <v>1449</v>
      </c>
      <c r="J5" s="1" t="s">
        <v>1450</v>
      </c>
      <c r="K5" s="1" t="s">
        <v>1455</v>
      </c>
      <c r="L5" s="1" t="s">
        <v>1456</v>
      </c>
      <c r="M5" s="1" t="s">
        <v>1455</v>
      </c>
      <c r="N5" s="1" t="s">
        <v>1456</v>
      </c>
      <c r="O5" s="1" t="s">
        <v>1451</v>
      </c>
      <c r="P5" s="1" t="s">
        <v>1452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542</v>
      </c>
      <c r="F6" s="8">
        <v>44039.72</v>
      </c>
      <c r="G6" s="4">
        <v>1112</v>
      </c>
      <c r="H6" s="8">
        <v>91954.44</v>
      </c>
      <c r="I6" s="7">
        <v>-0.5126</v>
      </c>
      <c r="J6" s="7">
        <v>-0.5211</v>
      </c>
      <c r="K6" s="4">
        <v>542</v>
      </c>
      <c r="L6" s="8">
        <v>44039.72</v>
      </c>
      <c r="M6" s="4">
        <v>1112</v>
      </c>
      <c r="N6" s="8">
        <v>91954.44</v>
      </c>
      <c r="O6" s="7">
        <v>-0.5126</v>
      </c>
      <c r="P6" s="7">
        <v>-0.5211</v>
      </c>
    </row>
    <row r="7">
      <c r="A7" s="2" t="s">
        <v>87</v>
      </c>
      <c r="B7" s="2" t="s">
        <v>88</v>
      </c>
      <c r="C7" s="2" t="s">
        <v>417</v>
      </c>
      <c r="D7" s="2" t="s">
        <v>418</v>
      </c>
      <c r="E7" s="4">
        <v>303</v>
      </c>
      <c r="F7" s="8">
        <v>19741.02</v>
      </c>
      <c r="G7" s="4">
        <v>466</v>
      </c>
      <c r="H7" s="8">
        <v>29376.84</v>
      </c>
      <c r="I7" s="7">
        <v>-0.3498</v>
      </c>
      <c r="J7" s="7">
        <v>-0.328</v>
      </c>
      <c r="K7" s="4">
        <v>214</v>
      </c>
      <c r="L7" s="8">
        <v>13660.93</v>
      </c>
      <c r="M7" s="4">
        <v>425</v>
      </c>
      <c r="N7" s="8">
        <v>26503.71</v>
      </c>
      <c r="O7" s="7">
        <v>-0.4965</v>
      </c>
      <c r="P7" s="7">
        <v>-0.4846</v>
      </c>
    </row>
    <row r="8">
      <c r="A8" s="2" t="s">
        <v>87</v>
      </c>
      <c r="B8" s="2" t="s">
        <v>88</v>
      </c>
      <c r="C8" s="2" t="s">
        <v>417</v>
      </c>
      <c r="D8" s="2" t="s">
        <v>556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89</v>
      </c>
      <c r="L8" s="8">
        <v>6080.09</v>
      </c>
      <c r="M8" s="4">
        <v>41</v>
      </c>
      <c r="N8" s="8">
        <v>2873.13</v>
      </c>
      <c r="O8" s="7">
        <v>1.1707</v>
      </c>
      <c r="P8" s="7">
        <v>1.1162</v>
      </c>
    </row>
    <row r="9">
      <c r="A9" s="2" t="s">
        <v>87</v>
      </c>
      <c r="B9" s="2" t="s">
        <v>572</v>
      </c>
      <c r="C9" s="2" t="s">
        <v>89</v>
      </c>
      <c r="D9" s="2" t="s">
        <v>90</v>
      </c>
      <c r="E9" s="4">
        <v>297</v>
      </c>
      <c r="F9" s="8">
        <v>60561.01</v>
      </c>
      <c r="G9" s="4">
        <v>476</v>
      </c>
      <c r="H9" s="8">
        <v>93477.36</v>
      </c>
      <c r="I9" s="7">
        <v>-0.3761</v>
      </c>
      <c r="J9" s="7">
        <v>-0.3521</v>
      </c>
      <c r="K9" s="4">
        <v>297</v>
      </c>
      <c r="L9" s="8">
        <v>60561.01</v>
      </c>
      <c r="M9" s="4">
        <v>476</v>
      </c>
      <c r="N9" s="8">
        <v>93477.36</v>
      </c>
      <c r="O9" s="7">
        <v>-0.3761</v>
      </c>
      <c r="P9" s="7">
        <v>-0.3521</v>
      </c>
    </row>
    <row r="10">
      <c r="A10" s="2" t="s">
        <v>87</v>
      </c>
      <c r="B10" s="2" t="s">
        <v>645</v>
      </c>
      <c r="C10" s="2" t="s">
        <v>89</v>
      </c>
      <c r="D10" s="2" t="s">
        <v>646</v>
      </c>
      <c r="E10" s="4">
        <v>280</v>
      </c>
      <c r="F10" s="8">
        <v>31636.45</v>
      </c>
      <c r="G10" s="4">
        <v>309</v>
      </c>
      <c r="H10" s="8">
        <v>34875.69</v>
      </c>
      <c r="I10" s="7">
        <v>-0.0939</v>
      </c>
      <c r="J10" s="7">
        <v>-0.0929</v>
      </c>
      <c r="K10" s="4">
        <v>280</v>
      </c>
      <c r="L10" s="8">
        <v>31636.45</v>
      </c>
      <c r="M10" s="4">
        <v>309</v>
      </c>
      <c r="N10" s="8">
        <v>34875.69</v>
      </c>
      <c r="O10" s="7">
        <v>-0.0939</v>
      </c>
      <c r="P10" s="7">
        <v>-0.0929</v>
      </c>
    </row>
    <row r="11">
      <c r="A11" s="2" t="s">
        <v>87</v>
      </c>
      <c r="B11" s="2" t="s">
        <v>785</v>
      </c>
      <c r="C11" s="2" t="s">
        <v>89</v>
      </c>
      <c r="D11" s="2" t="s">
        <v>786</v>
      </c>
      <c r="E11" s="4">
        <v>437</v>
      </c>
      <c r="F11" s="8">
        <v>14208.65</v>
      </c>
      <c r="G11" s="4"/>
      <c r="H11" s="8"/>
      <c r="I11" s="7"/>
      <c r="J11" s="7"/>
      <c r="K11" s="4">
        <v>437</v>
      </c>
      <c r="L11" s="8">
        <v>14208.65</v>
      </c>
      <c r="M11" s="4"/>
      <c r="N11" s="8"/>
      <c r="O11" s="7"/>
      <c r="P11" s="7"/>
    </row>
    <row r="12">
      <c r="A12" s="2" t="s">
        <v>87</v>
      </c>
      <c r="B12" s="2" t="s">
        <v>785</v>
      </c>
      <c r="C12" s="2" t="s">
        <v>1255</v>
      </c>
      <c r="D12" s="2" t="s">
        <v>1256</v>
      </c>
      <c r="E12" s="4">
        <v>182</v>
      </c>
      <c r="F12" s="8">
        <v>4503.47</v>
      </c>
      <c r="G12" s="4"/>
      <c r="H12" s="8"/>
      <c r="I12" s="7"/>
      <c r="J12" s="7"/>
      <c r="K12" s="4">
        <v>182</v>
      </c>
      <c r="L12" s="8">
        <v>4503.47</v>
      </c>
      <c r="M12" s="4"/>
      <c r="N12" s="8"/>
      <c r="O12" s="7"/>
      <c r="P12" s="7"/>
    </row>
    <row r="13">
      <c r="A13" s="2" t="s">
        <v>87</v>
      </c>
      <c r="B13" s="2" t="s">
        <v>785</v>
      </c>
      <c r="C13" s="2" t="s">
        <v>1394</v>
      </c>
      <c r="D13" s="2" t="s">
        <v>1395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1422</v>
      </c>
      <c r="C14" s="2" t="s">
        <v>89</v>
      </c>
      <c r="D14" s="2" t="s">
        <v>90</v>
      </c>
      <c r="E14" s="4">
        <v>30</v>
      </c>
      <c r="F14" s="8">
        <v>6408.96</v>
      </c>
      <c r="G14" s="4">
        <v>35</v>
      </c>
      <c r="H14" s="8">
        <v>7451.38</v>
      </c>
      <c r="I14" s="7">
        <v>-0.1429</v>
      </c>
      <c r="J14" s="7">
        <v>-0.1399</v>
      </c>
      <c r="K14" s="4">
        <v>30</v>
      </c>
      <c r="L14" s="8">
        <v>6408.96</v>
      </c>
      <c r="M14" s="4">
        <v>35</v>
      </c>
      <c r="N14" s="8">
        <v>7451.38</v>
      </c>
      <c r="O14" s="7">
        <v>-0.1429</v>
      </c>
      <c r="P14" s="7">
        <v>-0.1399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1446</v>
      </c>
      <c r="D2" s="0" t="s">
        <v>1447</v>
      </c>
      <c r="E2" s="0" t="s">
        <v>1448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1449</v>
      </c>
      <c r="I4" s="1" t="s">
        <v>1450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1451</v>
      </c>
      <c r="O4" s="1" t="s">
        <v>1452</v>
      </c>
    </row>
    <row r="5">
      <c r="A5" s="1" t="s">
        <v>52</v>
      </c>
      <c r="B5" s="1" t="s">
        <v>54</v>
      </c>
      <c r="C5" s="1" t="s">
        <v>55</v>
      </c>
      <c r="D5" s="1" t="s">
        <v>1453</v>
      </c>
      <c r="E5" s="1" t="s">
        <v>1454</v>
      </c>
      <c r="F5" s="1" t="s">
        <v>1453</v>
      </c>
      <c r="G5" s="1" t="s">
        <v>1454</v>
      </c>
      <c r="H5" s="1" t="s">
        <v>1449</v>
      </c>
      <c r="I5" s="1" t="s">
        <v>1450</v>
      </c>
      <c r="J5" s="1" t="s">
        <v>1455</v>
      </c>
      <c r="K5" s="1" t="s">
        <v>1456</v>
      </c>
      <c r="L5" s="1" t="s">
        <v>1455</v>
      </c>
      <c r="M5" s="1" t="s">
        <v>1456</v>
      </c>
      <c r="N5" s="1" t="s">
        <v>1451</v>
      </c>
      <c r="O5" s="1" t="s">
        <v>1452</v>
      </c>
    </row>
    <row r="6">
      <c r="A6" s="2" t="s">
        <v>87</v>
      </c>
      <c r="B6" s="2" t="s">
        <v>89</v>
      </c>
      <c r="C6" s="2" t="s">
        <v>90</v>
      </c>
      <c r="D6" s="4">
        <v>1586</v>
      </c>
      <c r="E6" s="8">
        <v>156854.79</v>
      </c>
      <c r="F6" s="4">
        <v>1932</v>
      </c>
      <c r="G6" s="8">
        <v>227758.87</v>
      </c>
      <c r="H6" s="7">
        <v>-0.1791</v>
      </c>
      <c r="I6" s="7">
        <v>-0.3113</v>
      </c>
      <c r="J6" s="4">
        <v>869</v>
      </c>
      <c r="K6" s="8">
        <v>111009.69</v>
      </c>
      <c r="L6" s="4">
        <v>1623</v>
      </c>
      <c r="M6" s="8">
        <v>192883.18</v>
      </c>
      <c r="N6" s="7">
        <v>-0.4646</v>
      </c>
      <c r="O6" s="7">
        <v>-0.4245</v>
      </c>
    </row>
    <row r="7">
      <c r="A7" s="2" t="s">
        <v>87</v>
      </c>
      <c r="B7" s="2" t="s">
        <v>89</v>
      </c>
      <c r="C7" s="2" t="s">
        <v>646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280</v>
      </c>
      <c r="K7" s="8">
        <v>31636.45</v>
      </c>
      <c r="L7" s="4">
        <v>309</v>
      </c>
      <c r="M7" s="8">
        <v>34875.69</v>
      </c>
      <c r="N7" s="7">
        <v>-0.0939</v>
      </c>
      <c r="O7" s="7">
        <v>-0.0929</v>
      </c>
    </row>
    <row r="8">
      <c r="A8" s="2" t="s">
        <v>87</v>
      </c>
      <c r="B8" s="2" t="s">
        <v>89</v>
      </c>
      <c r="C8" s="2" t="s">
        <v>786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437</v>
      </c>
      <c r="K8" s="8">
        <v>14208.65</v>
      </c>
      <c r="L8" s="4"/>
      <c r="M8" s="8"/>
      <c r="N8" s="7"/>
      <c r="O8" s="7"/>
    </row>
    <row r="9">
      <c r="A9" s="2" t="s">
        <v>87</v>
      </c>
      <c r="B9" s="2" t="s">
        <v>417</v>
      </c>
      <c r="C9" s="2" t="s">
        <v>418</v>
      </c>
      <c r="D9" s="4">
        <v>303</v>
      </c>
      <c r="E9" s="8">
        <v>19741.02</v>
      </c>
      <c r="F9" s="4">
        <v>466</v>
      </c>
      <c r="G9" s="8">
        <v>29376.84</v>
      </c>
      <c r="H9" s="7">
        <v>-0.3498</v>
      </c>
      <c r="I9" s="7">
        <v>-0.328</v>
      </c>
      <c r="J9" s="4">
        <v>214</v>
      </c>
      <c r="K9" s="8">
        <v>13660.93</v>
      </c>
      <c r="L9" s="4">
        <v>425</v>
      </c>
      <c r="M9" s="8">
        <v>26503.71</v>
      </c>
      <c r="N9" s="7">
        <v>-0.4965</v>
      </c>
      <c r="O9" s="7">
        <v>-0.4846</v>
      </c>
    </row>
    <row r="10">
      <c r="A10" s="2" t="s">
        <v>87</v>
      </c>
      <c r="B10" s="2" t="s">
        <v>417</v>
      </c>
      <c r="C10" s="2" t="s">
        <v>556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89</v>
      </c>
      <c r="K10" s="8">
        <v>6080.09</v>
      </c>
      <c r="L10" s="4">
        <v>41</v>
      </c>
      <c r="M10" s="8">
        <v>2873.13</v>
      </c>
      <c r="N10" s="7">
        <v>1.1707</v>
      </c>
      <c r="O10" s="7">
        <v>1.1162</v>
      </c>
    </row>
    <row r="11">
      <c r="A11" s="2" t="s">
        <v>87</v>
      </c>
      <c r="B11" s="2" t="s">
        <v>1255</v>
      </c>
      <c r="C11" s="2" t="s">
        <v>1256</v>
      </c>
      <c r="D11" s="4">
        <v>182</v>
      </c>
      <c r="E11" s="8">
        <v>4503.47</v>
      </c>
      <c r="F11" s="4"/>
      <c r="G11" s="8"/>
      <c r="H11" s="7"/>
      <c r="I11" s="7"/>
      <c r="J11" s="4">
        <v>182</v>
      </c>
      <c r="K11" s="8">
        <v>4503.47</v>
      </c>
      <c r="L11" s="4"/>
      <c r="M11" s="8"/>
      <c r="N11" s="7"/>
      <c r="O11" s="7"/>
    </row>
    <row r="12">
      <c r="A12" s="2" t="s">
        <v>87</v>
      </c>
      <c r="B12" s="2" t="s">
        <v>1394</v>
      </c>
      <c r="C12" s="2" t="s">
        <v>1395</v>
      </c>
      <c r="D12" s="4"/>
      <c r="E12" s="8"/>
      <c r="F12" s="4"/>
      <c r="G12" s="8"/>
      <c r="H12" s="7"/>
      <c r="I12" s="7"/>
      <c r="J12" s="4"/>
      <c r="K12" s="8"/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