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<sst xmlns="http://schemas.openxmlformats.org/spreadsheetml/2006/main" count="6135" uniqueCount="6135">
  <si>
    <t>Date Type:</t>
  </si>
  <si>
    <t>Shipped Date</t>
  </si>
  <si>
    <t>Start Date:</t>
  </si>
  <si>
    <t>08/01/2024</t>
  </si>
  <si>
    <t>End Date:</t>
  </si>
  <si>
    <t>08/31/2024</t>
  </si>
  <si>
    <t>Report Run Date:</t>
  </si>
  <si>
    <t>09/02/2024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</si>
  <si>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</si>
  <si>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</si>
  <si>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</si>
  <si>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</si>
  <si>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</si>
  <si>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</si>
  <si>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</si>
  <si>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</si>
  <si>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OVERSTOCK01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</si>
  <si>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</si>
  <si>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</si>
  <si>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</si>
  <si>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</si>
  <si>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</si>
  <si>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</si>
  <si>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</si>
  <si>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</si>
  <si>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</si>
  <si>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</si>
  <si>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</si>
  <si>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</si>
  <si>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</si>
  <si>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</si>
  <si>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</si>
  <si>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</si>
  <si>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</si>
  <si>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</si>
  <si>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</si>
  <si>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</si>
  <si>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</si>
  <si>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</si>
  <si>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</si>
  <si>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</si>
  <si>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</si>
  <si>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</si>
  <si>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</si>
  <si>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</si>
  <si>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</si>
  <si>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</si>
  <si>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</si>
  <si>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</si>
  <si>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</si>
  <si>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</si>
  <si>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</si>
  <si>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</si>
  <si>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</si>
  <si>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</si>
  <si>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</si>
  <si>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</si>
  <si>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</si>
  <si>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</si>
  <si>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</si>
  <si>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</si>
  <si>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</si>
  <si>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</si>
  <si>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</si>
  <si>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</si>
  <si>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</si>
  <si>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</si>
  <si>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</si>
  <si>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</si>
  <si>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</si>
  <si>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</si>
  <si>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</si>
  <si>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</si>
  <si>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</si>
  <si>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</si>
  <si>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</si>
  <si>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</si>
  <si>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</si>
  <si>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</si>
  <si>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</si>
  <si>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</si>
  <si>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</si>
  <si>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</si>
  <si>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</si>
  <si>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</si>
  <si>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</si>
  <si>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</si>
  <si>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</si>
  <si>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</si>
  <si>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</si>
  <si>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</si>
  <si>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</si>
  <si>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</si>
  <si>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</si>
  <si>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</si>
  <si>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</si>
  <si>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</si>
  <si>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</si>
  <si>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</si>
  <si>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</si>
  <si>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</si>
  <si>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</si>
  <si>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</si>
  <si>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</si>
  <si>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</si>
  <si>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</si>
  <si>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08/09/2024</t>
  </si>
  <si>
    <t>08/11/2024</t>
  </si>
  <si>
    <t>08/12/2024</t>
  </si>
  <si>
    <t>08/14/2024</t>
  </si>
  <si>
    <t>08/15/2024</t>
  </si>
  <si>
    <t>08/16/2024</t>
  </si>
  <si>
    <t>08/19/2024</t>
  </si>
  <si>
    <t>08/20/2024</t>
  </si>
  <si>
    <t>08/21/2024</t>
  </si>
  <si>
    <t>08/22/2024</t>
  </si>
  <si>
    <t>08/23/2024</t>
  </si>
  <si>
    <t>08/26/2024</t>
  </si>
  <si>
    <t>08/28/2024</t>
  </si>
  <si>
    <t>08/29/2024</t>
  </si>
  <si>
    <t>09/01/2024</t>
  </si>
  <si>
    <t>09/05/2024</t>
  </si>
  <si>
    <t>09/06/2024</t>
  </si>
  <si>
    <t>09/08/2024</t>
  </si>
  <si>
    <t>09/09/2024</t>
  </si>
  <si>
    <t>09/10/2024</t>
  </si>
  <si>
    <t>09/12/2024</t>
  </si>
  <si>
    <t>09/13/2024</t>
  </si>
  <si>
    <t>09/15/2024</t>
  </si>
  <si>
    <t>09/16/2024</t>
  </si>
  <si>
    <t>09/17/2024</t>
  </si>
  <si>
    <t>09/20/2024</t>
  </si>
  <si>
    <t>09/22/2024</t>
  </si>
  <si>
    <t>09/23/2024</t>
  </si>
  <si>
    <t>09/24/2024</t>
  </si>
  <si>
    <t>09/25/2024</t>
  </si>
  <si>
    <t>09/26/2024</t>
  </si>
  <si>
    <t>09/27/2024</t>
  </si>
  <si>
    <t>09/28/2024</t>
  </si>
  <si>
    <t>09/29/2024</t>
  </si>
  <si>
    <t>09/30/2024</t>
  </si>
  <si>
    <t>10/02/2024</t>
  </si>
  <si>
    <t>10/03/2024</t>
  </si>
  <si>
    <t>10/04/2024</t>
  </si>
  <si>
    <t>10/05/2024</t>
  </si>
  <si>
    <t>10/06/2024</t>
  </si>
  <si>
    <t>10/07/2024</t>
  </si>
  <si>
    <t>10/08/2024</t>
  </si>
  <si>
    <t>10/09/2024</t>
  </si>
  <si>
    <t>10/10/2024</t>
  </si>
  <si>
    <t>10/11/2024</t>
  </si>
  <si>
    <t>10/12/2024</t>
  </si>
  <si>
    <t>10/13/2024</t>
  </si>
  <si>
    <t>10/14/2024</t>
  </si>
  <si>
    <t>10/15/2024</t>
  </si>
  <si>
    <t>10/16/2024</t>
  </si>
  <si>
    <t>10/17/2024</t>
  </si>
  <si>
    <t>10/18/2024</t>
  </si>
  <si>
    <t>10/19/2024</t>
  </si>
  <si>
    <t>10/20/2024</t>
  </si>
  <si>
    <t>10/21/2024</t>
  </si>
  <si>
    <t>10/22/2024</t>
  </si>
  <si>
    <t>10/23/2024</t>
  </si>
  <si>
    <t>10/24/2024</t>
  </si>
  <si>
    <t>10/25/2024</t>
  </si>
  <si>
    <t>10/26/2024</t>
  </si>
  <si>
    <t>10/27/2024</t>
  </si>
  <si>
    <t>10/28/2024</t>
  </si>
  <si>
    <t>10/29/2024</t>
  </si>
  <si>
    <t>10/30/2024</t>
  </si>
  <si>
    <t>10/31/2024</t>
  </si>
  <si>
    <t>11/01/2024</t>
  </si>
  <si>
    <t>11/02/2024</t>
  </si>
  <si>
    <t>11/03/2024</t>
  </si>
  <si>
    <t>11/04/2024</t>
  </si>
  <si>
    <t>11/06/2024</t>
  </si>
  <si>
    <t>11/07/2024</t>
  </si>
  <si>
    <t>11/08/2024</t>
  </si>
  <si>
    <t>11/09/2024</t>
  </si>
  <si>
    <t>11/10/2024</t>
  </si>
  <si>
    <t>11/11/2024</t>
  </si>
  <si>
    <t>11/12/2024</t>
  </si>
  <si>
    <t>11/13/2024</t>
  </si>
  <si>
    <t>11/15/2024</t>
  </si>
  <si>
    <t>11/17/2024</t>
  </si>
  <si>
    <t>11/18/2024</t>
  </si>
  <si>
    <t>11/19/2024</t>
  </si>
  <si>
    <t>11/20/2024</t>
  </si>
  <si>
    <t>11/22/2024</t>
  </si>
  <si>
    <t>11/23/2024</t>
  </si>
  <si>
    <t>11/24/2024</t>
  </si>
  <si>
    <t>11/25/2024</t>
  </si>
  <si>
    <t>11/27/2024</t>
  </si>
  <si>
    <t>11/28/2024</t>
  </si>
  <si>
    <t>11/29/2024</t>
  </si>
  <si>
    <t>11/30/2024</t>
  </si>
  <si>
    <t>12/01/2024</t>
  </si>
  <si>
    <t>12/02/2024</t>
  </si>
  <si>
    <t>12/03/2024</t>
  </si>
  <si>
    <t>12/04/2024</t>
  </si>
  <si>
    <t>12/05/2024</t>
  </si>
  <si>
    <t>12/07/2024</t>
  </si>
  <si>
    <t>12/08/2024</t>
  </si>
  <si>
    <t>12/11/2024</t>
  </si>
  <si>
    <t>12/12/2024</t>
  </si>
  <si>
    <t>12/13/2024</t>
  </si>
  <si>
    <t>12/14/2024</t>
  </si>
  <si>
    <t>12/15/2024</t>
  </si>
  <si>
    <t>12/16/2024</t>
  </si>
  <si>
    <t>12/18/2024</t>
  </si>
  <si>
    <t>12/21/2024</t>
  </si>
  <si>
    <t>12/25/2024</t>
  </si>
  <si>
    <t>01/01/2025</t>
  </si>
  <si>
    <t>01/08/2025</t>
  </si>
  <si>
    <t>01/15/2025</t>
  </si>
  <si>
    <t>BASI16-0381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</si>
  <si>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</si>
  <si>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</si>
  <si>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</si>
  <si>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</si>
  <si>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</si>
  <si>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</si>
  <si>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</si>
  <si>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</si>
  <si>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</si>
  <si>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</si>
  <si>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</si>
  <si>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</si>
  <si>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</si>
  <si>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</si>
  <si>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</si>
  <si>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</si>
  <si>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</si>
  <si>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AAFESDS,AMAZON,AMAZONDS,BLK01,CSNSTORES,KOHLDSN,MACY02,OLLIIX,TGTDVS,WALMARTDS</t>
  </si>
  <si>
    <t>17764100-000-000</t>
  </si>
  <si>
    <t>Tier 3</t>
  </si>
  <si>
    <t>Setup</t>
  </si>
  <si>
    <t>7/30/2016</t>
  </si>
  <si>
    <t>8/5/2016</t>
  </si>
  <si>
    <t>No</t>
  </si>
  <si>
    <t>BASI16-0416</t>
  </si>
  <si>
    <t>Twin XL</t>
  </si>
  <si>
    <t>AAFESDS,AMAZON,AMAZONDS,JCPENNEY01,KOHLDSN,MACY02,OLLIIX,TGTDVS,WALMARTDS</t>
  </si>
  <si>
    <t>17764100-000-005</t>
  </si>
  <si>
    <t>8/27/2016</t>
  </si>
  <si>
    <t>1/31/2017</t>
  </si>
  <si>
    <t>BASI16-0382</t>
  </si>
  <si>
    <t>Full</t>
  </si>
  <si>
    <t>AMAZON,CSNSTORES,JCPENNEY01,KOHLDSN,MACY02,TGTDVS,WALMARTDS,ZOLA</t>
  </si>
  <si>
    <t>17764100-000-001</t>
  </si>
  <si>
    <t>7/15/2016</t>
  </si>
  <si>
    <t>BASI16-0383</t>
  </si>
  <si>
    <t>Queen</t>
  </si>
  <si>
    <t>AMAZON,AMAZONDS,BLK01,CSNSTORES,HSNDS,JCPENNEY01,KOHLDSN,MACY02,OLLIIX,TGTDVS,WALMARTDS,ZOLA</t>
  </si>
  <si>
    <t>17764100-000-002</t>
  </si>
  <si>
    <t>2/19/2016</t>
  </si>
  <si>
    <t>BASI16-0384</t>
  </si>
  <si>
    <t>King</t>
  </si>
  <si>
    <t>AMAZON,BLK01,JCPENNEY01,KOHLDSN,MACY02,TGTDVS,ZOLA</t>
  </si>
  <si>
    <t>17764100-000-003</t>
  </si>
  <si>
    <t>1/11/2016</t>
  </si>
  <si>
    <t>BASI16-0386</t>
  </si>
  <si>
    <t>2" Gel Memory Foam with 3M Cover</t>
  </si>
  <si>
    <t>Mattress Topper</t>
  </si>
  <si>
    <t>White</t>
  </si>
  <si>
    <t>PF002107</t>
  </si>
  <si>
    <t>KOHLDSN,OLLIIX,TGTDVS</t>
  </si>
  <si>
    <t>17764099-000-000</t>
  </si>
  <si>
    <t>7/3/2017</t>
  </si>
  <si>
    <t>BASI16-0387</t>
  </si>
  <si>
    <t>KOHLDSN,MACY02,OLLIIX,ZOLA</t>
  </si>
  <si>
    <t>17764099-000-001</t>
  </si>
  <si>
    <t>10/9/2017</t>
  </si>
  <si>
    <t>BASI16-0389</t>
  </si>
  <si>
    <t>CSNSTORES,KOHLDSN,MACY02,OLLIIX,TGTDVS,ZOLA</t>
  </si>
  <si>
    <t>17764099-000-003</t>
  </si>
  <si>
    <t>11/21/2016</t>
  </si>
  <si>
    <t>MPE20-1012</t>
  </si>
  <si>
    <t>SHET</t>
  </si>
  <si>
    <t>Madison Park Essentials</t>
  </si>
  <si>
    <t>SHEET/SHEET SET</t>
  </si>
  <si>
    <t>Sheet/Sheet Set</t>
  </si>
  <si>
    <t>200 Thread Count Printed Cotton</t>
  </si>
  <si>
    <t>Sheet Set</t>
  </si>
  <si>
    <t>Blue Stripe</t>
  </si>
  <si>
    <t>PP001858;PF005942</t>
  </si>
  <si>
    <t>Cotton</t>
  </si>
  <si>
    <t>4</t>
  </si>
  <si>
    <t>Stripe</t>
  </si>
  <si>
    <t>3/22/2023</t>
  </si>
  <si>
    <t>AMAZON,CSNSTORES,HDDS,JCPENNEY01,KOHLDSN,MACY02,NRTPORT,TGTDVS</t>
  </si>
  <si>
    <t>42128528-000-005</t>
  </si>
  <si>
    <t>8/17/2023</t>
  </si>
  <si>
    <t>10/24/2023</t>
  </si>
  <si>
    <t>MPE20-1014</t>
  </si>
  <si>
    <t>AMAZON,CSNSTORES,JCPENNEY01,KOHLDSN,MACY02,TGTDVS</t>
  </si>
  <si>
    <t>42128528-000-007</t>
  </si>
  <si>
    <t>1/23/2024</t>
  </si>
  <si>
    <t>MPE20-1006</t>
  </si>
  <si>
    <t>Green Leaves</t>
  </si>
  <si>
    <t>PP001858;PF005940</t>
  </si>
  <si>
    <t>Botanical</t>
  </si>
  <si>
    <t>AMAZON,BLK01,FINGERHUTDS,JCPENNEY01,KOHLDSN,MACY02,TGTDVS</t>
  </si>
  <si>
    <t>42128528-000-003</t>
  </si>
  <si>
    <t>11/18/2023</t>
  </si>
  <si>
    <t>MPE20-1016</t>
  </si>
  <si>
    <t>Grey Stripe</t>
  </si>
  <si>
    <t>PP001858;PF005943</t>
  </si>
  <si>
    <t>AMAZON,CSNSTORES,JCPENNEY01,KOHLDSN,MACY02,NRTPORT,OLLIIX,TGTDVS</t>
  </si>
  <si>
    <t>42128528-000-011</t>
  </si>
  <si>
    <t>12/18/2023</t>
  </si>
  <si>
    <t>MPE20-1017</t>
  </si>
  <si>
    <t>AMAZON,CSNSTORES,JCPENNEY01,KOHLDSN,MACY02,OLLIIX,TGTDVS</t>
  </si>
  <si>
    <t>42128528-000-002</t>
  </si>
  <si>
    <t>11/13/2023</t>
  </si>
  <si>
    <t>MPE20-1009</t>
  </si>
  <si>
    <t>Tan Leaves</t>
  </si>
  <si>
    <t>PP001858;PF005941</t>
  </si>
  <si>
    <t>CSNSTORES,JCPENNEY01,KOHLDSN,MACY02,TGTDVS</t>
  </si>
  <si>
    <t>42128528-000-009</t>
  </si>
  <si>
    <t>MPE20-1011</t>
  </si>
  <si>
    <t>AMAZON,FINGERHUTDS,JCPENNEY01,KOHLDSN,MACY02,TGTDVS</t>
  </si>
  <si>
    <t>42128528-000-001</t>
  </si>
  <si>
    <t>9/28/2023</t>
  </si>
  <si>
    <t>BASI16-0417</t>
  </si>
  <si>
    <t>3" Gel Memory Foam</t>
  </si>
  <si>
    <t>All Season Reversible Hypoallergenic Cooling Mattress Topper</t>
  </si>
  <si>
    <t>PF002106</t>
  </si>
  <si>
    <t>AMAZON,BEALLSDS,BIGLOTSDS,BLK01,KOHLDSN,MACY02,OLLIIX,TGTDVS,WALMARTDS,Zulily</t>
  </si>
  <si>
    <t>19524730-000-000</t>
  </si>
  <si>
    <t>9/15/2016</t>
  </si>
  <si>
    <t>12/9/2016</t>
  </si>
  <si>
    <t>BASI16-0419</t>
  </si>
  <si>
    <t>AMAZON,BLK01,HSNDS,MACY02,OLLIIX,TGTDVS,WALMARTDS,ZOLA</t>
  </si>
  <si>
    <t>19524730-000-002</t>
  </si>
  <si>
    <t>10/31/2016</t>
  </si>
  <si>
    <t>BASI16-0420</t>
  </si>
  <si>
    <t>AMAZON,BEALLSDS,BIGLOTSDS,BLK01,KOHLDSN,MACY02,OLLIIX,TGTDVS,WALMARTDS,ZOLA</t>
  </si>
  <si>
    <t>19524730-000-003</t>
  </si>
  <si>
    <t>9/30/2016</t>
  </si>
  <si>
    <t>BASI16-0391</t>
  </si>
  <si>
    <t>3" Gel Memory Foam with 3M Cover</t>
  </si>
  <si>
    <t>PF002108</t>
  </si>
  <si>
    <t>AAFESDS,AMAZON,DESINC,KOHLDSN,MACY02,OLLIIX,TGTDVS</t>
  </si>
  <si>
    <t>17764101-000-000</t>
  </si>
  <si>
    <t>9/12/2016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</si>
  <si>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</si>
  <si>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</si>
  <si>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</si>
  <si>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</si>
  <si>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</si>
  <si>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AMAZON,CSNSTORES,HDDS,KOHLDSN,MACY02,OLLIIX,TGTDVS,ZOLA</t>
  </si>
  <si>
    <t>19965442-000-000</t>
  </si>
  <si>
    <t>11/1/2016</t>
  </si>
  <si>
    <t>7/7/2017</t>
  </si>
  <si>
    <t>BASI16-0479</t>
  </si>
  <si>
    <t>AAFESDS,HDDS,JCPENNEY01,KOHLDSN,MACY02,OLLIIX,TGTDVS,ZOLA</t>
  </si>
  <si>
    <t>19965442-000-004</t>
  </si>
  <si>
    <t>1/30/2017</t>
  </si>
  <si>
    <t>MP20-8254</t>
  </si>
  <si>
    <t>Madison Park</t>
  </si>
  <si>
    <t>300 Thread Count Organic Cotton</t>
  </si>
  <si>
    <t>Deep Pocket Sheet Set</t>
  </si>
  <si>
    <t>Ivory</t>
  </si>
  <si>
    <t>PP001890;PF006025</t>
  </si>
  <si>
    <t>8/26/2023</t>
  </si>
  <si>
    <t>11/4/2024</t>
  </si>
  <si>
    <t>TGTDVS</t>
  </si>
  <si>
    <t>42171343-000-001</t>
  </si>
  <si>
    <t>8/29/2023</t>
  </si>
  <si>
    <t>10/5/2023</t>
  </si>
  <si>
    <t>MP20-1185</t>
  </si>
  <si>
    <t>3M Microcell</t>
  </si>
  <si>
    <t>Luxurious Brushed Microfiber Deep Pocket Sheet Set</t>
  </si>
  <si>
    <t>PF001786</t>
  </si>
  <si>
    <t>Microfiber</t>
  </si>
  <si>
    <t>BLK01,CSNSTORES,JCPENNEY01,KOHLDSN,MACY02,OLLIIX,TGTDVS</t>
  </si>
  <si>
    <t>16596275-000-010</t>
  </si>
  <si>
    <t>6/1/2015</t>
  </si>
  <si>
    <t>MP20-2447</t>
  </si>
  <si>
    <t>CSNSTORES,DESINC,HSNDS,JCPENNEY01,KOHLDSN,MACY02</t>
  </si>
  <si>
    <t>16596275-000-039</t>
  </si>
  <si>
    <t>5/17/2016</t>
  </si>
  <si>
    <t>MP20-1189</t>
  </si>
  <si>
    <t>Cal King</t>
  </si>
  <si>
    <t>BLK01,CSNSTORES,HDDS,HSNDS,JCPENNEY01,KOHLDSN,MACY02,TGTDVS</t>
  </si>
  <si>
    <t>16596275-000-014</t>
  </si>
  <si>
    <t>12/7/2015</t>
  </si>
  <si>
    <t>MP20-4388</t>
  </si>
  <si>
    <t>Blush</t>
  </si>
  <si>
    <t>PF001792</t>
  </si>
  <si>
    <t>5/17/2017</t>
  </si>
  <si>
    <t>AMAZONDS,HDDS,HSNDS,JCPENNEY01,KOHLDSN,MACY02,WALMARTDS</t>
  </si>
  <si>
    <t>16596275-000-040</t>
  </si>
  <si>
    <t>4/25/2017</t>
  </si>
  <si>
    <t>6/21/2017</t>
  </si>
  <si>
    <t>MP20-4391</t>
  </si>
  <si>
    <t>10/4/2024</t>
  </si>
  <si>
    <t>AMAZON,AMAZONDS,BEALLSDS,CSNSTORES,HSNDS,JCPENNEY01,KOHLDSN,MACY02,OLLIIX,WALMARTDS,ZOLA</t>
  </si>
  <si>
    <t>16596275-000-043</t>
  </si>
  <si>
    <t>6/5/2017</t>
  </si>
  <si>
    <t>MP20-4392</t>
  </si>
  <si>
    <t>AMAZON,AMAZONDS,BLK01,CSNSTORES,HDDS,HSNDS,JCPENNEY01,KOHLDSN,MACY02,OLLIIX,WALMARTDS,ZOLA</t>
  </si>
  <si>
    <t>16596275-000-044</t>
  </si>
  <si>
    <t>5/31/2017</t>
  </si>
  <si>
    <t>MP20-4393</t>
  </si>
  <si>
    <t>AMAZON,AMAZONDS,HDDS,JCPENNEY01,KOHLDSN,MACY02,ZOLA</t>
  </si>
  <si>
    <t>16596275-000-045</t>
  </si>
  <si>
    <t>3/15/2018</t>
  </si>
  <si>
    <t>MP20-2383</t>
  </si>
  <si>
    <t>Grey</t>
  </si>
  <si>
    <t>PF001789</t>
  </si>
  <si>
    <t>JCPENNEY01,KOHLDSN,MACY02,OLLIIX</t>
  </si>
  <si>
    <t>16596275-000-025</t>
  </si>
  <si>
    <t>5/10/2016</t>
  </si>
  <si>
    <t>MP20-2384</t>
  </si>
  <si>
    <t>BLK01,JCPENNEY01,KOHLDSN,MACY02,NRTPORT,OLLIIX,ZOLA</t>
  </si>
  <si>
    <t>16596275-000-027</t>
  </si>
  <si>
    <t>3/24/2016</t>
  </si>
  <si>
    <t>MP20-2387</t>
  </si>
  <si>
    <t>AMAZON,HDDS,JCPENNEY01,KOHLDSN,MACY02</t>
  </si>
  <si>
    <t>16596275-000-030</t>
  </si>
  <si>
    <t>4/22/2016</t>
  </si>
  <si>
    <t>MP20-1180</t>
  </si>
  <si>
    <t>PF001785</t>
  </si>
  <si>
    <t>CSNSTORES,HSNDS,JCPENNEY01,KOHLDSN,MACY02,OLLIIX,TGTDVS,WALMARTDS</t>
  </si>
  <si>
    <t>16596275-000-005</t>
  </si>
  <si>
    <t>2/17/2015</t>
  </si>
  <si>
    <t>MP20-1181</t>
  </si>
  <si>
    <t>BLK01,CSNSTORES,HSNDS,JCPENNEY01,KOHLDSN,MACY02,TGTDVS</t>
  </si>
  <si>
    <t>16596275-000-006</t>
  </si>
  <si>
    <t>MP20-1190</t>
  </si>
  <si>
    <t>Khaki</t>
  </si>
  <si>
    <t>PF001787</t>
  </si>
  <si>
    <t>BLK01,CSNSTORES,JCPENNEY01,KOHLDSN,MACY02,TGTDVS</t>
  </si>
  <si>
    <t>16596275-000-015</t>
  </si>
  <si>
    <t>3/20/2015</t>
  </si>
  <si>
    <t>MP20-1191</t>
  </si>
  <si>
    <t>16596275-000-016</t>
  </si>
  <si>
    <t>1/12/2015</t>
  </si>
  <si>
    <t>MP20-1192</t>
  </si>
  <si>
    <t>BLK01,CSNSTORES,HDDS,HSNDS,JCPENNEY01,KOHLDSN,MACY02,OLLIIX,TGTDVS</t>
  </si>
  <si>
    <t>16596275-000-017</t>
  </si>
  <si>
    <t>1/5/2015</t>
  </si>
  <si>
    <t>MP20-1194</t>
  </si>
  <si>
    <t>CSNSTORES,HSNDS,JCPENNEY01,KOHLDSN,MACY02,TGTDVS</t>
  </si>
  <si>
    <t>16596275-000-019</t>
  </si>
  <si>
    <t>MP20-2388</t>
  </si>
  <si>
    <t>Seafoam</t>
  </si>
  <si>
    <t>PF001791</t>
  </si>
  <si>
    <t>AMAZON,AMAZONDS,HDDS,JCPENNEY01,KOHLDSN,MACY02,OLLIIX</t>
  </si>
  <si>
    <t>16596275-000-031</t>
  </si>
  <si>
    <t>6/23/2016</t>
  </si>
  <si>
    <t>MP20-2444</t>
  </si>
  <si>
    <t>AMAZON,BLK01,CSNSTORES,DESINC,HDDS,HSNDS,JCPENNEY01,KOHLDSN,MACY02,WALMARTDS</t>
  </si>
  <si>
    <t>16596275-000-032</t>
  </si>
  <si>
    <t>4/13/2016</t>
  </si>
  <si>
    <t>MP20-2389</t>
  </si>
  <si>
    <t>AMAZON,AMAZONDS,BLK01,CSNSTORES,HSNDS,JCPENNEY01,KOHLDSN,MACY02</t>
  </si>
  <si>
    <t>16596275-000-033</t>
  </si>
  <si>
    <t>7/20/2016</t>
  </si>
  <si>
    <t>MP20-2390</t>
  </si>
  <si>
    <t>AMAZON,AMAZONDS,BLK01,CSNSTORES,HSNDS,JCPENNEY01,KOHLDSN,MACY02,OLLIIX,ZOLA,Zulily</t>
  </si>
  <si>
    <t>16596275-000-034</t>
  </si>
  <si>
    <t>4/11/2016</t>
  </si>
  <si>
    <t>MP20-2391</t>
  </si>
  <si>
    <t>AMAZON,AMAZONDS,BLK01,CSNSTORES,HDDS,HSNDS,JCPENNEY01,KOHLDSN,MACY02,WALMARTDS,ZOLA</t>
  </si>
  <si>
    <t>16596275-000-035</t>
  </si>
  <si>
    <t>4/5/2016</t>
  </si>
  <si>
    <t>MP20-2392</t>
  </si>
  <si>
    <t>AMAZON,AMAZONDS,JCPENNEY01,KOHLDSN,MACY02</t>
  </si>
  <si>
    <t>16596275-000-036</t>
  </si>
  <si>
    <t>MP20-2445</t>
  </si>
  <si>
    <t>PF001784</t>
  </si>
  <si>
    <t>CSNSTORES,HDDS,JCPENNEY01,KOHLDSN,MACY02,OLLIIX</t>
  </si>
  <si>
    <t>16596275-000-037</t>
  </si>
  <si>
    <t>MP20-1177</t>
  </si>
  <si>
    <t>BLK01,CSNSTORES,HDDS,HSNDS,JCPENNEY01,KOHLDSN,MACY02,OLLIIX,TGTDVS,Zulily</t>
  </si>
  <si>
    <t>16596275-000-002</t>
  </si>
  <si>
    <t>2/6/2015</t>
  </si>
  <si>
    <t>MP20-1179</t>
  </si>
  <si>
    <t>16596275-000-004</t>
  </si>
  <si>
    <t>1/21/2015</t>
  </si>
  <si>
    <t>MP20-8229</t>
  </si>
  <si>
    <t>500 Thread Count Egyptian Cotton</t>
  </si>
  <si>
    <t>B+</t>
  </si>
  <si>
    <t>PP001884;PF006013</t>
  </si>
  <si>
    <t>Glam/Luxury</t>
  </si>
  <si>
    <t>9/9/2024</t>
  </si>
  <si>
    <t>42171344-000-001</t>
  </si>
  <si>
    <t>9/11/2023</t>
  </si>
  <si>
    <t>MP20-8230</t>
  </si>
  <si>
    <t>AMAZON,OLLIIX,ZOLA</t>
  </si>
  <si>
    <t>42171344-000-003</t>
  </si>
  <si>
    <t>9/6/2023</t>
  </si>
  <si>
    <t>MP20-8233</t>
  </si>
  <si>
    <t>Lilac</t>
  </si>
  <si>
    <t>PP001884;PF006014</t>
  </si>
  <si>
    <t>AMAZON</t>
  </si>
  <si>
    <t>42171344-000-000</t>
  </si>
  <si>
    <t>9/29/2023</t>
  </si>
  <si>
    <t>MP20-8005</t>
  </si>
  <si>
    <t>600 Thread Count</t>
  </si>
  <si>
    <t>Pima Cotton Sheet Set</t>
  </si>
  <si>
    <t>Rose Gold</t>
  </si>
  <si>
    <t>PF005754</t>
  </si>
  <si>
    <t>Traditional</t>
  </si>
  <si>
    <t>7/19/2022</t>
  </si>
  <si>
    <t>9/1/2024</t>
  </si>
  <si>
    <t>DESINC,JCPENNEY01</t>
  </si>
  <si>
    <t>15389857-000-040</t>
  </si>
  <si>
    <t>8/9/2022</t>
  </si>
  <si>
    <t>9/1/2022</t>
  </si>
  <si>
    <t>MPS73-195</t>
  </si>
  <si>
    <t>TOWL</t>
  </si>
  <si>
    <t>Madison Park Signature</t>
  </si>
  <si>
    <t>BATH TOWEL</t>
  </si>
  <si>
    <t>Bath Towel</t>
  </si>
  <si>
    <t>800GSM</t>
  </si>
  <si>
    <t>100% Cotton 8 Piece Antimicrobial Towel Set</t>
  </si>
  <si>
    <t>8-Piece</t>
  </si>
  <si>
    <t>Coral</t>
  </si>
  <si>
    <t>PF001495;PP001046</t>
  </si>
  <si>
    <t>8</t>
  </si>
  <si>
    <t>Luxury</t>
  </si>
  <si>
    <t>AMAZON,BLK01,CSNSTORES,HDDS,JCPENNEY01,KOHLDSN,MACY02,OLLIIX,TGTDVS,WALMARTDS</t>
  </si>
  <si>
    <t>19614786-000-007</t>
  </si>
  <si>
    <t>9/27/2016</t>
  </si>
  <si>
    <t>10/25/2016</t>
  </si>
  <si>
    <t>MPS73-192</t>
  </si>
  <si>
    <t>A+</t>
  </si>
  <si>
    <t>PF001492;PP001046</t>
  </si>
  <si>
    <t>AMAZON,AMAZONDS,BLK01,CSNSTORES,DESINC,JCPENNEY01,KOHLDSN,MACY02,OLLIIX,TGTDVS</t>
  </si>
  <si>
    <t>19614786-000-004</t>
  </si>
  <si>
    <t>10/24/2016</t>
  </si>
  <si>
    <t>MPS73-191</t>
  </si>
  <si>
    <t>Silver</t>
  </si>
  <si>
    <t>PF001491;PP001046</t>
  </si>
  <si>
    <t>AMAZON,AMAZONDS,BLK01,CSNSTORES,HDDS,JCPENNEY01,KOHLDSN,MACY02,OLLIIX,TGTDVS,ZOLA</t>
  </si>
  <si>
    <t>19614786-000-003</t>
  </si>
  <si>
    <t>10/28/2016</t>
  </si>
  <si>
    <t>MT95G-0029</t>
  </si>
  <si>
    <t>ART</t>
  </si>
  <si>
    <t>Martha Stewart</t>
  </si>
  <si>
    <t>FRAMED GRAPHICS</t>
  </si>
  <si>
    <t>Framed Graphics</t>
  </si>
  <si>
    <t>Across The Plains 1</t>
  </si>
  <si>
    <t>Framed Glass and Double Matted Abstract Landscape Wall Art</t>
  </si>
  <si>
    <t>See below</t>
  </si>
  <si>
    <t>Multi</t>
  </si>
  <si>
    <t>A</t>
  </si>
  <si>
    <t>PP001448;PF005015</t>
  </si>
  <si>
    <t>1</t>
  </si>
  <si>
    <t>Landscape</t>
  </si>
  <si>
    <t>MT Bedford</t>
  </si>
  <si>
    <t>11/13/2019</t>
  </si>
  <si>
    <t>AMAZON,BLK01,CSNSTORES,DESINC,HDDS,JCPENNEY01,KIRKLANDDS,KOHLDSN,MACY02,OLLIIX,TGTDVS,ZOLA</t>
  </si>
  <si>
    <t>35147144-000-000</t>
  </si>
  <si>
    <t>11/21/2019</t>
  </si>
  <si>
    <t>4/21/2020</t>
  </si>
  <si>
    <t>MP95F-0318</t>
  </si>
  <si>
    <t>DEC. MIRROR</t>
  </si>
  <si>
    <t>Decor Mirror</t>
  </si>
  <si>
    <t>Adelaide</t>
  </si>
  <si>
    <t>Gold Scalloped Wood Wall Mirror</t>
  </si>
  <si>
    <t>Gold</t>
  </si>
  <si>
    <t>Other</t>
  </si>
  <si>
    <t>10/31/2023</t>
  </si>
  <si>
    <t>AMAZON,AMAZONDS,CSNSTORES,DESINC,HDDS,HOUZZ,KIRKLANDDS,LAMPDS,MACY02,OLLIIX,TGTDVS</t>
  </si>
  <si>
    <t>42877235-000-000</t>
  </si>
  <si>
    <t>11/6/2023</t>
  </si>
  <si>
    <t>11/20/2023</t>
  </si>
  <si>
    <t>MP103-1000</t>
  </si>
  <si>
    <t>FUR</t>
  </si>
  <si>
    <t>MOTION</t>
  </si>
  <si>
    <t>Swivel</t>
  </si>
  <si>
    <t>Adele</t>
  </si>
  <si>
    <t>Jayne</t>
  </si>
  <si>
    <t>Findlay</t>
  </si>
  <si>
    <t>Swivel Chair</t>
  </si>
  <si>
    <t>B-</t>
  </si>
  <si>
    <t>Transitional</t>
  </si>
  <si>
    <t>6/24/2020</t>
  </si>
  <si>
    <t>9/13/2024</t>
  </si>
  <si>
    <t>BLK01,CSNSTORES,HDDS,MACY02F</t>
  </si>
  <si>
    <t>22525655-000-001</t>
  </si>
  <si>
    <t>6/29/2020</t>
  </si>
  <si>
    <t>7/7/2020</t>
  </si>
  <si>
    <t>MPE73-664</t>
  </si>
  <si>
    <t>Adrien</t>
  </si>
  <si>
    <t>Remy</t>
  </si>
  <si>
    <t>Roman</t>
  </si>
  <si>
    <t>Super Soft Cotton Quick Dry Bath Towel 6 Piece Set</t>
  </si>
  <si>
    <t>6-Piece</t>
  </si>
  <si>
    <t>6</t>
  </si>
  <si>
    <t>10/18/2017</t>
  </si>
  <si>
    <t>AMAZON,BLK01,CSNSTORES,HDDS,JCPENNEY01,KOHLDSN,MACY02,OLLIIX,TGTDVS</t>
  </si>
  <si>
    <t>25423983-000-002</t>
  </si>
  <si>
    <t>12/7/2017</t>
  </si>
  <si>
    <t>1/25/2018</t>
  </si>
  <si>
    <t>MPE73-665</t>
  </si>
  <si>
    <t>Dark Gray</t>
  </si>
  <si>
    <t>AMAZON,BIGLOTSDS,BLK01,CSNSTORES,JCPENNEY01,KOHLDSN,MACY02,TGTDVS</t>
  </si>
  <si>
    <t>25423983-000-003</t>
  </si>
  <si>
    <t>1/16/2018</t>
  </si>
  <si>
    <t>MPE73-668</t>
  </si>
  <si>
    <t>AMAZONDS,BEALLSDS,BLK01,CSNSTORES,DESINC,HDDS,JCPENNEY01,KOHLDSN,MACY02,OLLIIX,TGTDVS,WALMARTDS</t>
  </si>
  <si>
    <t>25423983-000-006</t>
  </si>
  <si>
    <t>3/12/2018</t>
  </si>
  <si>
    <t>MPE73-788</t>
  </si>
  <si>
    <t>Teal</t>
  </si>
  <si>
    <t>PP001058</t>
  </si>
  <si>
    <t>1/24/2019</t>
  </si>
  <si>
    <t>AMAZON,AMAZONDS,BIGLOTSDS,BLK01,CSNSTORES,DESINC,HDDS,JCPENNEY01,KOHLDSN,MACY02,OLLIIX,TGTDVS,WALMARTDS</t>
  </si>
  <si>
    <t>25423983-000-007</t>
  </si>
  <si>
    <t>1/31/2019</t>
  </si>
  <si>
    <t>2/6/2019</t>
  </si>
  <si>
    <t>MZ12-372</t>
  </si>
  <si>
    <t>YOUT</t>
  </si>
  <si>
    <t>Mi Zone</t>
  </si>
  <si>
    <t>DUVET&amp;DUVET SET</t>
  </si>
  <si>
    <t>Duvet&amp;Duvet Set</t>
  </si>
  <si>
    <t>Allison</t>
  </si>
  <si>
    <t>Mackenzie</t>
  </si>
  <si>
    <t>Kelly</t>
  </si>
  <si>
    <t>Floral Duvet Cover Set</t>
  </si>
  <si>
    <t>Full/Queen</t>
  </si>
  <si>
    <t>Yellow</t>
  </si>
  <si>
    <t>PF000013</t>
  </si>
  <si>
    <t>Floral</t>
  </si>
  <si>
    <t>8/26/2024</t>
  </si>
  <si>
    <t>AMAZON,CSNSTORES,KOHLDSN,MACY02,TGTDVS</t>
  </si>
  <si>
    <t>17632896-000-001</t>
  </si>
  <si>
    <t>9/16/2015</t>
  </si>
  <si>
    <t>PET63PC6184-MD</t>
  </si>
  <si>
    <t>PETB</t>
  </si>
  <si>
    <t>Friends Forever</t>
  </si>
  <si>
    <t>PET BEDS</t>
  </si>
  <si>
    <t>Pet Beds</t>
  </si>
  <si>
    <t>Ally</t>
  </si>
  <si>
    <t>Medium All Foam Pet Couch</t>
  </si>
  <si>
    <t>M</t>
  </si>
  <si>
    <t>8/10/2023</t>
  </si>
  <si>
    <t>43809389-000-006</t>
  </si>
  <si>
    <t>4/12/2024</t>
  </si>
  <si>
    <t>7/9/2024</t>
  </si>
  <si>
    <t>PET63PC6184-LG</t>
  </si>
  <si>
    <t>Large All Foam Pet Couch</t>
  </si>
  <si>
    <t>L</t>
  </si>
  <si>
    <t>AMAZON,CSNSTORES,KOHLDSN</t>
  </si>
  <si>
    <t>43809389-000-008</t>
  </si>
  <si>
    <t>PET63PC6184-XL</t>
  </si>
  <si>
    <t>XLarge All Foam Pet Couch</t>
  </si>
  <si>
    <t>XL</t>
  </si>
  <si>
    <t>AMAZON,CSNSTORES</t>
  </si>
  <si>
    <t>43809389-000-004</t>
  </si>
  <si>
    <t>PET63PC6185-MD</t>
  </si>
  <si>
    <t>Navy</t>
  </si>
  <si>
    <t>43809389-000-000</t>
  </si>
  <si>
    <t>7/15/2024</t>
  </si>
  <si>
    <t>PET63PC6185-LG</t>
  </si>
  <si>
    <t>43809389-000-002</t>
  </si>
  <si>
    <t>6/10/2024</t>
  </si>
  <si>
    <t>PET63PC6185-XL</t>
  </si>
  <si>
    <t>AMAZON,AMAZONDS</t>
  </si>
  <si>
    <t>43809389-000-001</t>
  </si>
  <si>
    <t>II12-783</t>
  </si>
  <si>
    <t>ADUL</t>
  </si>
  <si>
    <t>INK+IVY</t>
  </si>
  <si>
    <t>Duvet Mini Set</t>
  </si>
  <si>
    <t>Alpine</t>
  </si>
  <si>
    <t>3 Piece Duvet Cover Mini Set</t>
  </si>
  <si>
    <t>Aqua</t>
  </si>
  <si>
    <t>PF001637;PP000371</t>
  </si>
  <si>
    <t>3</t>
  </si>
  <si>
    <t>Ikat</t>
  </si>
  <si>
    <t>Mid-Century</t>
  </si>
  <si>
    <t>Casual|Modern/Contemporary</t>
  </si>
  <si>
    <t>19427077-000-000</t>
  </si>
  <si>
    <t>9/7/2016</t>
  </si>
  <si>
    <t>11/7/2016</t>
  </si>
  <si>
    <t>II12-784</t>
  </si>
  <si>
    <t>King/Cal King</t>
  </si>
  <si>
    <t>AMAZON,BEALLSDS,KOHLDSN,NRTPORT,TGTDVS</t>
  </si>
  <si>
    <t>19427077-000-001</t>
  </si>
  <si>
    <t>11/22/2016</t>
  </si>
  <si>
    <t>II10-785</t>
  </si>
  <si>
    <t>COMFORTER (SET)</t>
  </si>
  <si>
    <t>Comforter Mini Set</t>
  </si>
  <si>
    <t>3 Piece Comforter Mini Set</t>
  </si>
  <si>
    <t>PF001638;PP000371</t>
  </si>
  <si>
    <t>19427076-000-000</t>
  </si>
  <si>
    <t>II12-787</t>
  </si>
  <si>
    <t>AMAZON,AMAZONDS,CSNSTORES,JCPENNEY01,KOHLDSN,MACY02,OLLIIX,TGTDVS</t>
  </si>
  <si>
    <t>19427075-000-000</t>
  </si>
  <si>
    <t>1/18/2017</t>
  </si>
  <si>
    <t>WR10-2066</t>
  </si>
  <si>
    <t>BLK</t>
  </si>
  <si>
    <t>Woolrich</t>
  </si>
  <si>
    <t>Comforter (Set)</t>
  </si>
  <si>
    <t>Alton</t>
  </si>
  <si>
    <t>Plush to Sherpa Down Alternative Comforter Set</t>
  </si>
  <si>
    <t>Red/Black</t>
  </si>
  <si>
    <t>PF002181</t>
  </si>
  <si>
    <t>Berber</t>
  </si>
  <si>
    <t>Lodge/Cabin</t>
  </si>
  <si>
    <t>Cottage/Country</t>
  </si>
  <si>
    <t>8/8/2017</t>
  </si>
  <si>
    <t>8/20/2024</t>
  </si>
  <si>
    <t>AMAZON,CSNSTORES,HSNDS,KOHLDSN,MACY02,NEBFUR01</t>
  </si>
  <si>
    <t>23298030-000-005</t>
  </si>
  <si>
    <t>Tier 1</t>
  </si>
  <si>
    <t>7/27/2017</t>
  </si>
  <si>
    <t>8/21/2017</t>
  </si>
  <si>
    <t>MP40-2223</t>
  </si>
  <si>
    <t>WIN</t>
  </si>
  <si>
    <t>WINDOW PANEL</t>
  </si>
  <si>
    <t>Window Panel</t>
  </si>
  <si>
    <t>Amherst</t>
  </si>
  <si>
    <t>Eastridge</t>
  </si>
  <si>
    <t>Salem</t>
  </si>
  <si>
    <t>Polyoni Pintuck Curtain Panel</t>
  </si>
  <si>
    <t>50x84"</t>
  </si>
  <si>
    <t>PF001363;PP000524</t>
  </si>
  <si>
    <t>Pieced</t>
  </si>
  <si>
    <t>Light Filtering</t>
  </si>
  <si>
    <t>AMAZON,AMAZONDS,ASHFURNDS,BEALLSDS,BLK01,CSNSTORES,JCPENNEY01,KOHLDSN,TGTDVS</t>
  </si>
  <si>
    <t>17924347-000-000</t>
  </si>
  <si>
    <t>12/15/2015</t>
  </si>
  <si>
    <t>MP40-4373</t>
  </si>
  <si>
    <t>PF002411</t>
  </si>
  <si>
    <t>7/4/2017</t>
  </si>
  <si>
    <t>10/5/2024</t>
  </si>
  <si>
    <t>AMAZON,AMAZONDS,BLK01,CSNSTORES,JCPENNEY01,KIRKLANDDS,KOHLDSN,TGTDVS,Zulily</t>
  </si>
  <si>
    <t>17924352-000-005</t>
  </si>
  <si>
    <t>9/5/2017</t>
  </si>
  <si>
    <t>MP40-2221</t>
  </si>
  <si>
    <t>Natural</t>
  </si>
  <si>
    <t>PF002412;PP000373</t>
  </si>
  <si>
    <t>11/6/2024</t>
  </si>
  <si>
    <t>AMAZON,ASHFURNDS,BEALLSDS,BLK01,CSNSTORES,DESINC,JCPENNEY01,KOHLDSN,TGTDVS</t>
  </si>
  <si>
    <t>17924352-000-001</t>
  </si>
  <si>
    <t>5/16/2016</t>
  </si>
  <si>
    <t>MP72-6204</t>
  </si>
  <si>
    <t>BATH</t>
  </si>
  <si>
    <t>BATH RUG</t>
  </si>
  <si>
    <t>Bath Rug</t>
  </si>
  <si>
    <t>Cotton Tufted Bath Rug</t>
  </si>
  <si>
    <t>20x30"</t>
  </si>
  <si>
    <t>PP000524;PF004654</t>
  </si>
  <si>
    <t>Color Block</t>
  </si>
  <si>
    <t>4/9/2019</t>
  </si>
  <si>
    <t>9/23/2024</t>
  </si>
  <si>
    <t>AMAZON,AMAZONDS,CSNSTORES,HDDS,JCPENNEY01,KIRKLANDDS,KOHLDSN,MACY02,TGTDVS,Zulily</t>
  </si>
  <si>
    <t>16629267-000-004</t>
  </si>
  <si>
    <t>4/25/2019</t>
  </si>
  <si>
    <t>5/2/2019</t>
  </si>
  <si>
    <t>MP72-6205</t>
  </si>
  <si>
    <t>27x45"</t>
  </si>
  <si>
    <t>16629267-000-007</t>
  </si>
  <si>
    <t>5/23/2019</t>
  </si>
  <si>
    <t>MP40-2224</t>
  </si>
  <si>
    <t>Red</t>
  </si>
  <si>
    <t>PF001362;PP000524</t>
  </si>
  <si>
    <t>AMAZON,ASHFURNDS,BLK01,CASTLEGATE,CSNSTORES,JCPENNEY01,KOHLDSN</t>
  </si>
  <si>
    <t>17924347-000-001</t>
  </si>
  <si>
    <t>12/3/2015</t>
  </si>
  <si>
    <t>MP70-221</t>
  </si>
  <si>
    <t>SHOWER CURTAIN</t>
  </si>
  <si>
    <t>Shower Curtain</t>
  </si>
  <si>
    <t>Faux Silk Shower Curtain</t>
  </si>
  <si>
    <t>72x72"</t>
  </si>
  <si>
    <t>AMAZON,AMAZONDS,CSNSTORES,JCPENNEY01,KOHLDSN,MACY02,TGTDVS</t>
  </si>
  <si>
    <t>14941994-000-000</t>
  </si>
  <si>
    <t>2/12/2016</t>
  </si>
  <si>
    <t>MP40-8297</t>
  </si>
  <si>
    <t>Anaheim</t>
  </si>
  <si>
    <t>Salford</t>
  </si>
  <si>
    <t>Preston</t>
  </si>
  <si>
    <t>Plaid Faux Leather Tab Top Curtain Panel with Fleece Lining</t>
  </si>
  <si>
    <t>Green</t>
  </si>
  <si>
    <t>PP001397;PF006073</t>
  </si>
  <si>
    <t>Plaid</t>
  </si>
  <si>
    <t>10/12/2023</t>
  </si>
  <si>
    <t>AMAZON,CSNSTORES,KOHLDSN,TGTDVS</t>
  </si>
  <si>
    <t>35137209-000-003</t>
  </si>
  <si>
    <t>MP40-8274</t>
  </si>
  <si>
    <t>Plaid Rod Pocket and Back Tab Curtain Panel with Fleece Lining</t>
  </si>
  <si>
    <t>PP001397;PF006072</t>
  </si>
  <si>
    <t>9/22/2023</t>
  </si>
  <si>
    <t>AMAZON,CSNSTORES,JCPENNEY01,TGTDVS</t>
  </si>
  <si>
    <t>35137210-000-007</t>
  </si>
  <si>
    <t>12/8/2023</t>
  </si>
  <si>
    <t>MP40-8276</t>
  </si>
  <si>
    <t>35137209-000-004</t>
  </si>
  <si>
    <t>11/7/2023</t>
  </si>
  <si>
    <t>MP40-6761</t>
  </si>
  <si>
    <t>PP001397;PF004933</t>
  </si>
  <si>
    <t>10/31/2019</t>
  </si>
  <si>
    <t>AMAZON,AMAZONDS,CSNSTORES,HDDS,JCPENNEY01,KOHLDSN,MACY02,TGTDVS,WALMARTDS,Zulily</t>
  </si>
  <si>
    <t>35137209-000-001</t>
  </si>
  <si>
    <t>11/20/2019</t>
  </si>
  <si>
    <t>1/23/2020</t>
  </si>
  <si>
    <t>MP40-1297</t>
  </si>
  <si>
    <t>Andora</t>
  </si>
  <si>
    <t>Eliza</t>
  </si>
  <si>
    <t>Aden</t>
  </si>
  <si>
    <t>Curtain Panel</t>
  </si>
  <si>
    <t>50x95"</t>
  </si>
  <si>
    <t>PF003823</t>
  </si>
  <si>
    <t>10/8/2024</t>
  </si>
  <si>
    <t>ASHFURNDS,BLK01,HDDS,JCPENNEY01,KOHLDSN,TGTDVS,WALMARTDS</t>
  </si>
  <si>
    <t>15478285-000-007</t>
  </si>
  <si>
    <t>1/28/2015</t>
  </si>
  <si>
    <t>MP41-4572</t>
  </si>
  <si>
    <t>VALANCE</t>
  </si>
  <si>
    <t>Valance</t>
  </si>
  <si>
    <t>Faux Silk Embroidered Window Valance</t>
  </si>
  <si>
    <t>50x18"</t>
  </si>
  <si>
    <t>PF003840</t>
  </si>
  <si>
    <t>6/29/2017</t>
  </si>
  <si>
    <t>8/21/2024</t>
  </si>
  <si>
    <t>AMAZON,BLK01,CSNSTORES,JCPENNEY01,KOHLDSN,TGTDVS</t>
  </si>
  <si>
    <t>22972352-000-003</t>
  </si>
  <si>
    <t>6/28/2017</t>
  </si>
  <si>
    <t>10/4/2017</t>
  </si>
  <si>
    <t>MP40-716</t>
  </si>
  <si>
    <t>Tan</t>
  </si>
  <si>
    <t>PF003798</t>
  </si>
  <si>
    <t>AMAZON,ASHFURNDS,BEALLSDS,HSNDS,JCPENNEY01,KOHLDSN,TGTDVS</t>
  </si>
  <si>
    <t>15478285-000-003</t>
  </si>
  <si>
    <t>MT100-0155</t>
  </si>
  <si>
    <t>ACCENT CHAIR</t>
  </si>
  <si>
    <t>Lounge Chair</t>
  </si>
  <si>
    <t>Anna</t>
  </si>
  <si>
    <t>Arm Accent Chair</t>
  </si>
  <si>
    <t>Modern/Contemporary</t>
  </si>
  <si>
    <t>MT Perry Street</t>
  </si>
  <si>
    <t>7/14/2022</t>
  </si>
  <si>
    <t>10/2/2024</t>
  </si>
  <si>
    <t>AMAZONDS,ASHFURNDS,CSNSTORES,JCPENNEY01,KOHLDSN,LAMPDS,OLLIIX,TGTDVS</t>
  </si>
  <si>
    <t>34092816-000-001</t>
  </si>
  <si>
    <t>7/18/2022</t>
  </si>
  <si>
    <t>10/26/2022</t>
  </si>
  <si>
    <t>MP40-3624</t>
  </si>
  <si>
    <t>Joycelyn</t>
  </si>
  <si>
    <t>Ariana</t>
  </si>
  <si>
    <t>Cotton Oversized Ruffle Curtain Panel</t>
  </si>
  <si>
    <t>50x63"</t>
  </si>
  <si>
    <t>PF003972</t>
  </si>
  <si>
    <t>10/3/2024</t>
  </si>
  <si>
    <t>AMAZON,AMAZONDS,BLK01,CSNSTORES,HSNDS,JCPENNEY01,KOHLDSN,TGTDVS</t>
  </si>
  <si>
    <t>15856535-000-003</t>
  </si>
  <si>
    <t>9/9/2016</t>
  </si>
  <si>
    <t>10/14/2016</t>
  </si>
  <si>
    <t>II105-0466</t>
  </si>
  <si>
    <t>ACCENT BENCH</t>
  </si>
  <si>
    <t>Bench</t>
  </si>
  <si>
    <t>April</t>
  </si>
  <si>
    <t>Accent Bench</t>
  </si>
  <si>
    <t>Grey Multi</t>
  </si>
  <si>
    <t>2/16/2022</t>
  </si>
  <si>
    <t>12/2/2024</t>
  </si>
  <si>
    <t>CSNSTORES,JCPENNEY01,KIRKLANDDS,OLLIIX</t>
  </si>
  <si>
    <t>39636262-000-000</t>
  </si>
  <si>
    <t>3/2/2022</t>
  </si>
  <si>
    <t>3/25/2022</t>
  </si>
  <si>
    <t>BASI50-0415</t>
  </si>
  <si>
    <t>THROW</t>
  </si>
  <si>
    <t>Filled Throw</t>
  </si>
  <si>
    <t>Arctic</t>
  </si>
  <si>
    <t>Polar</t>
  </si>
  <si>
    <t>Ultra Plush Down Alternative Throw</t>
  </si>
  <si>
    <t>50x60"</t>
  </si>
  <si>
    <t>Chocolate</t>
  </si>
  <si>
    <t>PF002121;PP000376</t>
  </si>
  <si>
    <t>Faux Fur</t>
  </si>
  <si>
    <t>Geometric</t>
  </si>
  <si>
    <t>BLK01,JCPENNEY01,KOHLDSN,MACY02,OLLIIX,TGTDVS,WALMARTDS</t>
  </si>
  <si>
    <t>19257555-000-002</t>
  </si>
  <si>
    <t>8/17/2016</t>
  </si>
  <si>
    <t>12/5/2016</t>
  </si>
  <si>
    <t>BASI10-0409</t>
  </si>
  <si>
    <t>Fur Down Alternative Comforter Mini Set</t>
  </si>
  <si>
    <t>PF002073;PP000376</t>
  </si>
  <si>
    <t>AMAZON,ASHFURNDS,BIGLOTSDS,BLK01,CSNSTORES,JCPENNEY01,KOHLDSN,MACY02,NRTPORT,OLLIIX,TGTDVS</t>
  </si>
  <si>
    <t>19265421-000-002</t>
  </si>
  <si>
    <t>8/20/2016</t>
  </si>
  <si>
    <t>8/22/2016</t>
  </si>
  <si>
    <t>BASI50-0414</t>
  </si>
  <si>
    <t>PF002120;PP000376</t>
  </si>
  <si>
    <t>4/15/2017</t>
  </si>
  <si>
    <t>BIGLOTSDS,DESINC,JCPENNEY01,KOHLDSN,MACY02,OLLIIX,TGTDVS</t>
  </si>
  <si>
    <t>19257555-000-001</t>
  </si>
  <si>
    <t>FPF18-0429</t>
  </si>
  <si>
    <t>Arianna</t>
  </si>
  <si>
    <t>Leda</t>
  </si>
  <si>
    <t>Aria</t>
  </si>
  <si>
    <t>Swoop Wing Chair</t>
  </si>
  <si>
    <t>PF000709;PP000082</t>
  </si>
  <si>
    <t>ASHFURNDS,CASTLEGATE,CSNSTORES,KOHLDSN,MACY02F,OLLIIX,ROOMECOM</t>
  </si>
  <si>
    <t>18195229-000-000</t>
  </si>
  <si>
    <t>4/14/2016</t>
  </si>
  <si>
    <t>MP100-0018</t>
  </si>
  <si>
    <t>Grey/White</t>
  </si>
  <si>
    <t>PF001029;PP000082</t>
  </si>
  <si>
    <t>Print</t>
  </si>
  <si>
    <t>4/8/2017</t>
  </si>
  <si>
    <t>ASHFURNDS,CASTLEGATE,CSNSTORES,KOHLDSN,OLLIIX,ROOMECOM</t>
  </si>
  <si>
    <t>20090181-000-000</t>
  </si>
  <si>
    <t>11/15/2016</t>
  </si>
  <si>
    <t>11/23/2016</t>
  </si>
  <si>
    <t>MP100-0982</t>
  </si>
  <si>
    <t>Taupe Multi</t>
  </si>
  <si>
    <t>5/19/2020</t>
  </si>
  <si>
    <t>AMAZONDS,ASHFURNDS,CSNSTORES,OLLIIX</t>
  </si>
  <si>
    <t>18195229-000-001</t>
  </si>
  <si>
    <t>5/26/2020</t>
  </si>
  <si>
    <t>6/3/2020</t>
  </si>
  <si>
    <t>MP10-7636</t>
  </si>
  <si>
    <t>Arya</t>
  </si>
  <si>
    <t>Nova</t>
  </si>
  <si>
    <t>Alivia</t>
  </si>
  <si>
    <t>Embroidered Medallion Faux Fur Ultra Plush Comforter Mini Set</t>
  </si>
  <si>
    <t>PF005508;PP001650</t>
  </si>
  <si>
    <t>Medallion</t>
  </si>
  <si>
    <t>BOHO</t>
  </si>
  <si>
    <t>6/23/2021</t>
  </si>
  <si>
    <t>AMAZONDS,CSNSTORES,JCPENNEY01,KOHLDSN,MACY02,TGTDVS</t>
  </si>
  <si>
    <t>24156897-000-007</t>
  </si>
  <si>
    <t>7/28/2021</t>
  </si>
  <si>
    <t>9/20/2021</t>
  </si>
  <si>
    <t>MP105-0998</t>
  </si>
  <si>
    <t>Other Bench</t>
  </si>
  <si>
    <t>Ashcroft</t>
  </si>
  <si>
    <t>Jaxon</t>
  </si>
  <si>
    <t>Jayden</t>
  </si>
  <si>
    <t>Soft Close Storage Bench</t>
  </si>
  <si>
    <t>12/4/2024</t>
  </si>
  <si>
    <t>AMERSIGNDS,CSNSTORES,HDDS,HOUZZ,KIRKLANDDS,KOHLDSN,LAMPDS,MACY02F,OLLIIX,ROOMECOM,TGTDVS</t>
  </si>
  <si>
    <t>20875084-000-001</t>
  </si>
  <si>
    <t>7/6/2020</t>
  </si>
  <si>
    <t>MP95G-0307</t>
  </si>
  <si>
    <t>Ashlar</t>
  </si>
  <si>
    <t>Hand Painted Abstract Framed Glass and Matted Wall Art</t>
  </si>
  <si>
    <t>Abstract</t>
  </si>
  <si>
    <t>AMAZON,ASHFURNDS,BLK01,CSNSTORES,JCPENNEY01,KIRKLANDDS,KOHLDSN,LAMPDS,OLLIIX,TGTDVS,Zulily</t>
  </si>
  <si>
    <t>40692221-000-000</t>
  </si>
  <si>
    <t>10/28/2022</t>
  </si>
  <si>
    <t>12/5/2022</t>
  </si>
  <si>
    <t>MZ12-509</t>
  </si>
  <si>
    <t>Ashton</t>
  </si>
  <si>
    <t>Garrett</t>
  </si>
  <si>
    <t>Cody</t>
  </si>
  <si>
    <t>Duvet Cover Set</t>
  </si>
  <si>
    <t>Khaki/Navy</t>
  </si>
  <si>
    <t>PF000057</t>
  </si>
  <si>
    <t>AMAZON,JCPENNEY01,MACY02,OLLIIX,TGTDVS,Zulily</t>
  </si>
  <si>
    <t>16557307-000-002</t>
  </si>
  <si>
    <t>3/31/2017</t>
  </si>
  <si>
    <t>MP103-0908</t>
  </si>
  <si>
    <t>Recliner</t>
  </si>
  <si>
    <t>Athena</t>
  </si>
  <si>
    <t>Jimmy</t>
  </si>
  <si>
    <t>Cranberry</t>
  </si>
  <si>
    <t>Push Back Recliner</t>
  </si>
  <si>
    <t>1/7/2020</t>
  </si>
  <si>
    <t>ASHFURNDS,HDDS,KOHLDSN,MACY02F,OLLIIX,ROOMECOM,ZOLA</t>
  </si>
  <si>
    <t>35430553-000-000</t>
  </si>
  <si>
    <t>4/7/2020</t>
  </si>
  <si>
    <t>MP40-692</t>
  </si>
  <si>
    <t>Panel Pair</t>
  </si>
  <si>
    <t>Aubrey</t>
  </si>
  <si>
    <t>Whitman</t>
  </si>
  <si>
    <t>Charlotte</t>
  </si>
  <si>
    <t>Jacquard Curtain Panel Pair</t>
  </si>
  <si>
    <t>Black</t>
  </si>
  <si>
    <t>PF003388;PP000381</t>
  </si>
  <si>
    <t>Paisley</t>
  </si>
  <si>
    <t>AMAZON,AMAZONDS,BLK01,CSNSTORES,HDDS,HSNDS,JCPENNEY01,KOHLDSN,NEBFUR01,OLLIIX,TGTDVS</t>
  </si>
  <si>
    <t>15478287-000-001</t>
  </si>
  <si>
    <t>1/2/2015</t>
  </si>
  <si>
    <t>MP40-2679</t>
  </si>
  <si>
    <t>50x108"</t>
  </si>
  <si>
    <t>Blue/Brown</t>
  </si>
  <si>
    <t>PF003389;PP000381</t>
  </si>
  <si>
    <t>AMAZON,DESINC,HDDS,JCPENNEY01,KOHLDSN,OLLIIX,TGTDVS</t>
  </si>
  <si>
    <t>15478287-000-008</t>
  </si>
  <si>
    <t>7/8/2016</t>
  </si>
  <si>
    <t>MP10-8313</t>
  </si>
  <si>
    <t>BIAB</t>
  </si>
  <si>
    <t>12 Piece Comforter Set with Cotton Bed Sheets</t>
  </si>
  <si>
    <t>PP001909;PF006091</t>
  </si>
  <si>
    <t>Polyester</t>
  </si>
  <si>
    <t>12</t>
  </si>
  <si>
    <t>11/19/2023</t>
  </si>
  <si>
    <t>AMAZON,BLK01,TGTDVS</t>
  </si>
  <si>
    <t>23193762-000-005</t>
  </si>
  <si>
    <t>11/29/2023</t>
  </si>
  <si>
    <t>12/27/2023</t>
  </si>
  <si>
    <t>FB151-1179</t>
  </si>
  <si>
    <t>LGT</t>
  </si>
  <si>
    <t>LGT-PENDANTS</t>
  </si>
  <si>
    <t>Pendants</t>
  </si>
  <si>
    <t>Auburn</t>
  </si>
  <si>
    <t>Bell Shaped Glass Pendant</t>
  </si>
  <si>
    <t>Dia.13"</t>
  </si>
  <si>
    <t>Gold/Clear</t>
  </si>
  <si>
    <t>Farm House</t>
  </si>
  <si>
    <t>2/1/2024</t>
  </si>
  <si>
    <t>23542148-000-004</t>
  </si>
  <si>
    <t>3/4/2024</t>
  </si>
  <si>
    <t>3/25/2024</t>
  </si>
  <si>
    <t>MP103-0825</t>
  </si>
  <si>
    <t>Swivel Glider</t>
  </si>
  <si>
    <t>Augustine</t>
  </si>
  <si>
    <t>Caddy</t>
  </si>
  <si>
    <t>Bewick</t>
  </si>
  <si>
    <t>Swivel Glider Chair</t>
  </si>
  <si>
    <t>Grey/Taupe</t>
  </si>
  <si>
    <t>6/21/2019</t>
  </si>
  <si>
    <t>AMAZONDS,AMERSIGNDS,CSNSTORES,LAMPDS,MACY02F,OLLIIX</t>
  </si>
  <si>
    <t>33955914-000-000</t>
  </si>
  <si>
    <t>7/31/2019</t>
  </si>
  <si>
    <t>9/14/2019</t>
  </si>
  <si>
    <t>CCL30-0027</t>
  </si>
  <si>
    <t>Croscill Classics</t>
  </si>
  <si>
    <t>NORMAL PILLOW</t>
  </si>
  <si>
    <t>Normal Pillow</t>
  </si>
  <si>
    <t>Aumont</t>
  </si>
  <si>
    <t>Oblong Decor Pillow</t>
  </si>
  <si>
    <t>22x15"</t>
  </si>
  <si>
    <t>Vintage</t>
  </si>
  <si>
    <t>10/24/2022</t>
  </si>
  <si>
    <t>AMAZON,CSNSTORES,DLCROSCILL,JCPENNEY01</t>
  </si>
  <si>
    <t>42067840-000-000</t>
  </si>
  <si>
    <t>8/3/2023</t>
  </si>
  <si>
    <t>10/1/2023</t>
  </si>
  <si>
    <t>MP95B-0288</t>
  </si>
  <si>
    <t>AWD</t>
  </si>
  <si>
    <t>Aurelian Emblem</t>
  </si>
  <si>
    <t>Natural Capiz with Gold Foil 2-piece Shadowbox Wall Decor Set</t>
  </si>
  <si>
    <t>Natural/Gold</t>
  </si>
  <si>
    <t>PP001709</t>
  </si>
  <si>
    <t>2</t>
  </si>
  <si>
    <t>Coastal</t>
  </si>
  <si>
    <t>6/19/2021</t>
  </si>
  <si>
    <t>AMAZON,AMAZONDS,AMERSIGNDS,BLK01,CSNSTORES,JCPENNEY01,KIRKLANDDS,KOHLDSN,LAMPDS,OLLIIX,TGTDVS</t>
  </si>
  <si>
    <t>39266366-000-000</t>
  </si>
  <si>
    <t>11/27/2021</t>
  </si>
  <si>
    <t>1/19/2022</t>
  </si>
  <si>
    <t>MP95C-0285</t>
  </si>
  <si>
    <t>CANVAS</t>
  </si>
  <si>
    <t>Canvas</t>
  </si>
  <si>
    <t>Auric Beam</t>
  </si>
  <si>
    <t>Gold Foil Abstract Framed Canvas Wall Art</t>
  </si>
  <si>
    <t>PP001664</t>
  </si>
  <si>
    <t>6/2/2021</t>
  </si>
  <si>
    <t>AMAZONDS,AMERSIGNDS,CSNSTORES,JCPENNEY01,KIRKLANDDS,KOHLDSN,MACY02,OLLIIX,ROOMECOM,TGTDVS</t>
  </si>
  <si>
    <t>38513312-000-000</t>
  </si>
  <si>
    <t>7/20/2021</t>
  </si>
  <si>
    <t>11/22/2021</t>
  </si>
  <si>
    <t>MP10-6034</t>
  </si>
  <si>
    <t>Ava</t>
  </si>
  <si>
    <t>Elicia</t>
  </si>
  <si>
    <t>Anett</t>
  </si>
  <si>
    <t>7 Piece Chenille Jacquard Comforter Set</t>
  </si>
  <si>
    <t>Taupe</t>
  </si>
  <si>
    <t>PF004426;PP000977</t>
  </si>
  <si>
    <t>7</t>
  </si>
  <si>
    <t>Modern/Contemporary|Transitional</t>
  </si>
  <si>
    <t>9/14/2018</t>
  </si>
  <si>
    <t>9/12/2024</t>
  </si>
  <si>
    <t>AMAZON,AMAZONDS,BLK01,CSNSTORES,JCPENNEY01,KOHLDSN,MACY02,NRTPORT,TGTDVS</t>
  </si>
  <si>
    <t>28623357-000-002</t>
  </si>
  <si>
    <t>8/31/2018</t>
  </si>
  <si>
    <t>10/22/2018</t>
  </si>
  <si>
    <t>MP40-3594</t>
  </si>
  <si>
    <t>Sheer</t>
  </si>
  <si>
    <t>Averil</t>
  </si>
  <si>
    <t>Vina</t>
  </si>
  <si>
    <t>Layla</t>
  </si>
  <si>
    <t>Grommet Top Sheer Bird on Branches Burnout Window Curtain</t>
  </si>
  <si>
    <t>PF003984</t>
  </si>
  <si>
    <t>Nature</t>
  </si>
  <si>
    <t>9/25/2024</t>
  </si>
  <si>
    <t>AMAZON,AMAZONDS,CSNSTORES,DESINC,JCPENNEY01,KOHLDSN,TGTDVS</t>
  </si>
  <si>
    <t>16625358-000-003</t>
  </si>
  <si>
    <t>8/31/2016</t>
  </si>
  <si>
    <t>10/19/2016</t>
  </si>
  <si>
    <t>MP40-3596</t>
  </si>
  <si>
    <t>AMAZON,AMAZONDS,JCPENNEY01</t>
  </si>
  <si>
    <t>16625358-000-005</t>
  </si>
  <si>
    <t>9/23/2016</t>
  </si>
  <si>
    <t>CCL40-0049</t>
  </si>
  <si>
    <t>Avignon</t>
  </si>
  <si>
    <t>Waterfall Valance (Single)</t>
  </si>
  <si>
    <t>38x46"</t>
  </si>
  <si>
    <t>Burgundy</t>
  </si>
  <si>
    <t>11/14/2022</t>
  </si>
  <si>
    <t>CSNSTORES</t>
  </si>
  <si>
    <t>42037171-000-002</t>
  </si>
  <si>
    <t>7/27/2023</t>
  </si>
  <si>
    <t>CCL40-0045</t>
  </si>
  <si>
    <t>Pleat Curtain Panel with Tieback (Single)</t>
  </si>
  <si>
    <t>52x96"</t>
  </si>
  <si>
    <t>Champagne</t>
  </si>
  <si>
    <t>CSNSTORES,DLCROSCILL,JCPENNEY01</t>
  </si>
  <si>
    <t>42036995-000-000</t>
  </si>
  <si>
    <t>9/1/2023</t>
  </si>
  <si>
    <t>CCL40-0046</t>
  </si>
  <si>
    <t>CSNSTORES,DLCROSCILL,JCPENNEY01,OLLIIX</t>
  </si>
  <si>
    <t>42037171-000-001</t>
  </si>
  <si>
    <t>CCL40-0051</t>
  </si>
  <si>
    <t>42036995-000-006</t>
  </si>
  <si>
    <t>CCL40-0052</t>
  </si>
  <si>
    <t>DLCROSCILL</t>
  </si>
  <si>
    <t>42037171-000-003</t>
  </si>
  <si>
    <t>11/10/2023</t>
  </si>
  <si>
    <t>FPF18-0419</t>
  </si>
  <si>
    <t>Barton</t>
  </si>
  <si>
    <t>Weston</t>
  </si>
  <si>
    <t>Colette</t>
  </si>
  <si>
    <t>Wing Chair</t>
  </si>
  <si>
    <t>PF000703;PP000093</t>
  </si>
  <si>
    <t>CSNSTORES,KOHLDSN,MACY02F,ROOMECOM</t>
  </si>
  <si>
    <t>18298232-000-000</t>
  </si>
  <si>
    <t>4/29/2016</t>
  </si>
  <si>
    <t>FPF18-0151</t>
  </si>
  <si>
    <t>PF000615;PP000093</t>
  </si>
  <si>
    <t>CSNSTORES,MACY02F</t>
  </si>
  <si>
    <t>17880174-000-000</t>
  </si>
  <si>
    <t>3/21/2017</t>
  </si>
  <si>
    <t>FPF18-0152</t>
  </si>
  <si>
    <t>PF000616;PP000093</t>
  </si>
  <si>
    <t>CSNSTORES,KOHLDSN,ROOMECOM</t>
  </si>
  <si>
    <t>17880173-000-000</t>
  </si>
  <si>
    <t>6/4/2018</t>
  </si>
  <si>
    <t>5DS153-0041</t>
  </si>
  <si>
    <t>510 Design</t>
  </si>
  <si>
    <t>LGT-TABLE LAMPS</t>
  </si>
  <si>
    <t>Table Task Lamps</t>
  </si>
  <si>
    <t>Bayard</t>
  </si>
  <si>
    <t>Embossed Ceramic Table Lamp</t>
  </si>
  <si>
    <t>12/23/2021</t>
  </si>
  <si>
    <t>KIRKLANDDS,KOHLDSN,OLLIIX,ROOMECOM,TGTDVS</t>
  </si>
  <si>
    <t>39463511-000-000</t>
  </si>
  <si>
    <t>1/5/2022</t>
  </si>
  <si>
    <t>4/25/2022</t>
  </si>
  <si>
    <t>ID95C-0059</t>
  </si>
  <si>
    <t>Beach Dogs</t>
  </si>
  <si>
    <t>Chihuahua Canvas Wall Art</t>
  </si>
  <si>
    <t>Chihuahua/Blue Multi</t>
  </si>
  <si>
    <t>Animal</t>
  </si>
  <si>
    <t>10/7/2023</t>
  </si>
  <si>
    <t>MACY02,OLLIIX</t>
  </si>
  <si>
    <t>42721561-000-005</t>
  </si>
  <si>
    <t>10/8/2023</t>
  </si>
  <si>
    <t>ID95C-0054</t>
  </si>
  <si>
    <t>Corgi Canvas Wall Art</t>
  </si>
  <si>
    <t>Corgi/Blue Multi</t>
  </si>
  <si>
    <t>10/6/2023</t>
  </si>
  <si>
    <t>AMAZON,KOHLDSN,OLLIIX</t>
  </si>
  <si>
    <t>42721561-000-003</t>
  </si>
  <si>
    <t>1/22/2024</t>
  </si>
  <si>
    <t>ID95C-0058</t>
  </si>
  <si>
    <t>Golden Retriever Canvas Wall Art</t>
  </si>
  <si>
    <t>Golden Retriever/Blue Multi</t>
  </si>
  <si>
    <t>MACY02,OLLIIX,TGTDVS</t>
  </si>
  <si>
    <t>42721561-000-004</t>
  </si>
  <si>
    <t>MP40-7496</t>
  </si>
  <si>
    <t>Beals</t>
  </si>
  <si>
    <t>Barnet</t>
  </si>
  <si>
    <t>Bayer</t>
  </si>
  <si>
    <t>Faux Linen Rod Pocket and Back Tab Fleece Lined Curtain Panel</t>
  </si>
  <si>
    <t>PP001631;PF005475</t>
  </si>
  <si>
    <t>7/10/2021</t>
  </si>
  <si>
    <t>AMAZON,BLK01,CSNSTORES,JCPENNEY01,KOHLDSN,OLLIIX,TGTDVS</t>
  </si>
  <si>
    <t>38477180-000-001</t>
  </si>
  <si>
    <t>7/14/2021</t>
  </si>
  <si>
    <t>1/3/2023</t>
  </si>
  <si>
    <t>MPS115-0291</t>
  </si>
  <si>
    <t>BED</t>
  </si>
  <si>
    <t>Bed</t>
  </si>
  <si>
    <t>Beckett</t>
  </si>
  <si>
    <t>Antique Cream</t>
  </si>
  <si>
    <t>Yes</t>
  </si>
  <si>
    <t>9/28/2020</t>
  </si>
  <si>
    <t>CSNSTORES,OLLIIX</t>
  </si>
  <si>
    <t>20439489-000-003</t>
  </si>
  <si>
    <t>10/12/2020</t>
  </si>
  <si>
    <t>MPS115-0059</t>
  </si>
  <si>
    <t>Morocco Brown</t>
  </si>
  <si>
    <t>PP000288</t>
  </si>
  <si>
    <t>4/27/2017</t>
  </si>
  <si>
    <t>8/11/2024</t>
  </si>
  <si>
    <t>CSNSTORES,HOUZZ,OLLIIX</t>
  </si>
  <si>
    <t>20439489-000-001</t>
  </si>
  <si>
    <t>12/8/2016</t>
  </si>
  <si>
    <t>5/30/2017</t>
  </si>
  <si>
    <t>MP10-2417</t>
  </si>
  <si>
    <t>Bennett</t>
  </si>
  <si>
    <t>Christian</t>
  </si>
  <si>
    <t>William</t>
  </si>
  <si>
    <t>7 Piece Comforter Set</t>
  </si>
  <si>
    <t>PF002753</t>
  </si>
  <si>
    <t>Transitional|Glam/Luxury</t>
  </si>
  <si>
    <t>18078606-000-002</t>
  </si>
  <si>
    <t>1/12/2016</t>
  </si>
  <si>
    <t>SS40-0061</t>
  </si>
  <si>
    <t>SunSmart</t>
  </si>
  <si>
    <t>Bentley</t>
  </si>
  <si>
    <t>Abel</t>
  </si>
  <si>
    <t>Byron</t>
  </si>
  <si>
    <t>Ogee Knitted Jacquard Total Blackout Curtain Panel</t>
  </si>
  <si>
    <t>PP000358;PF004025</t>
  </si>
  <si>
    <t>Total Blackout</t>
  </si>
  <si>
    <t>BLK01,CSNSTORES,JCPENNEY01,KOHLDSN,LOWESDS,TGTDVS,WALMARTDS</t>
  </si>
  <si>
    <t>25504572-000-002</t>
  </si>
  <si>
    <t>12/22/2017</t>
  </si>
  <si>
    <t>1/31/2018</t>
  </si>
  <si>
    <t>SS40-0120</t>
  </si>
  <si>
    <t>PP000358;PF004699</t>
  </si>
  <si>
    <t>6/12/2019</t>
  </si>
  <si>
    <t>9/29/2024</t>
  </si>
  <si>
    <t>CSNSTORES,HDDS,JCPENNEY01,KOHLDSN</t>
  </si>
  <si>
    <t>25504572-000-007</t>
  </si>
  <si>
    <t>6/20/2019</t>
  </si>
  <si>
    <t>11/1/2019</t>
  </si>
  <si>
    <t>MP100-0153</t>
  </si>
  <si>
    <t>DINING CHAIR</t>
  </si>
  <si>
    <t>Dining Chair</t>
  </si>
  <si>
    <t>Bexley</t>
  </si>
  <si>
    <t>Larkin</t>
  </si>
  <si>
    <t>Oda</t>
  </si>
  <si>
    <t>Rounded Back Dining Chair</t>
  </si>
  <si>
    <t>PF001054;PP000096</t>
  </si>
  <si>
    <t>CASTLEGATE,CSNSTORES,HOUZZ,KOHLDSN,MACY02F,NEBFUR01,OLLIIX,ZOLA</t>
  </si>
  <si>
    <t>22078834-000-000</t>
  </si>
  <si>
    <t>5/8/2017</t>
  </si>
  <si>
    <t>8/27/2017</t>
  </si>
  <si>
    <t>FPF18-0404</t>
  </si>
  <si>
    <t>Charcoal</t>
  </si>
  <si>
    <t>PF000695;PP000096</t>
  </si>
  <si>
    <t>CASTLEGATE,CSNSTORES,HOUZZ,KOHLDSN,MACY02F,OLLIIX</t>
  </si>
  <si>
    <t>22078834-000-001</t>
  </si>
  <si>
    <t>8/19/2018</t>
  </si>
  <si>
    <t>9/24/2018</t>
  </si>
  <si>
    <t>MP100-0152</t>
  </si>
  <si>
    <t>PF001053;PP000096</t>
  </si>
  <si>
    <t>CSNSTORES,HOUZZ,KIRKLANDDS,KOHLDSN,MACY02F,NEBFUR01,OLLIIX,ROOMECOM,TGTDVS</t>
  </si>
  <si>
    <t>20985770-000-000</t>
  </si>
  <si>
    <t>2/22/2017</t>
  </si>
  <si>
    <t>5/19/2017</t>
  </si>
  <si>
    <t>5DS73-0201</t>
  </si>
  <si>
    <t>Big Bundle</t>
  </si>
  <si>
    <t>100% Cotton Quick Dry 12 Piece Bath Towel Set</t>
  </si>
  <si>
    <t>12-Piece</t>
  </si>
  <si>
    <t>PP001159;PF006346</t>
  </si>
  <si>
    <t>AAFESDS,BEALLSDS,BIGLOTSDS,BLK01,CSNSTORES,DESINC,FINGERHUTDS,JCPENNEY01,KOHLDSN,MACY02,OLLIIX,TGTDVS,WALMARTDS</t>
  </si>
  <si>
    <t>33127889-000-000</t>
  </si>
  <si>
    <t>6/15/2019</t>
  </si>
  <si>
    <t>1/20/2020</t>
  </si>
  <si>
    <t>5DS73-0202</t>
  </si>
  <si>
    <t>Indigo</t>
  </si>
  <si>
    <t>PP001159;PF006343</t>
  </si>
  <si>
    <t>9/17/2024</t>
  </si>
  <si>
    <t>AAFESDS,AMAZONDS,BEALLSDS,BLK01,CSNSTORES,DESINC,FINGERHUTDS,HDDS,JCPENNEY01,KOHLDSN,MACY02,NEBFUR01,OLLIIX,TGTDVS</t>
  </si>
  <si>
    <t>33127889-000-002</t>
  </si>
  <si>
    <t>7/15/2019</t>
  </si>
  <si>
    <t>5DS73-0200</t>
  </si>
  <si>
    <t>PP001159;PF006344</t>
  </si>
  <si>
    <t>AAFESDS,AMAZON,BLK01,CSNSTORES,FINGERHUTDS,HDDS,JCPENNEY01,KOHLDSN,MACY02,OLLIIX,TGTDVS,WALMARTDS</t>
  </si>
  <si>
    <t>33127889-000-001</t>
  </si>
  <si>
    <t>7/18/2019</t>
  </si>
  <si>
    <t>CCL30-0031</t>
  </si>
  <si>
    <t>Biron</t>
  </si>
  <si>
    <t>Square Decor Pillow</t>
  </si>
  <si>
    <t>18x18"</t>
  </si>
  <si>
    <t>42067836-000-001</t>
  </si>
  <si>
    <t>CCL30-0030</t>
  </si>
  <si>
    <t>AMAZONDS,CSNSTORES,DLCROSCILL,MACY02</t>
  </si>
  <si>
    <t>42067836-000-000</t>
  </si>
  <si>
    <t>9/27/2023</t>
  </si>
  <si>
    <t>MP10-8211</t>
  </si>
  <si>
    <t>Blair</t>
  </si>
  <si>
    <t>Dakota</t>
  </si>
  <si>
    <t>Ruched Fur Down Alternative Comforter Set</t>
  </si>
  <si>
    <t>PP001807;PF005999</t>
  </si>
  <si>
    <t>7/5/2023</t>
  </si>
  <si>
    <t>CSNSTORES,JCPENNEY01,KOHLDSN,MACY02,OLLIIX,TGTDVS</t>
  </si>
  <si>
    <t>40552139-000-002</t>
  </si>
  <si>
    <t>7/24/2023</t>
  </si>
  <si>
    <t>10/23/2023</t>
  </si>
  <si>
    <t>MP10-8212</t>
  </si>
  <si>
    <t>CSNSTORES,JCPENNEY01,MACY02,NRTPORT,OLLIIX,TGTDVS</t>
  </si>
  <si>
    <t>40552139-000-004</t>
  </si>
  <si>
    <t>9/5/2023</t>
  </si>
  <si>
    <t>ID10-2332</t>
  </si>
  <si>
    <t xml:space="preserve">Intelligent Design </t>
  </si>
  <si>
    <t>Blake</t>
  </si>
  <si>
    <t>Liam</t>
  </si>
  <si>
    <t>Reeve</t>
  </si>
  <si>
    <t>Plaid Comforter Set</t>
  </si>
  <si>
    <t>Twin/Twin XL</t>
  </si>
  <si>
    <t>Tan/Gray</t>
  </si>
  <si>
    <t>PF006203</t>
  </si>
  <si>
    <t>3/16/2024</t>
  </si>
  <si>
    <t>AMAZON,AMAZONDS,DESINC,JCPENNEY01,KOHLDSN,MACY02,TGTDVS</t>
  </si>
  <si>
    <t>43735708-000-000</t>
  </si>
  <si>
    <t>3/21/2024</t>
  </si>
  <si>
    <t>5/5/2024</t>
  </si>
  <si>
    <t>ID12-2334</t>
  </si>
  <si>
    <t>Plaid Duvet Cover Set</t>
  </si>
  <si>
    <t>JCPENNEY01,KOHLDSN,MACY02,TGTDVS</t>
  </si>
  <si>
    <t>43736509-000-001</t>
  </si>
  <si>
    <t>3/22/2024</t>
  </si>
  <si>
    <t>SS40-0070</t>
  </si>
  <si>
    <t>Blakesly</t>
  </si>
  <si>
    <t>Kagen</t>
  </si>
  <si>
    <t>Etro</t>
  </si>
  <si>
    <t>Printed Ikat Blackout Curtain Panel</t>
  </si>
  <si>
    <t>PP000592;PF004055</t>
  </si>
  <si>
    <t>Blackout</t>
  </si>
  <si>
    <t>AMAZON,AMAZONDS,CSNSTORES,JCPENNEY01,KOHLDSN,OLLIIX,TGTDVS</t>
  </si>
  <si>
    <t>25450234-000-005</t>
  </si>
  <si>
    <t>12/13/2017</t>
  </si>
  <si>
    <t>7/2/2018</t>
  </si>
  <si>
    <t>SS40-0073</t>
  </si>
  <si>
    <t>PP000592;PF004056</t>
  </si>
  <si>
    <t>AMAZON,AMAZONDS,CSNSTORES,DESINC,HDDS,JCPENNEY01,KOHLDSN,OLLIIX,TGTDVS,WALMARTDS</t>
  </si>
  <si>
    <t>25450234-000-008</t>
  </si>
  <si>
    <t>2/20/2018</t>
  </si>
  <si>
    <t>WR50-3967</t>
  </si>
  <si>
    <t>Throw</t>
  </si>
  <si>
    <t>Bloomington</t>
  </si>
  <si>
    <t>Faux Mohair to Sherpa Throw</t>
  </si>
  <si>
    <t>PP001878;PF005992</t>
  </si>
  <si>
    <t>8/25/2023</t>
  </si>
  <si>
    <t>KOHLDSN,MACY02,OLLIIX,TGTDVS</t>
  </si>
  <si>
    <t>42171499-000-003</t>
  </si>
  <si>
    <t>10/25/2023</t>
  </si>
  <si>
    <t>WR50-3969</t>
  </si>
  <si>
    <t>PP001878;PF005994</t>
  </si>
  <si>
    <t>AMAZON,KOHLDSN,MACY02,OLLIIX</t>
  </si>
  <si>
    <t>42171499-000-002</t>
  </si>
  <si>
    <t>MP95C-0103A</t>
  </si>
  <si>
    <t>Blue Bliss</t>
  </si>
  <si>
    <t>Abstract 5-piece Gallery Framed Canvas Wall Art Set</t>
  </si>
  <si>
    <t>PF002001</t>
  </si>
  <si>
    <t>5</t>
  </si>
  <si>
    <t>4/26/2017</t>
  </si>
  <si>
    <t>AMAZON,ASHFURNDS,CSNSTORES,HOUZZ,KIRKLANDDS,KOHLDSN,LOWESDS,ZOLA</t>
  </si>
  <si>
    <t>22661272-000-000</t>
  </si>
  <si>
    <t>6/9/2017</t>
  </si>
  <si>
    <t>6/27/2017</t>
  </si>
  <si>
    <t>MP95C-0179A</t>
  </si>
  <si>
    <t>Blue Horizon</t>
  </si>
  <si>
    <t>5-piece Gallery Framed Canvas Wall Art Set</t>
  </si>
  <si>
    <t>Blue Multi</t>
  </si>
  <si>
    <t>PP001102;PF004596</t>
  </si>
  <si>
    <t>Global Inspired|Industrial</t>
  </si>
  <si>
    <t>12/28/2018</t>
  </si>
  <si>
    <t>AMAZON,AMAZONDS,ASHFURNDS,CSNSTORES,KIRKLANDDS,ROOMECOM</t>
  </si>
  <si>
    <t>32348945-000-000</t>
  </si>
  <si>
    <t>2/13/2019</t>
  </si>
  <si>
    <t>2/20/2019</t>
  </si>
  <si>
    <t>MP95C-0133</t>
  </si>
  <si>
    <t>Blue Lagoon 2</t>
  </si>
  <si>
    <t>Abstract 2-piece Framed Canvas Wall Art Set</t>
  </si>
  <si>
    <t>PP000609</t>
  </si>
  <si>
    <t>10/12/2017</t>
  </si>
  <si>
    <t>AMAZON,AMAZONDS,ASHFURNDS,BEALLSDS,KIRKLANDDS,KOHLDSN,OLLIIX,TGTDVS</t>
  </si>
  <si>
    <t>25582615-000-000</t>
  </si>
  <si>
    <t>1/5/2018</t>
  </si>
  <si>
    <t>2/12/2018</t>
  </si>
  <si>
    <t>MP95B-0252</t>
  </si>
  <si>
    <t>Wall Decor</t>
  </si>
  <si>
    <t>Boho Notion</t>
  </si>
  <si>
    <t>White Medallion Wood Wall Decor</t>
  </si>
  <si>
    <t>PP001436;PF005003</t>
  </si>
  <si>
    <t>Global Inspired</t>
  </si>
  <si>
    <t>5/21/2020</t>
  </si>
  <si>
    <t>36275946-000-000</t>
  </si>
  <si>
    <t>6/4/2020</t>
  </si>
  <si>
    <t>7/13/2020</t>
  </si>
  <si>
    <t>II103-0498</t>
  </si>
  <si>
    <t>Bonn</t>
  </si>
  <si>
    <t>Upholstered 360 Degree Swivel Chair</t>
  </si>
  <si>
    <t>Beige</t>
  </si>
  <si>
    <t>2/22/2023</t>
  </si>
  <si>
    <t>12/7/2024</t>
  </si>
  <si>
    <t>KIRKLANDDS,MACY02F,OLLIIX,ZOLA</t>
  </si>
  <si>
    <t>41285717-000-000</t>
  </si>
  <si>
    <t>3/26/2023</t>
  </si>
  <si>
    <t>5/11/2023</t>
  </si>
  <si>
    <t>IIF20-0040</t>
  </si>
  <si>
    <t>Boomerang</t>
  </si>
  <si>
    <t>Dining Chair (Set of 2)</t>
  </si>
  <si>
    <t>PF000220;PP000013</t>
  </si>
  <si>
    <t>ASHFURNDS,CSNSTORES,HDDS,HOUZZ,KOHLDSN,LAMPDS,MACY02F,OLLIIX,TGTDVS</t>
  </si>
  <si>
    <t>19904356-000-000</t>
  </si>
  <si>
    <t>10/26/2016</t>
  </si>
  <si>
    <t>11/30/2016</t>
  </si>
  <si>
    <t>UH153-0057</t>
  </si>
  <si>
    <t>Borel</t>
  </si>
  <si>
    <t>Ombre Glass Table Lamp</t>
  </si>
  <si>
    <t>CSNSTORES,JCPENNEY01,KOHLDSN,MACY02,OLLIIX,ROOMECOM,TGTDVS,Zulily</t>
  </si>
  <si>
    <t>24339012-000-000</t>
  </si>
  <si>
    <t>11/1/2017</t>
  </si>
  <si>
    <t>2/14/2018</t>
  </si>
  <si>
    <t>MP100-0575</t>
  </si>
  <si>
    <t>Brayden</t>
  </si>
  <si>
    <t>Kendrick</t>
  </si>
  <si>
    <t>Rhodes</t>
  </si>
  <si>
    <t>Accent Chair</t>
  </si>
  <si>
    <t>PP000716</t>
  </si>
  <si>
    <t>1/23/2018</t>
  </si>
  <si>
    <t>CSNSTORES,MACY02F,OLLIIX</t>
  </si>
  <si>
    <t>26757918-000-000</t>
  </si>
  <si>
    <t>4/12/2018</t>
  </si>
  <si>
    <t>2/18/2021</t>
  </si>
  <si>
    <t>II21-1304</t>
  </si>
  <si>
    <t>PILLOWCASE</t>
  </si>
  <si>
    <t>Pillowcase</t>
  </si>
  <si>
    <t>Bree Knit</t>
  </si>
  <si>
    <t>Oblong Pillow Cover</t>
  </si>
  <si>
    <t>12x20"</t>
  </si>
  <si>
    <t>Brown</t>
  </si>
  <si>
    <t>PP001571;PF006068</t>
  </si>
  <si>
    <t>Acrylic</t>
  </si>
  <si>
    <t>19510041-000-006</t>
  </si>
  <si>
    <t>II21-1301</t>
  </si>
  <si>
    <t>Square Pillow Cover</t>
  </si>
  <si>
    <t>20x20"</t>
  </si>
  <si>
    <t>KOHLDSN,TGTDVS</t>
  </si>
  <si>
    <t>19510042-000-007</t>
  </si>
  <si>
    <t>II21-1307</t>
  </si>
  <si>
    <t>Euro Pillow Cover</t>
  </si>
  <si>
    <t>26x26"</t>
  </si>
  <si>
    <t>AMAZONDS,KOHLDSN,OLLIIX,TGTDVS</t>
  </si>
  <si>
    <t>21015342-000-006</t>
  </si>
  <si>
    <t>II21-1300</t>
  </si>
  <si>
    <t>PP001571;PF006067</t>
  </si>
  <si>
    <t>CSNSTORES,KOHLDSN,TGTDVS</t>
  </si>
  <si>
    <t>19510042-000-008</t>
  </si>
  <si>
    <t>11/28/2023</t>
  </si>
  <si>
    <t>II51-1135</t>
  </si>
  <si>
    <t>BLANKET</t>
  </si>
  <si>
    <t>Blanket</t>
  </si>
  <si>
    <t>PP001571;PF005282</t>
  </si>
  <si>
    <t>1/16/2021</t>
  </si>
  <si>
    <t>AMAZON,AMAZONDS,CSNSTORES,HDDS,JCPENNEY01,KOHLDSN,MACY02,NRTPORT,TGTDVS</t>
  </si>
  <si>
    <t>18986582-000-012</t>
  </si>
  <si>
    <t>1/17/2021</t>
  </si>
  <si>
    <t>2/8/2021</t>
  </si>
  <si>
    <t>II30-1139</t>
  </si>
  <si>
    <t>1/13/2021</t>
  </si>
  <si>
    <t>19510042-000-005</t>
  </si>
  <si>
    <t>1/24/2021</t>
  </si>
  <si>
    <t>2/9/2021</t>
  </si>
  <si>
    <t>II51-1142</t>
  </si>
  <si>
    <t>PP001571;PF005283</t>
  </si>
  <si>
    <t>AMAZON,CSNSTORES,HDDS,JCPENNEY01,KIRKLANDDS,MACY02,TGTDVS</t>
  </si>
  <si>
    <t>18986582-000-017</t>
  </si>
  <si>
    <t>1/28/2021</t>
  </si>
  <si>
    <t>II51-724</t>
  </si>
  <si>
    <t>PF003487</t>
  </si>
  <si>
    <t>AMAZON,CSNSTORES,HDDS,MACY02,TGTDVS</t>
  </si>
  <si>
    <t>18986582-000-000</t>
  </si>
  <si>
    <t>II51-725</t>
  </si>
  <si>
    <t>18986582-000-001</t>
  </si>
  <si>
    <t>II30-740</t>
  </si>
  <si>
    <t>CSNSTORES,MACY02,TGTDVS</t>
  </si>
  <si>
    <t>19510041-000-000</t>
  </si>
  <si>
    <t>10/10/2016</t>
  </si>
  <si>
    <t>II51-1308</t>
  </si>
  <si>
    <t>Light Blue</t>
  </si>
  <si>
    <t>PP001571;PF006066</t>
  </si>
  <si>
    <t>AMAZON,AMAZONDS,MACY02,TGTDVS</t>
  </si>
  <si>
    <t>18986582-000-019</t>
  </si>
  <si>
    <t>II51-1309</t>
  </si>
  <si>
    <t>CSNSTORES,HDDS,KOHLDSN,MACY02,TGTDVS</t>
  </si>
  <si>
    <t>18986582-000-020</t>
  </si>
  <si>
    <t>II51-1310</t>
  </si>
  <si>
    <t>AMAZON,KOHLDSN,MACY02,TGTDVS</t>
  </si>
  <si>
    <t>18986582-000-018</t>
  </si>
  <si>
    <t>11/24/2023</t>
  </si>
  <si>
    <t>II21-1302</t>
  </si>
  <si>
    <t>19510041-000-008</t>
  </si>
  <si>
    <t>3/29/2024</t>
  </si>
  <si>
    <t>II21-1305</t>
  </si>
  <si>
    <t>21015342-000-008</t>
  </si>
  <si>
    <t>3/27/2024</t>
  </si>
  <si>
    <t>ID10-2253</t>
  </si>
  <si>
    <t>Brielle</t>
  </si>
  <si>
    <t>Ella</t>
  </si>
  <si>
    <t>Ombre Shaggy Long Fur Comforter Mini Set</t>
  </si>
  <si>
    <t>PP001784;PF006057</t>
  </si>
  <si>
    <t>Ombre</t>
  </si>
  <si>
    <t>CSNSTORES,KOHLDSN,MACY02,NRTPORT,TGTDVS</t>
  </si>
  <si>
    <t>40279133-000-010</t>
  </si>
  <si>
    <t>8/31/2023</t>
  </si>
  <si>
    <t>9/4/2023</t>
  </si>
  <si>
    <t>MP100-0038</t>
  </si>
  <si>
    <t>Brody</t>
  </si>
  <si>
    <t>Victor</t>
  </si>
  <si>
    <t>Taye</t>
  </si>
  <si>
    <t>Wing Dining Chair (Set of 2)</t>
  </si>
  <si>
    <t>Cream</t>
  </si>
  <si>
    <t>PF000259;PP000104</t>
  </si>
  <si>
    <t>CSNSTORES,JCPENNEY01,KOHLDSN,LAMPDS,MACY02F,OLLIIX,ROOMECOM</t>
  </si>
  <si>
    <t>20558551-000-000</t>
  </si>
  <si>
    <t>12/21/2016</t>
  </si>
  <si>
    <t>FPF20-0551</t>
  </si>
  <si>
    <t>BAR STOOL</t>
  </si>
  <si>
    <t>Counter Stool</t>
  </si>
  <si>
    <t>PF000080;PP000104</t>
  </si>
  <si>
    <t>CSNSTORES,OLLIIX,ROOMECOM</t>
  </si>
  <si>
    <t>19006007-000-000</t>
  </si>
  <si>
    <t>9/19/2016</t>
  </si>
  <si>
    <t>II153-0147</t>
  </si>
  <si>
    <t>Bromley</t>
  </si>
  <si>
    <t>Two Tone Pull-chain Table Lamp</t>
  </si>
  <si>
    <t>Gold/Brown</t>
  </si>
  <si>
    <t>6/9/2023</t>
  </si>
  <si>
    <t>CSNSTORES,JCPENNEY01,KOHLDSN,OLLIIX,TGTDVS</t>
  </si>
  <si>
    <t>41728195-000-000</t>
  </si>
  <si>
    <t>6/11/2023</t>
  </si>
  <si>
    <t>7/12/2023</t>
  </si>
  <si>
    <t>MP100-0991</t>
  </si>
  <si>
    <t>Brooke</t>
  </si>
  <si>
    <t>Miri</t>
  </si>
  <si>
    <t>Annie</t>
  </si>
  <si>
    <t>Tight Back Club Chair</t>
  </si>
  <si>
    <t>7/9/2020</t>
  </si>
  <si>
    <t>AMAZONDS,AMERSIGNDS,ASHFURNDS,CSNSTORES,JCPENNEY01,KIRKLANDDS,KOHLDSN,MACY02F</t>
  </si>
  <si>
    <t>17880191-000-001</t>
  </si>
  <si>
    <t>7/24/2020</t>
  </si>
  <si>
    <t>8/5/2020</t>
  </si>
  <si>
    <t>FPF18-0486</t>
  </si>
  <si>
    <t>PF000738;PP000105</t>
  </si>
  <si>
    <t>ASHFURNDS,CASTLEGATE,CSNSTORES,HDDS,OLLIIX,ROOMECOM</t>
  </si>
  <si>
    <t>18344588-000-000</t>
  </si>
  <si>
    <t>3/11/2016</t>
  </si>
  <si>
    <t>UH10-2155</t>
  </si>
  <si>
    <t>Urban Habitat</t>
  </si>
  <si>
    <t>Brooklyn</t>
  </si>
  <si>
    <t>Maize</t>
  </si>
  <si>
    <t>Kay</t>
  </si>
  <si>
    <t>Cotton Jacquard Comforter Set with Euro Shams and Throw Pillows</t>
  </si>
  <si>
    <t>PP000834;PF004165</t>
  </si>
  <si>
    <t>Shabby Chic</t>
  </si>
  <si>
    <t>Cottage/Country|Farmhouse</t>
  </si>
  <si>
    <t>12/26/2017</t>
  </si>
  <si>
    <t>AMAZON,AMAZONDS,BLK01,CSNSTORES,MACY02,OLLIIX</t>
  </si>
  <si>
    <t>22066584-000-011</t>
  </si>
  <si>
    <t>3/19/2018</t>
  </si>
  <si>
    <t>3/27/2018</t>
  </si>
  <si>
    <t>UH12-2258</t>
  </si>
  <si>
    <t>Cotton Jacquard Duvet Cover Set with Euro Shams and Throw Pillows</t>
  </si>
  <si>
    <t>PP000834;PF004683</t>
  </si>
  <si>
    <t>5/14/2019</t>
  </si>
  <si>
    <t>MACY02,TGTDVS</t>
  </si>
  <si>
    <t>22066583-000-007</t>
  </si>
  <si>
    <t>5/16/2019</t>
  </si>
  <si>
    <t>6/24/2019</t>
  </si>
  <si>
    <t>UH12-2260</t>
  </si>
  <si>
    <t>AMAZON,AMAZONDS,BLK01,CSNSTORES,JCPENNEY01,KOHLDSN,MACY02,TGTDVS</t>
  </si>
  <si>
    <t>22066583-000-003</t>
  </si>
  <si>
    <t>6/6/2019</t>
  </si>
  <si>
    <t>UH10-2263</t>
  </si>
  <si>
    <t>PP000834;PF004684</t>
  </si>
  <si>
    <t>AMAZON,AMAZONDS,ASHFURNDS,BLK01,CSNSTORES,KOHLDSN,MACY02,OLLIIX,TGTDVS</t>
  </si>
  <si>
    <t>22066584-000-003</t>
  </si>
  <si>
    <t>7/25/2019</t>
  </si>
  <si>
    <t>UH12-0209</t>
  </si>
  <si>
    <t>Pink</t>
  </si>
  <si>
    <t>PF002471</t>
  </si>
  <si>
    <t>4/22/2017</t>
  </si>
  <si>
    <t>AMAZON,BLK01,JCPENNEY01,KOHLDSN,MACY02</t>
  </si>
  <si>
    <t>22066583-000-011</t>
  </si>
  <si>
    <t>5/4/2017</t>
  </si>
  <si>
    <t>5/18/2017</t>
  </si>
  <si>
    <t>UH70-2242</t>
  </si>
  <si>
    <t>Brooklyn Cotton Jacquard Pom Pom Shower Curtain</t>
  </si>
  <si>
    <t>70x72"</t>
  </si>
  <si>
    <t>PF002471;PP000834</t>
  </si>
  <si>
    <t>12/27/2018</t>
  </si>
  <si>
    <t>AMAZON,AMAZONDS,HDDS,JCPENNEY01,KOHLDSN,MACY02,TGTDVS,WALMARTDS</t>
  </si>
  <si>
    <t>31010783-000-001</t>
  </si>
  <si>
    <t>4/26/2019</t>
  </si>
  <si>
    <t>UH10-2494</t>
  </si>
  <si>
    <t>Rust</t>
  </si>
  <si>
    <t>PP000834;PF006097</t>
  </si>
  <si>
    <t>12/30/2023</t>
  </si>
  <si>
    <t>9/28/2024</t>
  </si>
  <si>
    <t>CSNSTORES,OLLIIX,TGTDVS</t>
  </si>
  <si>
    <t>22066584-000-019</t>
  </si>
  <si>
    <t>1/2/2024</t>
  </si>
  <si>
    <t>UH12-2497</t>
  </si>
  <si>
    <t>AMAZON,KOHLDSN,TGTDVS</t>
  </si>
  <si>
    <t>22066583-000-020</t>
  </si>
  <si>
    <t>1/21/2024</t>
  </si>
  <si>
    <t>3/6/2024</t>
  </si>
  <si>
    <t>UH10-2495</t>
  </si>
  <si>
    <t>AMAZON,BLK01,HDDS,MACY02,OLLIIX,TGTDVS</t>
  </si>
  <si>
    <t>22066584-000-018</t>
  </si>
  <si>
    <t>1/1/2024</t>
  </si>
  <si>
    <t>1/15/2024</t>
  </si>
  <si>
    <t>UH10-2496</t>
  </si>
  <si>
    <t>22066584-000-020</t>
  </si>
  <si>
    <t>1/8/2024</t>
  </si>
  <si>
    <t>UH12-2499</t>
  </si>
  <si>
    <t>22066583-000-019</t>
  </si>
  <si>
    <t>PET66PT6198</t>
  </si>
  <si>
    <t>PET</t>
  </si>
  <si>
    <t>PET ACCESSORIES</t>
  </si>
  <si>
    <t>Pet Accessories</t>
  </si>
  <si>
    <t>Bumpi</t>
  </si>
  <si>
    <t>Avocado</t>
  </si>
  <si>
    <t>N/A</t>
  </si>
  <si>
    <t>43809388-000-000</t>
  </si>
  <si>
    <t>PET66PT6025-SM</t>
  </si>
  <si>
    <t>Kettlebell Rubber Toy SM</t>
  </si>
  <si>
    <t>Orange</t>
  </si>
  <si>
    <t>3/31/2023</t>
  </si>
  <si>
    <t>AMAZONDS</t>
  </si>
  <si>
    <t>43809386-000-003</t>
  </si>
  <si>
    <t>4/10/2024</t>
  </si>
  <si>
    <t>7/25/2024</t>
  </si>
  <si>
    <t>PET66PT6023</t>
  </si>
  <si>
    <t>Dumbbell Rubber Toy 2PK</t>
  </si>
  <si>
    <t>Pink/Orange</t>
  </si>
  <si>
    <t>43809386-000-000</t>
  </si>
  <si>
    <t>7/29/2024</t>
  </si>
  <si>
    <t>PET66PT6195</t>
  </si>
  <si>
    <t>Hedgehog with tennis ball</t>
  </si>
  <si>
    <t>Rose Red Hedgehog</t>
  </si>
  <si>
    <t>43809385-000-000</t>
  </si>
  <si>
    <t>PET66PT6194</t>
  </si>
  <si>
    <t>Teal Hedgehog</t>
  </si>
  <si>
    <t>43809385-000-001</t>
  </si>
  <si>
    <t>PET66PT6199</t>
  </si>
  <si>
    <t>Tortoise Puzzle Dog Toy</t>
  </si>
  <si>
    <t>Tortoise Puzzle</t>
  </si>
  <si>
    <t>8/16/2023</t>
  </si>
  <si>
    <t>43809387-000-000</t>
  </si>
  <si>
    <t>PET66PT6025-LG</t>
  </si>
  <si>
    <t>Kettlebell Rubber Toy LG</t>
  </si>
  <si>
    <t>43809386-000-002</t>
  </si>
  <si>
    <t>MP13-775</t>
  </si>
  <si>
    <t>COVERLET&amp;BEDSPR</t>
  </si>
  <si>
    <t>Coverlet</t>
  </si>
  <si>
    <t>Caelie</t>
  </si>
  <si>
    <t>Rochelle</t>
  </si>
  <si>
    <t>Marissa</t>
  </si>
  <si>
    <t>6 Piece Embroidered Quilt Set with Throw Pillows</t>
  </si>
  <si>
    <t>PF002680</t>
  </si>
  <si>
    <t>Casual|Cottage/Country</t>
  </si>
  <si>
    <t>18382216-000-000</t>
  </si>
  <si>
    <t>MP103-0242</t>
  </si>
  <si>
    <t>Capstone</t>
  </si>
  <si>
    <t>Wilmette</t>
  </si>
  <si>
    <t>Milton</t>
  </si>
  <si>
    <t>Tufted Barrel Swivel Chair</t>
  </si>
  <si>
    <t>Slate</t>
  </si>
  <si>
    <t>PF001102</t>
  </si>
  <si>
    <t>5/25/2017</t>
  </si>
  <si>
    <t>ASHFURNDS,CASTLEGATE,MACY02F,OLLIIX</t>
  </si>
  <si>
    <t>22701323-000-000</t>
  </si>
  <si>
    <t>6/14/2017</t>
  </si>
  <si>
    <t>6/25/2017</t>
  </si>
  <si>
    <t>MP10-8288</t>
  </si>
  <si>
    <t>Caralie</t>
  </si>
  <si>
    <t>Evian</t>
  </si>
  <si>
    <t>Tulia</t>
  </si>
  <si>
    <t>5 Piece Seersucker Comforter Set with Throw Pillows</t>
  </si>
  <si>
    <t>PP001862;PF006062</t>
  </si>
  <si>
    <t>8/24/2023</t>
  </si>
  <si>
    <t>AMAZON,CSNSTORES,JCPENNEY01,KOHLDSN,NRTPORT,TGTDVS</t>
  </si>
  <si>
    <t>41591582-000-002</t>
  </si>
  <si>
    <t>9/7/2023</t>
  </si>
  <si>
    <t>MP108-1209</t>
  </si>
  <si>
    <t>Carson</t>
  </si>
  <si>
    <t>Fillmore</t>
  </si>
  <si>
    <t>Troy</t>
  </si>
  <si>
    <t>Upholstered Wingback Dining Chair</t>
  </si>
  <si>
    <t>Light Sage Green</t>
  </si>
  <si>
    <t>12/3/2022</t>
  </si>
  <si>
    <t>9/26/2024</t>
  </si>
  <si>
    <t>AMERSIGNDS,OLLIIX</t>
  </si>
  <si>
    <t>26377787-000-002</t>
  </si>
  <si>
    <t>12/7/2022</t>
  </si>
  <si>
    <t>1/20/2023</t>
  </si>
  <si>
    <t>MP51-8426</t>
  </si>
  <si>
    <t>Carved Plush</t>
  </si>
  <si>
    <t>PP001953;PF006224</t>
  </si>
  <si>
    <t>Plush</t>
  </si>
  <si>
    <t>4/2/2024</t>
  </si>
  <si>
    <t>43785953-000-003</t>
  </si>
  <si>
    <t>6/3/2024</t>
  </si>
  <si>
    <t>MP51-8428</t>
  </si>
  <si>
    <t>43785953-000-011</t>
  </si>
  <si>
    <t>6/12/2024</t>
  </si>
  <si>
    <t>MP51-8423</t>
  </si>
  <si>
    <t>PP001953;PF006223</t>
  </si>
  <si>
    <t>3/30/2024</t>
  </si>
  <si>
    <t>AMAZONDS,KOHLDSN,TGTDVS</t>
  </si>
  <si>
    <t>43785953-000-013</t>
  </si>
  <si>
    <t>7/30/2024</t>
  </si>
  <si>
    <t>MP51-8424</t>
  </si>
  <si>
    <t>43785953-000-001</t>
  </si>
  <si>
    <t>5/30/2024</t>
  </si>
  <si>
    <t>MP51-8425</t>
  </si>
  <si>
    <t>43785953-000-008</t>
  </si>
  <si>
    <t>MP51-8417</t>
  </si>
  <si>
    <t>PP001953;PF006221</t>
  </si>
  <si>
    <t>43785953-000-012</t>
  </si>
  <si>
    <t>5/13/2024</t>
  </si>
  <si>
    <t>MP51-8418</t>
  </si>
  <si>
    <t>43785953-000-010</t>
  </si>
  <si>
    <t>5/2/2024</t>
  </si>
  <si>
    <t>MP51-8419</t>
  </si>
  <si>
    <t>43785953-000-004</t>
  </si>
  <si>
    <t>5/28/2024</t>
  </si>
  <si>
    <t>MP51-8420</t>
  </si>
  <si>
    <t>PP001953;PF006222</t>
  </si>
  <si>
    <t>AMAZON,AMAZONDS,KOHLDSN,MACY02,TGTDVS</t>
  </si>
  <si>
    <t>43785953-000-009</t>
  </si>
  <si>
    <t>MP51-8421</t>
  </si>
  <si>
    <t>AMAZON,AMAZONDS,KOHLDSN,TGTDVS</t>
  </si>
  <si>
    <t>43785953-000-000</t>
  </si>
  <si>
    <t>7/10/2024</t>
  </si>
  <si>
    <t>MP51-8422</t>
  </si>
  <si>
    <t>KOHLDSN,MACY02,TGTDVS</t>
  </si>
  <si>
    <t>43785953-000-014</t>
  </si>
  <si>
    <t>MP51-8414</t>
  </si>
  <si>
    <t>PP001953;PF006220</t>
  </si>
  <si>
    <t>KOHLDSN</t>
  </si>
  <si>
    <t>43785953-000-007</t>
  </si>
  <si>
    <t>MP51-8416</t>
  </si>
  <si>
    <t>43785953-000-002</t>
  </si>
  <si>
    <t>ID12-2262</t>
  </si>
  <si>
    <t>Cassiopeia</t>
  </si>
  <si>
    <t>Karissa</t>
  </si>
  <si>
    <t>Lisa</t>
  </si>
  <si>
    <t>Watercolor Tie Dye Printed Duvet Cover Set with Throw Pillow</t>
  </si>
  <si>
    <t>PF005394;PP001904</t>
  </si>
  <si>
    <t>10/11/2023</t>
  </si>
  <si>
    <t>JCPENNEY01,MACY02</t>
  </si>
  <si>
    <t>38019805-000-005</t>
  </si>
  <si>
    <t>2/20/2024</t>
  </si>
  <si>
    <t>ID10-2387</t>
  </si>
  <si>
    <t>Watercolor Tie Dye Printed Comforter Set with Throw Pillow</t>
  </si>
  <si>
    <t>PP001904;PF006265</t>
  </si>
  <si>
    <t>7/5/2024</t>
  </si>
  <si>
    <t>AMAZON,KOHLDSN</t>
  </si>
  <si>
    <t>37999199-000-006</t>
  </si>
  <si>
    <t>7/11/2024</t>
  </si>
  <si>
    <t>ID12-2260</t>
  </si>
  <si>
    <t>Lavender</t>
  </si>
  <si>
    <t>PP001904;PF006071</t>
  </si>
  <si>
    <t>38019805-000-002</t>
  </si>
  <si>
    <t>MP13-2532</t>
  </si>
  <si>
    <t>Celeste</t>
  </si>
  <si>
    <t>Isabella</t>
  </si>
  <si>
    <t>Alexis</t>
  </si>
  <si>
    <t>4 Piece Microfiber Reversible Ruffle Quilt Set with Throw Pillow</t>
  </si>
  <si>
    <t>PF002762</t>
  </si>
  <si>
    <t>Cottage/Country|Farm House</t>
  </si>
  <si>
    <t>AMAZON,ASHFURNDS,BLK01,CSNSTORES,JCPENNEY01,KOHLDSN,MACY02,TGTDVS</t>
  </si>
  <si>
    <t>18524338-000-000</t>
  </si>
  <si>
    <t>MP40-6348</t>
  </si>
  <si>
    <t>Sheer Pair</t>
  </si>
  <si>
    <t>Ceres</t>
  </si>
  <si>
    <t>Elowen</t>
  </si>
  <si>
    <t>Persis</t>
  </si>
  <si>
    <t>Twist Tab Voile Sheer Window Pair</t>
  </si>
  <si>
    <t>2-PK 50x63"</t>
  </si>
  <si>
    <t>Light Grey</t>
  </si>
  <si>
    <t>PF004682;PP001184</t>
  </si>
  <si>
    <t>5/31/2019</t>
  </si>
  <si>
    <t>ASHFURNDS,CSNSTORES,JCPENNEY01,KOHLDSN,Zulily</t>
  </si>
  <si>
    <t>25510906-000-005</t>
  </si>
  <si>
    <t>6/10/2019</t>
  </si>
  <si>
    <t>7/2/2019</t>
  </si>
  <si>
    <t>MP50-8239</t>
  </si>
  <si>
    <t>Chenille Chunky Knit</t>
  </si>
  <si>
    <t>Sage Green</t>
  </si>
  <si>
    <t>PP001875;PF005977</t>
  </si>
  <si>
    <t>AMAZON,CSNSTORES,DESINC,JCPENNEY01,KOHLDSN,MACY02,OLLIIX,TGTDVS,ZOLA</t>
  </si>
  <si>
    <t>38792796-000-004</t>
  </si>
  <si>
    <t>8/21/2023</t>
  </si>
  <si>
    <t>9/3/2023</t>
  </si>
  <si>
    <t>CCL11-0023</t>
  </si>
  <si>
    <t>BED SKIRT&amp;SHAM</t>
  </si>
  <si>
    <t>Bed Skirt&amp;Sham</t>
  </si>
  <si>
    <t>Clermont</t>
  </si>
  <si>
    <t>European Pillow Sham</t>
  </si>
  <si>
    <t>DLCROSCILL,MACY02</t>
  </si>
  <si>
    <t>42067463-000-003</t>
  </si>
  <si>
    <t>HH10-480</t>
  </si>
  <si>
    <t>Harbor House</t>
  </si>
  <si>
    <t>Coastline</t>
  </si>
  <si>
    <t>Oversized Cotton Jacquard Comforter Set</t>
  </si>
  <si>
    <t>PF003317</t>
  </si>
  <si>
    <t>AMAZONDS,CSNSTORES</t>
  </si>
  <si>
    <t>13429956-000-000</t>
  </si>
  <si>
    <t>HH10-415</t>
  </si>
  <si>
    <t>8/15/2024</t>
  </si>
  <si>
    <t>AMAZON,CSNSTORES,HOUZZ,KOHLDSN</t>
  </si>
  <si>
    <t>13431827-000-001</t>
  </si>
  <si>
    <t>8/12/2016</t>
  </si>
  <si>
    <t>4/24/2017</t>
  </si>
  <si>
    <t>NS10-3654</t>
  </si>
  <si>
    <t>N Natori</t>
  </si>
  <si>
    <t>Cocoon</t>
  </si>
  <si>
    <t>3 Piece Quilt Top Comforter Mini Set</t>
  </si>
  <si>
    <t>PP001696;PF005609</t>
  </si>
  <si>
    <t>11/2/2021</t>
  </si>
  <si>
    <t>BLK01,JCPENNEY01,KOHLDSN,MACY02,OLLIIX</t>
  </si>
  <si>
    <t>39081182-000-000</t>
  </si>
  <si>
    <t>11/10/2021</t>
  </si>
  <si>
    <t>2/23/2022</t>
  </si>
  <si>
    <t>NS12-3656</t>
  </si>
  <si>
    <t>3 Piece Quilt Top Duvet Cover Mini Set</t>
  </si>
  <si>
    <t>AMAZON,CSNSTORES,JCPENNEY01,KOHLDSN,MACY02,OLLIIX</t>
  </si>
  <si>
    <t>39081183-000-001</t>
  </si>
  <si>
    <t>11/29/2021</t>
  </si>
  <si>
    <t>NS11-3657</t>
  </si>
  <si>
    <t>Quilt Top Euro Sham</t>
  </si>
  <si>
    <t>Euro Sham</t>
  </si>
  <si>
    <t>ASHFURNDS,MACY02,NRTPORT,OLLIIX</t>
  </si>
  <si>
    <t>39072237-000-001</t>
  </si>
  <si>
    <t>MP51-8192</t>
  </si>
  <si>
    <t>Filled Blanket</t>
  </si>
  <si>
    <t>Coleman</t>
  </si>
  <si>
    <t>Campbell</t>
  </si>
  <si>
    <t>Reversible HeiQ Smart Temperature Down Alternative Blanket</t>
  </si>
  <si>
    <t>PP001231;PF005947</t>
  </si>
  <si>
    <t>4/10/2023</t>
  </si>
  <si>
    <t>8/19/2024</t>
  </si>
  <si>
    <t>AMAZON,AMAZONDS,JCPENNEY01,KOHLDSN,MACY02,NRTPORT,TGTDVS</t>
  </si>
  <si>
    <t>33738174-000-023</t>
  </si>
  <si>
    <t>4/13/2023</t>
  </si>
  <si>
    <t>6/16/2023</t>
  </si>
  <si>
    <t>MPS100-0303</t>
  </si>
  <si>
    <t>Collin</t>
  </si>
  <si>
    <t>Arm chair</t>
  </si>
  <si>
    <t>Cream/Dark Brown</t>
  </si>
  <si>
    <t>4/20/2022</t>
  </si>
  <si>
    <t>CSNSTORES,KIRKLANDDS,LAMPDS,OLLIIX,TGTDVS</t>
  </si>
  <si>
    <t>20820279-000-002</t>
  </si>
  <si>
    <t>5/24/2022</t>
  </si>
  <si>
    <t>MPS100-0108</t>
  </si>
  <si>
    <t>Arm Chair</t>
  </si>
  <si>
    <t>Grey/Black</t>
  </si>
  <si>
    <t>PF001228</t>
  </si>
  <si>
    <t>5/24/2017</t>
  </si>
  <si>
    <t>CSNSTORES,HOUZZ,KIRKLANDDS,MACY02F,OLLIIX,ROOMECOM</t>
  </si>
  <si>
    <t>20820279-000-000</t>
  </si>
  <si>
    <t>2/2/2017</t>
  </si>
  <si>
    <t>2/8/2017</t>
  </si>
  <si>
    <t>5DS40-0160</t>
  </si>
  <si>
    <t>Colt</t>
  </si>
  <si>
    <t>Garett</t>
  </si>
  <si>
    <t>Bryce</t>
  </si>
  <si>
    <t>Room Darkening Metallic Printed Poly Velvet Rod Pocket/Back Tab Window Panel Pair</t>
  </si>
  <si>
    <t>37x63"</t>
  </si>
  <si>
    <t>PP000910;PF004318</t>
  </si>
  <si>
    <t>Velvet</t>
  </si>
  <si>
    <t>Room Darkening</t>
  </si>
  <si>
    <t>7/10/2018</t>
  </si>
  <si>
    <t>BLK01,CSNSTORES,HDDS,JCPENNEY01,KOHLDSN,OLLIIX,TGTDVS</t>
  </si>
  <si>
    <t>28110688-000-012</t>
  </si>
  <si>
    <t>7/9/2018</t>
  </si>
  <si>
    <t>9/12/2018</t>
  </si>
  <si>
    <t>FPF18-0160</t>
  </si>
  <si>
    <t>Colton</t>
  </si>
  <si>
    <t>Charlie</t>
  </si>
  <si>
    <t>Robin</t>
  </si>
  <si>
    <t>Track Arm Club Chair</t>
  </si>
  <si>
    <t>PF000621;PP000128</t>
  </si>
  <si>
    <t>AMERSIGNDS,ASHFURNDS,CASTLEGATE,CSNSTORES,KIRKLANDDS,MACY02F,OLLIIX</t>
  </si>
  <si>
    <t>17880187-000-000</t>
  </si>
  <si>
    <t>11/21/2015</t>
  </si>
  <si>
    <t>MCC100-0001</t>
  </si>
  <si>
    <t>PF001017;PP000128</t>
  </si>
  <si>
    <t>ASHFURNDS,CASTLEGATE,CSNSTORES,KOHLDSN,LAMPDS,MACY02F,OLLIIX,ROOMECOM</t>
  </si>
  <si>
    <t>23075005-000-000</t>
  </si>
  <si>
    <t>7/11/2017</t>
  </si>
  <si>
    <t>7/20/2017</t>
  </si>
  <si>
    <t>UH20-2466</t>
  </si>
  <si>
    <t>Comfort Cool Jersey Knit</t>
  </si>
  <si>
    <t>Nylon Blend Sheet Set</t>
  </si>
  <si>
    <t>PP001859;PF005950</t>
  </si>
  <si>
    <t>Jersey</t>
  </si>
  <si>
    <t>4/18/2023</t>
  </si>
  <si>
    <t>41392078-000-007</t>
  </si>
  <si>
    <t>4/20/2023</t>
  </si>
  <si>
    <t>2/14/2024</t>
  </si>
  <si>
    <t>UH10-2507</t>
  </si>
  <si>
    <t>Down Alternative Comforter Filler</t>
  </si>
  <si>
    <t>Oversized Down Alternative Comforter</t>
  </si>
  <si>
    <t>PP001912;PF006110</t>
  </si>
  <si>
    <t>12/5/2023</t>
  </si>
  <si>
    <t>43139341-000-001</t>
  </si>
  <si>
    <t>UH10-2500</t>
  </si>
  <si>
    <t>PF006108;PP001912</t>
  </si>
  <si>
    <t>AMAZON,AMAZONDS,KOHLDSN,MACY02</t>
  </si>
  <si>
    <t>43139341-000-003</t>
  </si>
  <si>
    <t>12/13/2023</t>
  </si>
  <si>
    <t>UH20-2454</t>
  </si>
  <si>
    <t>PP001859;PF005948</t>
  </si>
  <si>
    <t>AMAZON,AMAZONDS,KOHLDSN,MACY02,TGTDVS,Zulily</t>
  </si>
  <si>
    <t>41392078-000-003</t>
  </si>
  <si>
    <t>UH20-2456</t>
  </si>
  <si>
    <t>41392078-000-004</t>
  </si>
  <si>
    <t>11/27/2023</t>
  </si>
  <si>
    <t>UH20-2458</t>
  </si>
  <si>
    <t>AMAZONDS,JCPENNEY01,KOHLDSN,MACY02,TGTDVS,Zulily</t>
  </si>
  <si>
    <t>41392078-000-002</t>
  </si>
  <si>
    <t>MP40-7436</t>
  </si>
  <si>
    <t>Roman Shade</t>
  </si>
  <si>
    <t>Como</t>
  </si>
  <si>
    <t>Leighton</t>
  </si>
  <si>
    <t>Aberdeen</t>
  </si>
  <si>
    <t>Printed Faux Silk Room Darkening Cordless Roman Shade</t>
  </si>
  <si>
    <t>31x64"</t>
  </si>
  <si>
    <t>PP001428;PF004982</t>
  </si>
  <si>
    <t>5/17/2021</t>
  </si>
  <si>
    <t>AMAZON,AMAZONDS,BLK01,CSNSTORES,JCPENNEY01,TGTDVS</t>
  </si>
  <si>
    <t>38024443-000-003</t>
  </si>
  <si>
    <t>5/15/2021</t>
  </si>
  <si>
    <t>5/19/2021</t>
  </si>
  <si>
    <t>MP40-7439</t>
  </si>
  <si>
    <t>39x64"</t>
  </si>
  <si>
    <t>1/15/2025</t>
  </si>
  <si>
    <t>AMAZON,AMAZONDS,HDDS,JCPENNEY01,KOHLDSN,TGTDVS</t>
  </si>
  <si>
    <t>38024443-000-007</t>
  </si>
  <si>
    <t>6/3/2021</t>
  </si>
  <si>
    <t>MP40-7446</t>
  </si>
  <si>
    <t>PP001428;PF004983</t>
  </si>
  <si>
    <t>AMAZON,AMAZONDS,JCPENNEY01,TGTDVS</t>
  </si>
  <si>
    <t>38024443-000-000</t>
  </si>
  <si>
    <t>7/26/2021</t>
  </si>
  <si>
    <t>MP40-7449</t>
  </si>
  <si>
    <t>AMAZON,AMAZONDS,JCPENNEY01,KOHLDSN,TGTDVS,Zulily</t>
  </si>
  <si>
    <t>38024443-000-005</t>
  </si>
  <si>
    <t>7/8/2021</t>
  </si>
  <si>
    <t>FB155-1173</t>
  </si>
  <si>
    <t>LGT-SCONCES</t>
  </si>
  <si>
    <t>Sconces</t>
  </si>
  <si>
    <t>Conway</t>
  </si>
  <si>
    <t>Metal Wall Sconce with Cylinder Shade, Set of 2</t>
  </si>
  <si>
    <t>11/18/2022</t>
  </si>
  <si>
    <t>9/6/2024</t>
  </si>
  <si>
    <t>40807174-000-000</t>
  </si>
  <si>
    <t>11/23/2022</t>
  </si>
  <si>
    <t>1/23/2023</t>
  </si>
  <si>
    <t>BR55-4071</t>
  </si>
  <si>
    <t>Beautyrest</t>
  </si>
  <si>
    <t>ELEC MATT PAD</t>
  </si>
  <si>
    <t>Elect Matt Pad</t>
  </si>
  <si>
    <t>Cool Touch</t>
  </si>
  <si>
    <t>Heated Mattress Pad</t>
  </si>
  <si>
    <t>PP001881;PF005998</t>
  </si>
  <si>
    <t>AMAZON,JCPENNEY01</t>
  </si>
  <si>
    <t>41947656-000-002</t>
  </si>
  <si>
    <t>BR55-4073</t>
  </si>
  <si>
    <t>BLK01,JCPENNEY01,MACY02</t>
  </si>
  <si>
    <t>41947656-000-005</t>
  </si>
  <si>
    <t>9/19/2023</t>
  </si>
  <si>
    <t>PET63OP6011</t>
  </si>
  <si>
    <t>Copper</t>
  </si>
  <si>
    <t>Ortho Napper</t>
  </si>
  <si>
    <t>AMAZONDS,CSNSTORES,OLLIIX</t>
  </si>
  <si>
    <t>43822207-000-000</t>
  </si>
  <si>
    <t>4/13/2024</t>
  </si>
  <si>
    <t>ST54-0290</t>
  </si>
  <si>
    <t>Serta</t>
  </si>
  <si>
    <t>ELECT BLANKET</t>
  </si>
  <si>
    <t>Electric Blanket</t>
  </si>
  <si>
    <t>Corded Plush</t>
  </si>
  <si>
    <t>Heated Blanket</t>
  </si>
  <si>
    <t>PP001892;PF006035</t>
  </si>
  <si>
    <t>JCPENNEY01</t>
  </si>
  <si>
    <t>42738934-000-004</t>
  </si>
  <si>
    <t>11/8/2023</t>
  </si>
  <si>
    <t>ST54-0291</t>
  </si>
  <si>
    <t>9/21/2023</t>
  </si>
  <si>
    <t>42738934-000-003</t>
  </si>
  <si>
    <t>10/16/2023</t>
  </si>
  <si>
    <t>1/16/2024</t>
  </si>
  <si>
    <t>ST54-0292</t>
  </si>
  <si>
    <t>JCPENNEY01,KOHLDSN,MACY02</t>
  </si>
  <si>
    <t>42738934-000-007</t>
  </si>
  <si>
    <t>ST54-0293</t>
  </si>
  <si>
    <t>42738934-000-012</t>
  </si>
  <si>
    <t>ST54-0294</t>
  </si>
  <si>
    <t>PP001892;PF006036</t>
  </si>
  <si>
    <t>42738934-000-010</t>
  </si>
  <si>
    <t>ST54-0297</t>
  </si>
  <si>
    <t>42738934-000-008</t>
  </si>
  <si>
    <t>1/12/2024</t>
  </si>
  <si>
    <t>ST54-0287</t>
  </si>
  <si>
    <t>PP001892;PF006034</t>
  </si>
  <si>
    <t>CSNSTORES,JCPENNEY01,KOHLDSN</t>
  </si>
  <si>
    <t>42738934-000-009</t>
  </si>
  <si>
    <t>11/1/2023</t>
  </si>
  <si>
    <t>ST54-0288</t>
  </si>
  <si>
    <t>42738934-000-011</t>
  </si>
  <si>
    <t>ST54-0282</t>
  </si>
  <si>
    <t>PP001892;PF006033</t>
  </si>
  <si>
    <t>JCPENNEY01,MACY02,TGTDVS</t>
  </si>
  <si>
    <t>42738934-000-005</t>
  </si>
  <si>
    <t>ST54-0284</t>
  </si>
  <si>
    <t>42738934-000-006</t>
  </si>
  <si>
    <t>11/30/2023</t>
  </si>
  <si>
    <t>UH95C-0030</t>
  </si>
  <si>
    <t>Cosmic Curl</t>
  </si>
  <si>
    <t>3-piece Framed Canvas Wall Art Set</t>
  </si>
  <si>
    <t>Black/Taupe</t>
  </si>
  <si>
    <t>PP001611</t>
  </si>
  <si>
    <t>2/10/2021</t>
  </si>
  <si>
    <t>AMAZON,AMERSIGNDS,HDDS,KIRKLANDDS,KOHLDSN,OLLIIX,ROOMECOM,TGTDVS,ZOLA</t>
  </si>
  <si>
    <t>37419231-000-000</t>
  </si>
  <si>
    <t>2/11/2021</t>
  </si>
  <si>
    <t>2/25/2021</t>
  </si>
  <si>
    <t>BR55-0198</t>
  </si>
  <si>
    <t>Cotton Blend</t>
  </si>
  <si>
    <t>PF003436</t>
  </si>
  <si>
    <t>CVC</t>
  </si>
  <si>
    <t>AMAZON,ASHFURNDS,CSNSTORES,JCPENNEY01,KOHLDSN,WALMARTDS</t>
  </si>
  <si>
    <t>14027870-000-000</t>
  </si>
  <si>
    <t>3/3/2015</t>
  </si>
  <si>
    <t>BR55-0671</t>
  </si>
  <si>
    <t>A++</t>
  </si>
  <si>
    <t>AMAZON,AMAZONDS,HSNDS,JCPENNEY01,KOHLDSN,NORDSTRACKDS,OLLIIX,WALMARTDS</t>
  </si>
  <si>
    <t>14027870-000-001</t>
  </si>
  <si>
    <t>8/24/2016</t>
  </si>
  <si>
    <t>2/19/2017</t>
  </si>
  <si>
    <t>BR55-0202</t>
  </si>
  <si>
    <t>AMAZON,CSNSTORES,HSNDS,JCPENNEY01,KOHLDSN,MACY02,WALMARTDS,Zulily</t>
  </si>
  <si>
    <t>14027776-000-001</t>
  </si>
  <si>
    <t>2/3/2016</t>
  </si>
  <si>
    <t>ID20-697</t>
  </si>
  <si>
    <t>Cotton Blend Jersey Knit</t>
  </si>
  <si>
    <t>All Season Sheet Set</t>
  </si>
  <si>
    <t>PF002200</t>
  </si>
  <si>
    <t>AMAZON,CSNSTORES,FINGERHUTDS,JCPENNEY01,KOHLDSN,MACY02,TGTDVS</t>
  </si>
  <si>
    <t>18526070-000-010</t>
  </si>
  <si>
    <t>3/28/2016</t>
  </si>
  <si>
    <t>ID20-692</t>
  </si>
  <si>
    <t>Dark Grey</t>
  </si>
  <si>
    <t>PF002199</t>
  </si>
  <si>
    <t>AMAZON,AMAZONDS,JCPENNEY01,KOHLDSN,MACY02,TGTDVS</t>
  </si>
  <si>
    <t>18526070-000-005</t>
  </si>
  <si>
    <t>4/20/2016</t>
  </si>
  <si>
    <t>ID20-693</t>
  </si>
  <si>
    <t>AMAZON,BLK01,JCPENNEY01,KOHLDSN,MACY02,TGTDVS</t>
  </si>
  <si>
    <t>18526070-000-006</t>
  </si>
  <si>
    <t>ID20-694</t>
  </si>
  <si>
    <t>AMAZONDS,CSNSTORES,FINGERHUTDS,JCPENNEY01,KOHLDSN,MACY02,OLLIIX,TGTDVS</t>
  </si>
  <si>
    <t>18526070-000-007</t>
  </si>
  <si>
    <t>4/12/2016</t>
  </si>
  <si>
    <t>ID20-704</t>
  </si>
  <si>
    <t>Purple</t>
  </si>
  <si>
    <t>PF002202</t>
  </si>
  <si>
    <t>18526070-000-017</t>
  </si>
  <si>
    <t>ID20-1236</t>
  </si>
  <si>
    <t>PF002204</t>
  </si>
  <si>
    <t>9/9/2017</t>
  </si>
  <si>
    <t>18526070-000-048</t>
  </si>
  <si>
    <t>9/26/2017</t>
  </si>
  <si>
    <t>10/2/2017</t>
  </si>
  <si>
    <t>ID20-1238</t>
  </si>
  <si>
    <t>AMAZON,AMAZONDS,BLK01,CSNSTORES,FINGERHUTDS,JCPENNEY01,KOHLDSN,MACY02,TGTDVS</t>
  </si>
  <si>
    <t>18526070-000-050</t>
  </si>
  <si>
    <t>10/6/2017</t>
  </si>
  <si>
    <t>ID20-1252</t>
  </si>
  <si>
    <t>9/22/2024</t>
  </si>
  <si>
    <t>AMAZON,CSNSTORES,FINGERHUTDS,KOHLDSN,MACY02,TGTDVS</t>
  </si>
  <si>
    <t>18526070-000-052</t>
  </si>
  <si>
    <t>4/16/2018</t>
  </si>
  <si>
    <t>ID20-687</t>
  </si>
  <si>
    <t>PF002198</t>
  </si>
  <si>
    <t>AMAZON,AMAZONDS,CSNSTORES,JCPENNEY01,KOHLDSN,TGTDVS</t>
  </si>
  <si>
    <t>18526070-000-000</t>
  </si>
  <si>
    <t>6/24/2016</t>
  </si>
  <si>
    <t>ID20-689</t>
  </si>
  <si>
    <t>AMAZON,AMAZONDS,BEALLSDS,CSNSTORES,JCPENNEY01,KOHLDSN,OLLIIX,TGTDVS</t>
  </si>
  <si>
    <t>18526070-000-002</t>
  </si>
  <si>
    <t>ID20-690</t>
  </si>
  <si>
    <t>18526070-000-003</t>
  </si>
  <si>
    <t>WR20-3958</t>
  </si>
  <si>
    <t>Cotton Flannel</t>
  </si>
  <si>
    <t>Black Pine Trees</t>
  </si>
  <si>
    <t>PP000952;PF006050</t>
  </si>
  <si>
    <t>Flannel</t>
  </si>
  <si>
    <t>Novelty</t>
  </si>
  <si>
    <t>7/26/2023</t>
  </si>
  <si>
    <t>19462540-000-065</t>
  </si>
  <si>
    <t>Tier 1-S</t>
  </si>
  <si>
    <t>WR20-3962</t>
  </si>
  <si>
    <t>9/30/2024</t>
  </si>
  <si>
    <t>AMAZON,JCPENNEY01,KOHLDSN,MACY02,TGTDVS</t>
  </si>
  <si>
    <t>19462540-000-073</t>
  </si>
  <si>
    <t>WR20-2045</t>
  </si>
  <si>
    <t>Blue Plaid</t>
  </si>
  <si>
    <t>PF002306</t>
  </si>
  <si>
    <t>9/28/2017</t>
  </si>
  <si>
    <t>AMAZON,AMAZONDS,FINGERHUTDS,JCPENNEY01,KOHLDSN,MACY02,OLLIIX</t>
  </si>
  <si>
    <t>19462540-000-035</t>
  </si>
  <si>
    <t>10/19/2017</t>
  </si>
  <si>
    <t>4/18/2018</t>
  </si>
  <si>
    <t>WR20-2280</t>
  </si>
  <si>
    <t>Blue Sheep</t>
  </si>
  <si>
    <t>PP000952;PF004384</t>
  </si>
  <si>
    <t>8/7/2018</t>
  </si>
  <si>
    <t>AMAZONDS,BLK01,CSNSTORES,DESINC,JCPENNEY01,KOHLDSN,MACY02,TGTDVS</t>
  </si>
  <si>
    <t>19462540-000-056</t>
  </si>
  <si>
    <t>9/10/2018</t>
  </si>
  <si>
    <t>WR20-2281</t>
  </si>
  <si>
    <t>PP000952;PF004385</t>
  </si>
  <si>
    <t>MACY02</t>
  </si>
  <si>
    <t>19462540-000-055</t>
  </si>
  <si>
    <t>9/13/2018</t>
  </si>
  <si>
    <t>WR20-2032</t>
  </si>
  <si>
    <t>Blue Winter Frost</t>
  </si>
  <si>
    <t>PF002302</t>
  </si>
  <si>
    <t>AMAZON,AMAZONDS,KOHLDSN,MACY02,TGTDVS,WALMARTDS</t>
  </si>
  <si>
    <t>19462540-000-016</t>
  </si>
  <si>
    <t>11/13/2017</t>
  </si>
  <si>
    <t>WR20-2033</t>
  </si>
  <si>
    <t>AMAZONDS,HSNDS,MACY02</t>
  </si>
  <si>
    <t>19462540-000-017</t>
  </si>
  <si>
    <t>10/23/2017</t>
  </si>
  <si>
    <t>WR20-1798</t>
  </si>
  <si>
    <t>Brown Plaid</t>
  </si>
  <si>
    <t>PF002272</t>
  </si>
  <si>
    <t>AMAZON,AMAZONDS,MACY02,WALMARTDS</t>
  </si>
  <si>
    <t>19462540-000-005</t>
  </si>
  <si>
    <t>9/13/2016</t>
  </si>
  <si>
    <t>10/5/2016</t>
  </si>
  <si>
    <t>WR20-1794</t>
  </si>
  <si>
    <t>Green Plaid</t>
  </si>
  <si>
    <t>PF002271</t>
  </si>
  <si>
    <t>AMAZON,AMAZONDS,CSNSTORES,JCPENNEY01,KOHLDSN,MACY02,WALMARTDS</t>
  </si>
  <si>
    <t>19462540-000-001</t>
  </si>
  <si>
    <t>10/6/2016</t>
  </si>
  <si>
    <t>WR20-3953</t>
  </si>
  <si>
    <t>Green Tree Trip</t>
  </si>
  <si>
    <t>PP000952;PF006049</t>
  </si>
  <si>
    <t>JCPENNEY01,KOHLDSN</t>
  </si>
  <si>
    <t>19462540-000-067</t>
  </si>
  <si>
    <t>WR20-3954</t>
  </si>
  <si>
    <t>19462540-000-068</t>
  </si>
  <si>
    <t>WR20-3956</t>
  </si>
  <si>
    <t>19462540-000-070</t>
  </si>
  <si>
    <t>WR20-3957</t>
  </si>
  <si>
    <t>19462540-000-064</t>
  </si>
  <si>
    <t>WR20-2282</t>
  </si>
  <si>
    <t>Grey Moose</t>
  </si>
  <si>
    <t>AMAZON,JCPENNEY01,KOHLDSN,MACY02</t>
  </si>
  <si>
    <t>19462540-000-054</t>
  </si>
  <si>
    <t>9/18/2018</t>
  </si>
  <si>
    <t>WR20-2284</t>
  </si>
  <si>
    <t>19462540-000-050</t>
  </si>
  <si>
    <t>8/30/2018</t>
  </si>
  <si>
    <t>10/5/2018</t>
  </si>
  <si>
    <t>WR20-2046</t>
  </si>
  <si>
    <t>Grey Plaid</t>
  </si>
  <si>
    <t>PF002307</t>
  </si>
  <si>
    <t>9/29/2017</t>
  </si>
  <si>
    <t>AMAZON,AMAZONDS,CSNSTORES,KOHLDSN,MACY02,OLLIIX</t>
  </si>
  <si>
    <t>19462540-000-036</t>
  </si>
  <si>
    <t>10/31/2017</t>
  </si>
  <si>
    <t>WR20-2048</t>
  </si>
  <si>
    <t>AMAZON,FINGERHUTDS,JCPENNEY01,KOHLDSN,MACY02</t>
  </si>
  <si>
    <t>19462540-000-038</t>
  </si>
  <si>
    <t>WR20-1801</t>
  </si>
  <si>
    <t>Red Plaid</t>
  </si>
  <si>
    <t>PF002273</t>
  </si>
  <si>
    <t>8/29/2017</t>
  </si>
  <si>
    <t>AMAZON,FINGERHUTDS,JCPENNEY01,KOHLDSN,MACY02,OLLIIX,TGTDVS,WALMARTDS</t>
  </si>
  <si>
    <t>19462540-000-008</t>
  </si>
  <si>
    <t>10/4/2016</t>
  </si>
  <si>
    <t>WR20-2071</t>
  </si>
  <si>
    <t>Tan Cars</t>
  </si>
  <si>
    <t>PF002312</t>
  </si>
  <si>
    <t>AMAZON,JCPENNEY01,KOHLDSN,MACY02,WALMARTDS</t>
  </si>
  <si>
    <t>19462540-000-028</t>
  </si>
  <si>
    <t>10/30/2017</t>
  </si>
  <si>
    <t>WR20-2072</t>
  </si>
  <si>
    <t>AMAZON,AMAZONDS,JCPENNEY01,KOHLDSN,MACY02,WALMARTDS</t>
  </si>
  <si>
    <t>19462540-000-029</t>
  </si>
  <si>
    <t>WR20-2040</t>
  </si>
  <si>
    <t>PF002305</t>
  </si>
  <si>
    <t>AMAZON,AMAZONDS,CSNSTORES,FINGERHUTDS,JCPENNEY01,KOHLDSN,MACY02,TGTDVS,WALMARTDS</t>
  </si>
  <si>
    <t>19462540-000-030</t>
  </si>
  <si>
    <t>10/25/2017</t>
  </si>
  <si>
    <t>WR20-2041</t>
  </si>
  <si>
    <t>19462540-000-031</t>
  </si>
  <si>
    <t>WR20-2069</t>
  </si>
  <si>
    <t>Tan Dog</t>
  </si>
  <si>
    <t>PF002311</t>
  </si>
  <si>
    <t>AMAZON,KOHLDSN,MACY02,OLLIIX,TGTDVS,WALMARTDS</t>
  </si>
  <si>
    <t>19462540-000-023</t>
  </si>
  <si>
    <t>11/24/2017</t>
  </si>
  <si>
    <t>WR20-2037</t>
  </si>
  <si>
    <t>PF002304</t>
  </si>
  <si>
    <t>9/21/2017</t>
  </si>
  <si>
    <t>AMAZON,JCPENNEY01,KOHLDSN,MACY02,OLLIIX,TGTDVS,WALMARTDS,Zulily</t>
  </si>
  <si>
    <t>19462540-000-025</t>
  </si>
  <si>
    <t>WR20-2039</t>
  </si>
  <si>
    <t>AMAZON,AMAZONDS,JCPENNEY01,MACY02,TGTDVS,WALMARTDS</t>
  </si>
  <si>
    <t>19462540-000-027</t>
  </si>
  <si>
    <t>5DS153-0008</t>
  </si>
  <si>
    <t>Covey</t>
  </si>
  <si>
    <t>Curved Glass Table Lamp, Set of 2</t>
  </si>
  <si>
    <t>3/30/2018</t>
  </si>
  <si>
    <t>CSNSTORES,HOUZZ,JCPENNEY01,KIRKLANDDS,KOHLDSN,MACY02,OLLIIX,ROOMECOM,TGTDVS</t>
  </si>
  <si>
    <t>26787036-000-000</t>
  </si>
  <si>
    <t>4/17/2018</t>
  </si>
  <si>
    <t>TN20-0363</t>
  </si>
  <si>
    <t>True North by Sleep Philosophy</t>
  </si>
  <si>
    <t>Cozy Cotton Flannel</t>
  </si>
  <si>
    <t>Printed Sheet Set</t>
  </si>
  <si>
    <t>Aqua Dots</t>
  </si>
  <si>
    <t>PP000954;PF004388</t>
  </si>
  <si>
    <t>Polka Dots</t>
  </si>
  <si>
    <t>8/29/2018</t>
  </si>
  <si>
    <t>8/9/2024</t>
  </si>
  <si>
    <t>19463070-000-150</t>
  </si>
  <si>
    <t>10/3/2018</t>
  </si>
  <si>
    <t>10/11/2018</t>
  </si>
  <si>
    <t>TN20-0222</t>
  </si>
  <si>
    <t>Aqua French Bulldog</t>
  </si>
  <si>
    <t>PF002289</t>
  </si>
  <si>
    <t>AMAZON,AMAZONDS,CSNSTORES,FINGERHUTDS,JCPENNEY01,KOHLDSN,TGTDVS</t>
  </si>
  <si>
    <t>19463070-000-079</t>
  </si>
  <si>
    <t>10/13/2017</t>
  </si>
  <si>
    <t>TN20-0223</t>
  </si>
  <si>
    <t>AMAZON,AMAZONDS,FINGERHUTDS,KOHLDSN,MACY02,TGTDVS</t>
  </si>
  <si>
    <t>19463070-000-080</t>
  </si>
  <si>
    <t>11/14/2017</t>
  </si>
  <si>
    <t>TN20-0225</t>
  </si>
  <si>
    <t>AMAZON,AMAZONDS,DESINC,FINGERHUTDS,JCPENNEY01,KOHLDSN,MACY02,TGTDVS</t>
  </si>
  <si>
    <t>19463070-000-082</t>
  </si>
  <si>
    <t>10/26/2017</t>
  </si>
  <si>
    <t>TN20-0226</t>
  </si>
  <si>
    <t>19463070-000-083</t>
  </si>
  <si>
    <t>11/27/2017</t>
  </si>
  <si>
    <t>TN20-0410</t>
  </si>
  <si>
    <t>Bear</t>
  </si>
  <si>
    <t>PP000954;PF004714</t>
  </si>
  <si>
    <t>19463070-000-160</t>
  </si>
  <si>
    <t>7/30/2019</t>
  </si>
  <si>
    <t>9/12/2019</t>
  </si>
  <si>
    <t>TN20-0411</t>
  </si>
  <si>
    <t>19463070-000-159</t>
  </si>
  <si>
    <t>10/10/2019</t>
  </si>
  <si>
    <t>TN20-0412</t>
  </si>
  <si>
    <t>AMAZON,AMAZONDS,JCPENNEY01,TGTDVS,WALMARTDS</t>
  </si>
  <si>
    <t>19463070-000-162</t>
  </si>
  <si>
    <t>TN20-0245</t>
  </si>
  <si>
    <t>Blue Geo</t>
  </si>
  <si>
    <t>PF002292</t>
  </si>
  <si>
    <t>19463070-000-096</t>
  </si>
  <si>
    <t>TN20-0246</t>
  </si>
  <si>
    <t>AMAZON,AMAZONDS,FINGERHUTDS,JCPENNEY01,KOHLDSN,MACY02,OLLIIX,TGTDVS,WALMARTDS</t>
  </si>
  <si>
    <t>19463070-000-097</t>
  </si>
  <si>
    <t>11/12/2018</t>
  </si>
  <si>
    <t>TN20-0247</t>
  </si>
  <si>
    <t>AMAZON,AMAZONDS,JCPENNEY01,KOHLDSN,MACY02,OLLIIX,TGTDVS</t>
  </si>
  <si>
    <t>19463070-000-098</t>
  </si>
  <si>
    <t>10/27/2017</t>
  </si>
  <si>
    <t>TN20-0248</t>
  </si>
  <si>
    <t>AMAZONDS,BLK01,FINGERHUTDS,JCPENNEY01,KOHLDSN,MACY02,TGTDVS,WALMARTDS</t>
  </si>
  <si>
    <t>19463070-000-099</t>
  </si>
  <si>
    <t>TN20-0249</t>
  </si>
  <si>
    <t>AMAZON,CSNSTORES,JCPENNEY01,MACY02,TGTDVS</t>
  </si>
  <si>
    <t>19463070-000-100</t>
  </si>
  <si>
    <t>TN20-0082</t>
  </si>
  <si>
    <t>PF002280</t>
  </si>
  <si>
    <t>AMAZON,AMAZONDS,BLK01,JCPENNEY01,KOHLDSN,MACY02,TGTDVS</t>
  </si>
  <si>
    <t>19463070-000-041</t>
  </si>
  <si>
    <t>10/21/2016</t>
  </si>
  <si>
    <t>TN20-0085</t>
  </si>
  <si>
    <t>9/8/2017</t>
  </si>
  <si>
    <t>AMAZON,AMAZONDS,CSNSTORES,JCPENNEY01,MACY02,TGTDVS,WALMARTDS</t>
  </si>
  <si>
    <t>19463070-000-044</t>
  </si>
  <si>
    <t>TN20-0264</t>
  </si>
  <si>
    <t>Blue Polar Bears</t>
  </si>
  <si>
    <t>PF002295</t>
  </si>
  <si>
    <t>9/10/2024</t>
  </si>
  <si>
    <t>AMAZON,JCPENNEY01,KOHLDSN,MACY02,NRTPORT</t>
  </si>
  <si>
    <t>19463070-000-115</t>
  </si>
  <si>
    <t>TN20-0265</t>
  </si>
  <si>
    <t>19463070-000-116</t>
  </si>
  <si>
    <t>TN20-0121</t>
  </si>
  <si>
    <t>Blue Solid</t>
  </si>
  <si>
    <t>PF002288</t>
  </si>
  <si>
    <t>AMAZON,AMAZONDS,FINGERHUTDS,JCPENNEY01,KOHLDSN,MACY02,TGTDVS,WALMARTDS</t>
  </si>
  <si>
    <t>19463070-000-015</t>
  </si>
  <si>
    <t>10/18/2016</t>
  </si>
  <si>
    <t>TN20-0415</t>
  </si>
  <si>
    <t>Blush Dots</t>
  </si>
  <si>
    <t>PP000954;PF004715</t>
  </si>
  <si>
    <t>8/5/2019</t>
  </si>
  <si>
    <t>AMAZON,AMAZONDS,CSNSTORES,JCPENNEY01,KOHLDSN,MACY02,TGTDVS,WALMARTDS</t>
  </si>
  <si>
    <t>19463070-000-163</t>
  </si>
  <si>
    <t>8/12/2019</t>
  </si>
  <si>
    <t>9/22/2019</t>
  </si>
  <si>
    <t>TN20-0510</t>
  </si>
  <si>
    <t>Gray Skiers</t>
  </si>
  <si>
    <t>PP000954;PF006047</t>
  </si>
  <si>
    <t>8/30/2023</t>
  </si>
  <si>
    <t>AMAZON,JCPENNEY01,MACY02,TGTDVS</t>
  </si>
  <si>
    <t>19463070-000-181</t>
  </si>
  <si>
    <t>10/18/2023</t>
  </si>
  <si>
    <t>TN20-0512</t>
  </si>
  <si>
    <t>19463070-000-182</t>
  </si>
  <si>
    <t>10/22/2023</t>
  </si>
  <si>
    <t>TN20-0513</t>
  </si>
  <si>
    <t>19463070-000-185</t>
  </si>
  <si>
    <t>TN20-0514</t>
  </si>
  <si>
    <t>19463070-000-184</t>
  </si>
  <si>
    <t>12/14/2023</t>
  </si>
  <si>
    <t>TN20-0515</t>
  </si>
  <si>
    <t>AMAZON,MACY02</t>
  </si>
  <si>
    <t>19463070-000-187</t>
  </si>
  <si>
    <t>11/16/2023</t>
  </si>
  <si>
    <t>TN20-0516</t>
  </si>
  <si>
    <t>Gray/Taupe Nordic</t>
  </si>
  <si>
    <t>PP000954;PF006048</t>
  </si>
  <si>
    <t>8/19/2023</t>
  </si>
  <si>
    <t>AMAZON,KOHLDSN,MACY02</t>
  </si>
  <si>
    <t>19463070-000-186</t>
  </si>
  <si>
    <t>TN20-0517</t>
  </si>
  <si>
    <t>AMAZON,JCPENNEY01,MACY02</t>
  </si>
  <si>
    <t>19463070-000-189</t>
  </si>
  <si>
    <t>11/2/2023</t>
  </si>
  <si>
    <t>TN20-0518</t>
  </si>
  <si>
    <t>AMAZON,AMAZONDS,JCPENNEY01,MACY02</t>
  </si>
  <si>
    <t>19463070-000-188</t>
  </si>
  <si>
    <t>TN20-0519</t>
  </si>
  <si>
    <t>8/22/2023</t>
  </si>
  <si>
    <t>19463070-000-190</t>
  </si>
  <si>
    <t>TN20-0520</t>
  </si>
  <si>
    <t>AMAZON,MACY02,TGTDVS</t>
  </si>
  <si>
    <t>19463070-000-192</t>
  </si>
  <si>
    <t>TN20-0521</t>
  </si>
  <si>
    <t>DESINC,MACY02</t>
  </si>
  <si>
    <t>19463070-000-191</t>
  </si>
  <si>
    <t>11/12/2023</t>
  </si>
  <si>
    <t>TN20-0381</t>
  </si>
  <si>
    <t>Grey Dogs</t>
  </si>
  <si>
    <t>PP000954;PF004390</t>
  </si>
  <si>
    <t>19463070-000-138</t>
  </si>
  <si>
    <t>10/8/2018</t>
  </si>
  <si>
    <t>TN20-0353</t>
  </si>
  <si>
    <t>Grey Dots</t>
  </si>
  <si>
    <t>PP000954;PF004387</t>
  </si>
  <si>
    <t>19463070-000-144</t>
  </si>
  <si>
    <t>10/7/2018</t>
  </si>
  <si>
    <t>10/23/2018</t>
  </si>
  <si>
    <t>TN20-0243</t>
  </si>
  <si>
    <t>Grey Geo</t>
  </si>
  <si>
    <t>PF002291</t>
  </si>
  <si>
    <t>19463070-000-094</t>
  </si>
  <si>
    <t>11/28/2017</t>
  </si>
  <si>
    <t>TN20-0244</t>
  </si>
  <si>
    <t>19463070-000-095</t>
  </si>
  <si>
    <t>TN20-0365</t>
  </si>
  <si>
    <t>Grey Penguins</t>
  </si>
  <si>
    <t>PP000954;PF004389</t>
  </si>
  <si>
    <t>AMAZON,AMAZONDS,JCPENNEY01,KOHLDSN,MACY02,OLLIIX,TGTDVS,WALMARTDS,Zulily</t>
  </si>
  <si>
    <t>19463070-000-152</t>
  </si>
  <si>
    <t>TN20-0106</t>
  </si>
  <si>
    <t>Grey Solid</t>
  </si>
  <si>
    <t>PF002287</t>
  </si>
  <si>
    <t>AMAZON,AMAZONDS,FINGERHUTDS,JCPENNEY01,MACY02,TGTDVS</t>
  </si>
  <si>
    <t>19463070-000-000</t>
  </si>
  <si>
    <t>TN20-0110</t>
  </si>
  <si>
    <t>AMAZONDS,JCPENNEY01,TGTDVS</t>
  </si>
  <si>
    <t>19463070-000-004</t>
  </si>
  <si>
    <t>1/3/2017</t>
  </si>
  <si>
    <t>TN20-0111</t>
  </si>
  <si>
    <t>Ivory Solid</t>
  </si>
  <si>
    <t>PF002286</t>
  </si>
  <si>
    <t>9/20/2017</t>
  </si>
  <si>
    <t>19463070-000-005</t>
  </si>
  <si>
    <t>TN20-0273</t>
  </si>
  <si>
    <t>Multi Forest Animals</t>
  </si>
  <si>
    <t>PF002296</t>
  </si>
  <si>
    <t>19463070-000-124</t>
  </si>
  <si>
    <t>11/3/2017</t>
  </si>
  <si>
    <t>TN20-0251</t>
  </si>
  <si>
    <t>Multi Leaves</t>
  </si>
  <si>
    <t>PF002294</t>
  </si>
  <si>
    <t>AMAZON,AMAZONDS,CSNSTORES,KOHLDSN,MACY02</t>
  </si>
  <si>
    <t>19463070-000-108</t>
  </si>
  <si>
    <t>TN20-0253</t>
  </si>
  <si>
    <t>AMAZON,AMAZONDS,JCPENNEY01,KOHLDSN,MACY02,TGTDVS,Zulily</t>
  </si>
  <si>
    <t>19463070-000-110</t>
  </si>
  <si>
    <t>11/6/2017</t>
  </si>
  <si>
    <t>TN20-0255</t>
  </si>
  <si>
    <t>AMAZON,AMAZONDS,BLK01,JCPENNEY01,KOHLDSN,MACY02,TGTDVS,WALMARTDS</t>
  </si>
  <si>
    <t>19463070-000-112</t>
  </si>
  <si>
    <t>11/2/2017</t>
  </si>
  <si>
    <t>TN20-0256</t>
  </si>
  <si>
    <t>19463070-000-113</t>
  </si>
  <si>
    <t>TN20-0373</t>
  </si>
  <si>
    <t>Multi Sloth</t>
  </si>
  <si>
    <t>PP000954;PF004391</t>
  </si>
  <si>
    <t>AMAZON,FINGERHUTDS,JCPENNEY01,MACY02,TGTDVS,WALMARTDS</t>
  </si>
  <si>
    <t>19463070-000-134</t>
  </si>
  <si>
    <t>TN20-0228</t>
  </si>
  <si>
    <t>Pink French Bulldog</t>
  </si>
  <si>
    <t>PF002290</t>
  </si>
  <si>
    <t>19463070-000-085</t>
  </si>
  <si>
    <t>11/16/2017</t>
  </si>
  <si>
    <t>TN20-0275</t>
  </si>
  <si>
    <t>Pink Plaid</t>
  </si>
  <si>
    <t>PF002297</t>
  </si>
  <si>
    <t>19463070-000-126</t>
  </si>
  <si>
    <t>TN20-0276</t>
  </si>
  <si>
    <t>AMAZON,AMAZONDS,JCPENNEY01,KOHLDSN,MACY02,TGTDVS,WALMARTDS</t>
  </si>
  <si>
    <t>19463070-000-127</t>
  </si>
  <si>
    <t>10/1/2018</t>
  </si>
  <si>
    <t>TN20-0277</t>
  </si>
  <si>
    <t>AMAZON,AMAZONDS,JCPENNEY01,MACY02,TGTDVS</t>
  </si>
  <si>
    <t>19463070-000-128</t>
  </si>
  <si>
    <t>TN20-0278</t>
  </si>
  <si>
    <t>19463070-000-129</t>
  </si>
  <si>
    <t>TN20-0279</t>
  </si>
  <si>
    <t>19463070-000-130</t>
  </si>
  <si>
    <t>5/1/2018</t>
  </si>
  <si>
    <t>TN20-0066</t>
  </si>
  <si>
    <t>Pink/Grey Snowflakes</t>
  </si>
  <si>
    <t>PF002277</t>
  </si>
  <si>
    <t>19463070-000-025</t>
  </si>
  <si>
    <t>11/8/2016</t>
  </si>
  <si>
    <t>TN20-0209</t>
  </si>
  <si>
    <t>AMAZON,AMAZONDS,CSNSTORES,FINGERHUTDS,JCPENNEY01,KOHLDSN,MACY02,TGTDVS</t>
  </si>
  <si>
    <t>19463070-000-066</t>
  </si>
  <si>
    <t>9/14/2017</t>
  </si>
  <si>
    <t>TN20-0067</t>
  </si>
  <si>
    <t>19463070-000-026</t>
  </si>
  <si>
    <t>TN20-0068</t>
  </si>
  <si>
    <t>AMAZON,AMAZONDS,CSNSTORES,FINGERHUTDS,JCPENNEY01,KOHLDSN,MACY02,OLLIIX,TGTDVS</t>
  </si>
  <si>
    <t>19463070-000-027</t>
  </si>
  <si>
    <t>TN20-0069</t>
  </si>
  <si>
    <t>6/30/2017</t>
  </si>
  <si>
    <t>19463070-000-028</t>
  </si>
  <si>
    <t>TN20-0077</t>
  </si>
  <si>
    <t>PF002279</t>
  </si>
  <si>
    <t>9/20/2024</t>
  </si>
  <si>
    <t>AMAZON,BLK01,FINGERHUTDS,JCPENNEY01,MACY02,TGTDVS</t>
  </si>
  <si>
    <t>19463070-000-036</t>
  </si>
  <si>
    <t>TN20-0078</t>
  </si>
  <si>
    <t>19463070-000-037</t>
  </si>
  <si>
    <t>10/30/2016</t>
  </si>
  <si>
    <t>TN20-0408</t>
  </si>
  <si>
    <t>Seafoam Llama</t>
  </si>
  <si>
    <t>PP000954;PF004713</t>
  </si>
  <si>
    <t>AMAZON,AMAZONDS,BLK01,FINGERHUTDS,JCPENNEY01,KOHLDSN,MACY02,TGTDVS,WALMARTDS</t>
  </si>
  <si>
    <t>19463070-000-156</t>
  </si>
  <si>
    <t>8/26/2019</t>
  </si>
  <si>
    <t>TN20-0409</t>
  </si>
  <si>
    <t>AMAZON,KOHLDSN,MACY02,TGTDVS,WALMARTDS</t>
  </si>
  <si>
    <t>19463070-000-158</t>
  </si>
  <si>
    <t>10/15/2019</t>
  </si>
  <si>
    <t>TN20-0072</t>
  </si>
  <si>
    <t>Tan Plaid</t>
  </si>
  <si>
    <t>PF002278</t>
  </si>
  <si>
    <t>AMAZON,HSNDS,JCPENNEY01,KOHLDSN,MACY02,TGTDVS</t>
  </si>
  <si>
    <t>19463070-000-031</t>
  </si>
  <si>
    <t>TN20-0120</t>
  </si>
  <si>
    <t>Tan Solid</t>
  </si>
  <si>
    <t>PF002285</t>
  </si>
  <si>
    <t>8/28/2024</t>
  </si>
  <si>
    <t>19463070-000-014</t>
  </si>
  <si>
    <t>TN20-0061</t>
  </si>
  <si>
    <t>Tan/Blue Snowflakes</t>
  </si>
  <si>
    <t>PF002276</t>
  </si>
  <si>
    <t>19463070-000-020</t>
  </si>
  <si>
    <t>11/28/2016</t>
  </si>
  <si>
    <t>TN20-0063</t>
  </si>
  <si>
    <t>19463070-000-022</t>
  </si>
  <si>
    <t>ID20-1538</t>
  </si>
  <si>
    <t>Cozy Soft</t>
  </si>
  <si>
    <t>Cotton Flannel Printed Sheet Set</t>
  </si>
  <si>
    <t>Blue Stars</t>
  </si>
  <si>
    <t>PP000944;PF004352</t>
  </si>
  <si>
    <t>6/21/2018</t>
  </si>
  <si>
    <t>AMAZON,AMAZONDS,CSNSTORES,HDDS,JCPENNEY01,KOHLDSN,MACY02,NRTPORT</t>
  </si>
  <si>
    <t>27441193-000-014</t>
  </si>
  <si>
    <t>5/28/2018</t>
  </si>
  <si>
    <t>8/3/2018</t>
  </si>
  <si>
    <t>ID20-2044</t>
  </si>
  <si>
    <t>Grey Sloths</t>
  </si>
  <si>
    <t>PP000944;PF005497</t>
  </si>
  <si>
    <t>9/15/2021</t>
  </si>
  <si>
    <t>27441193-000-045</t>
  </si>
  <si>
    <t>9/26/2021</t>
  </si>
  <si>
    <t>10/28/2021</t>
  </si>
  <si>
    <t>ID20-1541</t>
  </si>
  <si>
    <t>Grey Stars</t>
  </si>
  <si>
    <t>PP000944;PF004353</t>
  </si>
  <si>
    <t>AMAZON,AMAZONDS,CSNSTORES,HDDS,JCPENNEY01,KOHLDSN,MACY02,NRTPORT,WALMARTDS</t>
  </si>
  <si>
    <t>27441193-000-022</t>
  </si>
  <si>
    <t>7/12/2018</t>
  </si>
  <si>
    <t>ID20-1542</t>
  </si>
  <si>
    <t>AMAZONDS,KOHLDSN,MACY02,NRTPORT,OLLIIX,WALMARTDS</t>
  </si>
  <si>
    <t>27441193-000-007</t>
  </si>
  <si>
    <t>8/1/2018</t>
  </si>
  <si>
    <t>ID20-1543</t>
  </si>
  <si>
    <t>AMAZONDS,CSNSTORES,JCPENNEY01,KOHLDSN,MACY02</t>
  </si>
  <si>
    <t>27441193-000-016</t>
  </si>
  <si>
    <t>ID20-1552</t>
  </si>
  <si>
    <t>Grey/Pink Cats</t>
  </si>
  <si>
    <t>PP000944;PF004356</t>
  </si>
  <si>
    <t>AMAZON,AMAZONDS,CSNSTORES,JCPENNEY01,KOHLDSN,MACY02,NRTPORT,WALMARTDS</t>
  </si>
  <si>
    <t>27441193-000-019</t>
  </si>
  <si>
    <t>7/16/2018</t>
  </si>
  <si>
    <t>ID20-1553</t>
  </si>
  <si>
    <t>AMAZONDS,CSNSTORES,JCPENNEY01,KOHLDSN,MACY02,NRTPORT</t>
  </si>
  <si>
    <t>27441193-000-004</t>
  </si>
  <si>
    <t>8/2/2018</t>
  </si>
  <si>
    <t>ID20-1555</t>
  </si>
  <si>
    <t>AMAZON,AMAZONDS,BLK01,CSNSTORES,FINGERHUTDS,JCPENNEY01,KOHLDSN,MACY02,NRTPORT,WALMARTDS</t>
  </si>
  <si>
    <t>27441193-000-003</t>
  </si>
  <si>
    <t>7/25/2018</t>
  </si>
  <si>
    <t>ID20-1556</t>
  </si>
  <si>
    <t>Grey/Pink Dots</t>
  </si>
  <si>
    <t>PP000944;PF004357</t>
  </si>
  <si>
    <t>27441193-000-010</t>
  </si>
  <si>
    <t>8/23/2018</t>
  </si>
  <si>
    <t>ID20-1557</t>
  </si>
  <si>
    <t>AMAZON,AMAZONDS,BLK01,CSNSTORES,JCPENNEY01,MACY02,WALMARTDS</t>
  </si>
  <si>
    <t>27441193-000-017</t>
  </si>
  <si>
    <t>7/3/2018</t>
  </si>
  <si>
    <t>ID20-1558</t>
  </si>
  <si>
    <t>AMAZONDS,CSNSTORES,JCPENNEY01,KOHLDSN,MACY02,NRTPORT,WALMARTDS</t>
  </si>
  <si>
    <t>27441193-000-021</t>
  </si>
  <si>
    <t>7/24/2018</t>
  </si>
  <si>
    <t>ID20-1559</t>
  </si>
  <si>
    <t>AMAZON,AMAZONDS,BLK01,JCPENNEY01,KOHLDSN,MACY02,NRTPORT,OLLIIX</t>
  </si>
  <si>
    <t>27441193-000-020</t>
  </si>
  <si>
    <t>9/4/2018</t>
  </si>
  <si>
    <t>ID20-1533</t>
  </si>
  <si>
    <t>Pink Llamas</t>
  </si>
  <si>
    <t>PP000944;PF004351</t>
  </si>
  <si>
    <t>27441193-000-023</t>
  </si>
  <si>
    <t>ID20-1535</t>
  </si>
  <si>
    <t>AMAZON,AMAZONDS,BLK01,CSNSTORES,DESINC,FINGERHUTDS,JCPENNEY01,KOHLDSN,MACY02</t>
  </si>
  <si>
    <t>27441193-000-005</t>
  </si>
  <si>
    <t>7/6/2018</t>
  </si>
  <si>
    <t>ID20-1750</t>
  </si>
  <si>
    <t>Pink/Grey Hedgehogs</t>
  </si>
  <si>
    <t>PP000944;PF004717</t>
  </si>
  <si>
    <t>AMAZONDS,BLK01,CSNSTORES,JCPENNEY01,KOHLDSN,MACY02,TGTDVS,WALMARTDS</t>
  </si>
  <si>
    <t>27441193-000-030</t>
  </si>
  <si>
    <t>11/23/2020</t>
  </si>
  <si>
    <t>ID20-1752</t>
  </si>
  <si>
    <t>AMAZON,BLK01,CSNSTORES,JCPENNEY01,MACY02,OLLIIX,TGTDVS,WALMARTDS</t>
  </si>
  <si>
    <t>27441193-000-032</t>
  </si>
  <si>
    <t>8/13/2019</t>
  </si>
  <si>
    <t>ID20-1550</t>
  </si>
  <si>
    <t>Seafoam Foxes</t>
  </si>
  <si>
    <t>PP000944;PF004355</t>
  </si>
  <si>
    <t>AMAZON,JCPENNEY01,KOHLDSN,MACY02,NRTPORT,WALMARTDS</t>
  </si>
  <si>
    <t>27441193-000-009</t>
  </si>
  <si>
    <t>8/27/2018</t>
  </si>
  <si>
    <t>ID20-1753</t>
  </si>
  <si>
    <t>Teal Dogs</t>
  </si>
  <si>
    <t>PP000944;PF004718</t>
  </si>
  <si>
    <t>AMAZON,AMAZONDS,CSNSTORES,KOHLDSN,MACY02,WALMARTDS</t>
  </si>
  <si>
    <t>27441193-000-036</t>
  </si>
  <si>
    <t>ID20-1755</t>
  </si>
  <si>
    <t>AMAZON,AMAZONDS,BLK01,CSNSTORES,JCPENNEY01,KOHLDSN,MACY02,TGTDVS,WALMARTDS</t>
  </si>
  <si>
    <t>27441193-000-038</t>
  </si>
  <si>
    <t>9/15/2019</t>
  </si>
  <si>
    <t>FPF18-0414</t>
  </si>
  <si>
    <t>Crackle</t>
  </si>
  <si>
    <t>PF000018;PP000022</t>
  </si>
  <si>
    <t>4/12/2017</t>
  </si>
  <si>
    <t>CSNSTORES,HDDS,LAMPDS,OLLIIX</t>
  </si>
  <si>
    <t>19889611-000-000</t>
  </si>
  <si>
    <t>II150-0011</t>
  </si>
  <si>
    <t>LGT-CHANDELIERS</t>
  </si>
  <si>
    <t>Chandeliers</t>
  </si>
  <si>
    <t>Cyrus</t>
  </si>
  <si>
    <t>6-Globe Light Architectural Metal Chandelier</t>
  </si>
  <si>
    <t>PF002787</t>
  </si>
  <si>
    <t>AMERSIGNDS,CSNSTORES,HOUZZ,LAMPDS,OLLIIX</t>
  </si>
  <si>
    <t>19346819-000-000</t>
  </si>
  <si>
    <t>9/6/2016</t>
  </si>
  <si>
    <t>MP12-391</t>
  </si>
  <si>
    <t>Dawn</t>
  </si>
  <si>
    <t>Vanessa</t>
  </si>
  <si>
    <t>Stella</t>
  </si>
  <si>
    <t>9 Piece Cotton Percale Duvet Cover Set</t>
  </si>
  <si>
    <t>PF003403;PP000407</t>
  </si>
  <si>
    <t>9</t>
  </si>
  <si>
    <t>Shabby Chic|Transitional</t>
  </si>
  <si>
    <t>15685750-000-002</t>
  </si>
  <si>
    <t>MP103-0243</t>
  </si>
  <si>
    <t>Deanna</t>
  </si>
  <si>
    <t>Morton</t>
  </si>
  <si>
    <t>Sparta</t>
  </si>
  <si>
    <t>Upholstered Swivel Accent Chair</t>
  </si>
  <si>
    <t>PF001103</t>
  </si>
  <si>
    <t>ASHFURNDS,CASTLEGATE,CSNSTORES,HDDS,KIRKLANDDS,MACY02F,OLLIIX</t>
  </si>
  <si>
    <t>22701263-000-000</t>
  </si>
  <si>
    <t>8/30/2017</t>
  </si>
  <si>
    <t>MT100-0106</t>
  </si>
  <si>
    <t>Decker</t>
  </si>
  <si>
    <t>8/29/2020</t>
  </si>
  <si>
    <t>AMAZONDS,ASHFURNDS,CSNSTORES,KIRKLANDDS,MACY02F,OLLIIX</t>
  </si>
  <si>
    <t>33732336-000-001</t>
  </si>
  <si>
    <t>9/7/2020</t>
  </si>
  <si>
    <t>II95C-0157</t>
  </si>
  <si>
    <t>Derby</t>
  </si>
  <si>
    <t>Hand Embellished Horse Framed Canvas Wall Art</t>
  </si>
  <si>
    <t>42721567-000-000</t>
  </si>
  <si>
    <t>FPF18-0028</t>
  </si>
  <si>
    <t>Dexter</t>
  </si>
  <si>
    <t>Camron</t>
  </si>
  <si>
    <t>Conner</t>
  </si>
  <si>
    <t>Armless Shelter Chair</t>
  </si>
  <si>
    <t>PF000585;PP000145</t>
  </si>
  <si>
    <t>CASTLEGATE,CSNSTORES,HDDS,MACY02F,OLLIIX</t>
  </si>
  <si>
    <t>17880196-000-000</t>
  </si>
  <si>
    <t>1/25/2016</t>
  </si>
  <si>
    <t>MP104-1239</t>
  </si>
  <si>
    <t>Diedra</t>
  </si>
  <si>
    <t>Blaine</t>
  </si>
  <si>
    <t>Paulie</t>
  </si>
  <si>
    <t>Cane Back Counter Stool</t>
  </si>
  <si>
    <t>Cream/Reclaimed Natural</t>
  </si>
  <si>
    <t>10/13/2023</t>
  </si>
  <si>
    <t>OLLIIX</t>
  </si>
  <si>
    <t>42845868-000-000</t>
  </si>
  <si>
    <t>11/15/2023</t>
  </si>
  <si>
    <t>MP100-1241</t>
  </si>
  <si>
    <t>Donohue</t>
  </si>
  <si>
    <t>Sunnee</t>
  </si>
  <si>
    <t>Lyla</t>
  </si>
  <si>
    <t>Accent Arm Chair</t>
  </si>
  <si>
    <t>Light Grey/Antique Cream</t>
  </si>
  <si>
    <t>1/24/2024</t>
  </si>
  <si>
    <t>32715019-000-002</t>
  </si>
  <si>
    <t>2/22/2024</t>
  </si>
  <si>
    <t>5/21/2024</t>
  </si>
  <si>
    <t>ID12-1593</t>
  </si>
  <si>
    <t>Dorsey</t>
  </si>
  <si>
    <t>Renee</t>
  </si>
  <si>
    <t>Hannah</t>
  </si>
  <si>
    <t>Floral Print Duvet Cover Set</t>
  </si>
  <si>
    <t>Black/White</t>
  </si>
  <si>
    <t>PF004478;PP001844</t>
  </si>
  <si>
    <t>10/16/2018</t>
  </si>
  <si>
    <t>AMAZON,AMAZONDS,BIGLOTSDS,CSNSTORES,JCPENNEY01,KOHLDSN,MACY02,OLLIIX,TGTDVS,Zulily</t>
  </si>
  <si>
    <t>29530407-000-001</t>
  </si>
  <si>
    <t>10/17/2018</t>
  </si>
  <si>
    <t>FB155-1176</t>
  </si>
  <si>
    <t>Dove</t>
  </si>
  <si>
    <t>Double Tube 2-Light Wall Sconce</t>
  </si>
  <si>
    <t>Frosted glass/gold</t>
  </si>
  <si>
    <t>8/9/2023</t>
  </si>
  <si>
    <t>42120667-000-000</t>
  </si>
  <si>
    <t>8/15/2023</t>
  </si>
  <si>
    <t>LCN12-0107</t>
  </si>
  <si>
    <t>Clean Spaces</t>
  </si>
  <si>
    <t>Dover</t>
  </si>
  <si>
    <t>Blakely</t>
  </si>
  <si>
    <t>Reese</t>
  </si>
  <si>
    <t>3 Piece Organic Cotton Oversized Duvet Cover Set</t>
  </si>
  <si>
    <t>PP001595;PF005522</t>
  </si>
  <si>
    <t>Farmhouse|Modern/Contemporary</t>
  </si>
  <si>
    <t>4/1/2021</t>
  </si>
  <si>
    <t>BLK01,CSNSTORES,HOUZZ,JCPENNEY01,KIRKLANDDS,KOHLDSN,MACY02,OLLIIX,TGTDVS,ZOLA,Zulily</t>
  </si>
  <si>
    <t>37697041-000-005</t>
  </si>
  <si>
    <t>5/6/2021</t>
  </si>
  <si>
    <t>BR51-4440</t>
  </si>
  <si>
    <t>Dream Soft</t>
  </si>
  <si>
    <t>PP001948;PF006208</t>
  </si>
  <si>
    <t>43727975-000-008</t>
  </si>
  <si>
    <t>BR51-4441</t>
  </si>
  <si>
    <t>43727975-000-004</t>
  </si>
  <si>
    <t>5/22/2024</t>
  </si>
  <si>
    <t>BR51-4442</t>
  </si>
  <si>
    <t>43727975-000-011</t>
  </si>
  <si>
    <t>5/7/2024</t>
  </si>
  <si>
    <t>BR51-4446</t>
  </si>
  <si>
    <t>Navy Blue</t>
  </si>
  <si>
    <t>PP001948;PF006210</t>
  </si>
  <si>
    <t>AMAZON,KOHLDSN,MACY02,OLLIIX,TGTDVS</t>
  </si>
  <si>
    <t>43727975-000-007</t>
  </si>
  <si>
    <t>BR51-4447</t>
  </si>
  <si>
    <t>43727975-000-005</t>
  </si>
  <si>
    <t>BR51-4448</t>
  </si>
  <si>
    <t>43727975-000-000</t>
  </si>
  <si>
    <t>4/24/2024</t>
  </si>
  <si>
    <t>BR51-4437</t>
  </si>
  <si>
    <t>PP001948;PF006207</t>
  </si>
  <si>
    <t>3/5/2024</t>
  </si>
  <si>
    <t>43727975-000-009</t>
  </si>
  <si>
    <t>BR51-4438</t>
  </si>
  <si>
    <t>43727975-000-003</t>
  </si>
  <si>
    <t>II95G-0156</t>
  </si>
  <si>
    <t>Dreaming</t>
  </si>
  <si>
    <t>Abstract Landscape Diptych 2-Piece Framed Glass Wall Art Set</t>
  </si>
  <si>
    <t>Blue/Multi</t>
  </si>
  <si>
    <t>CSNSTORES,KIRKLANDDS,OLLIIX,TGTDVS</t>
  </si>
  <si>
    <t>42721629-000-000</t>
  </si>
  <si>
    <t>MP130-0156</t>
  </si>
  <si>
    <t>ACCENT CHEST</t>
  </si>
  <si>
    <t>Cabinet</t>
  </si>
  <si>
    <t>Driscoll</t>
  </si>
  <si>
    <t>Wyatt</t>
  </si>
  <si>
    <t>Grayson</t>
  </si>
  <si>
    <t>2-Door Cabinet</t>
  </si>
  <si>
    <t>Reclaimed Natural</t>
  </si>
  <si>
    <t>PF000438</t>
  </si>
  <si>
    <t>ASHFURNDS,CASTLEGATE,CSNSTORES,KIRKLANDDS,KOHLDSN,LAMPDS,MACY02F,ROOMECOM</t>
  </si>
  <si>
    <t>21140952-000-000</t>
  </si>
  <si>
    <t>3/15/2017</t>
  </si>
  <si>
    <t>MP50-453</t>
  </si>
  <si>
    <t>Duke</t>
  </si>
  <si>
    <t>York</t>
  </si>
  <si>
    <t>Long Fur Throw</t>
  </si>
  <si>
    <t>PF003536;PP000412</t>
  </si>
  <si>
    <t>AMAZON,AMAZONDS,BLK01,CSNSTORES,FINGERHUTDS,JCPENNEY01,KOHLDSN,MACY02,OLLIIX,TGTDVS</t>
  </si>
  <si>
    <t>15574045-000-000</t>
  </si>
  <si>
    <t>MP50-5784</t>
  </si>
  <si>
    <t>PP000412;PF004332</t>
  </si>
  <si>
    <t>5/8/2018</t>
  </si>
  <si>
    <t>AMAZON,AMAZONDS,ASHFURNDS,FINGERHUTDS,HSNDS,JCPENNEY01,KOHLDSN,MACY02,TGTDVS</t>
  </si>
  <si>
    <t>15574045-000-005</t>
  </si>
  <si>
    <t>6/8/2018</t>
  </si>
  <si>
    <t>6/20/2018</t>
  </si>
  <si>
    <t>MP30-2999</t>
  </si>
  <si>
    <t>Other Pillows</t>
  </si>
  <si>
    <t>Faux Fur Square Pillow</t>
  </si>
  <si>
    <t>PF003558;PP000412</t>
  </si>
  <si>
    <t>FINGERHUTDS,JCPENNEY01,KOHLDSN,MACY02,TGTDVS</t>
  </si>
  <si>
    <t>18986986-000-002</t>
  </si>
  <si>
    <t>7/13/2016</t>
  </si>
  <si>
    <t>MP50-455</t>
  </si>
  <si>
    <t>AMAZON,BLK01,CSNSTORES,FINGERHUTDS,HOUZZ,JCPENNEY01,KOHLDSN,MACY02,NRTPORT,OLLIIX,TGTDVS</t>
  </si>
  <si>
    <t>15574045-000-002</t>
  </si>
  <si>
    <t>5/18/2015</t>
  </si>
  <si>
    <t>MP30-3000</t>
  </si>
  <si>
    <t>PF003567;PP000412</t>
  </si>
  <si>
    <t>ASHFURNDS,DESINC,FINGERHUTDS,JCPENNEY01,KOHLDSN,MACY02,TGTDVS</t>
  </si>
  <si>
    <t>18986986-000-003</t>
  </si>
  <si>
    <t>MP50-1593</t>
  </si>
  <si>
    <t>15574045-000-003</t>
  </si>
  <si>
    <t>1/18/2016</t>
  </si>
  <si>
    <t>MP50-454</t>
  </si>
  <si>
    <t>PF003547;PP000412</t>
  </si>
  <si>
    <t>8/16/2024</t>
  </si>
  <si>
    <t>AMAZONDS,ASHFURNDS,BLK01,CSNSTORES,JCPENNEY01,KOHLDSN,MACY02,TGTDVS</t>
  </si>
  <si>
    <t>15574045-000-001</t>
  </si>
  <si>
    <t>MP40-7799</t>
  </si>
  <si>
    <t>Eastfield</t>
  </si>
  <si>
    <t>Lyndon</t>
  </si>
  <si>
    <t>Wren</t>
  </si>
  <si>
    <t>Bamboo Light Filtering Roman Shade 64"L</t>
  </si>
  <si>
    <t>27x64"</t>
  </si>
  <si>
    <t>Natural Ash</t>
  </si>
  <si>
    <t>PP001722;PF005636</t>
  </si>
  <si>
    <t>Bamboo</t>
  </si>
  <si>
    <t>4/5/2022</t>
  </si>
  <si>
    <t>AMAZONDS,HDDS,JCPENNEY01,KOHLDSN,OLLIIX</t>
  </si>
  <si>
    <t>39828324-000-009</t>
  </si>
  <si>
    <t>4/11/2022</t>
  </si>
  <si>
    <t>5/4/2022</t>
  </si>
  <si>
    <t>MPS95F-0039</t>
  </si>
  <si>
    <t>Mirrors</t>
  </si>
  <si>
    <t>Eclipse</t>
  </si>
  <si>
    <t>Gold Trio Wall Mirror</t>
  </si>
  <si>
    <t>PP001769</t>
  </si>
  <si>
    <t>6/29/2022</t>
  </si>
  <si>
    <t>AMAZONDS,AMERSIGNDS,CSNSTORES,DESINC,HOUZZ,JCPENNEY01,KIRKLANDDS,MACY02,OLLIIX,TGTDVS,ZOLA</t>
  </si>
  <si>
    <t>24185325-000-001</t>
  </si>
  <si>
    <t>7/5/2022</t>
  </si>
  <si>
    <t>8/22/2022</t>
  </si>
  <si>
    <t>MP40-3776</t>
  </si>
  <si>
    <t>Eden</t>
  </si>
  <si>
    <t>Laya</t>
  </si>
  <si>
    <t>Zoe</t>
  </si>
  <si>
    <t>Fretwork Burnout Sheer Curtain Panel</t>
  </si>
  <si>
    <t>PF003820</t>
  </si>
  <si>
    <t>AMAZON,AMAZONDS,CSNSTORES,FINGERHUTDS,JCPENNEY01,KOHLDSN,WALMARTDS</t>
  </si>
  <si>
    <t>20741027-000-003</t>
  </si>
  <si>
    <t>1/19/2017</t>
  </si>
  <si>
    <t>3/10/2017</t>
  </si>
  <si>
    <t>BR54-0179</t>
  </si>
  <si>
    <t>Electric Micro Fleece</t>
  </si>
  <si>
    <t>PF003617</t>
  </si>
  <si>
    <t>Fleece</t>
  </si>
  <si>
    <t>AMAZON,AMAZONDS,BLK01,CSNSTORES,JCPENNEY01,KOHLDSN,OLLIIX,WALMARTDS</t>
  </si>
  <si>
    <t>14030863-000-026</t>
  </si>
  <si>
    <t>12/31/2015</t>
  </si>
  <si>
    <t>1/7/2015</t>
  </si>
  <si>
    <t>BR54-0183</t>
  </si>
  <si>
    <t>PF003628</t>
  </si>
  <si>
    <t>10/17/2017</t>
  </si>
  <si>
    <t>AMAZONDS,BLK01,JCPENNEY01,KOHLDSN,MACY02,TGTDVS,WALMARTDS</t>
  </si>
  <si>
    <t>14030863-000-018</t>
  </si>
  <si>
    <t>BR54-0191</t>
  </si>
  <si>
    <t>PF003414</t>
  </si>
  <si>
    <t>AMAZON,KOHLDSN,MACY02,WALMARTDS</t>
  </si>
  <si>
    <t>14030863-000-013</t>
  </si>
  <si>
    <t>BR54-0192</t>
  </si>
  <si>
    <t>AMAZONDS,CSNSTORES,HDDS,JCPENNEY01,KOHLDSN,OLLIIX,WALMARTDS</t>
  </si>
  <si>
    <t>14030863-000-007</t>
  </si>
  <si>
    <t>BR54-0187</t>
  </si>
  <si>
    <t>PF003639</t>
  </si>
  <si>
    <t>AMAZON,CSNSTORES,TGTDVS,WALMARTDS</t>
  </si>
  <si>
    <t>14030863-000-021</t>
  </si>
  <si>
    <t>MP41-4955</t>
  </si>
  <si>
    <t>Elena</t>
  </si>
  <si>
    <t>Juline</t>
  </si>
  <si>
    <t>Gail</t>
  </si>
  <si>
    <t>Faux Silk Waterfall Embellished Valance</t>
  </si>
  <si>
    <t>Bronze</t>
  </si>
  <si>
    <t>PF003966</t>
  </si>
  <si>
    <t>8/5/2017</t>
  </si>
  <si>
    <t>AMAZON,AMAZONDS,BLK01,CSNSTORES,JCPENNEY01,KOHLDSN</t>
  </si>
  <si>
    <t>23314418-000-002</t>
  </si>
  <si>
    <t>8/2/2017</t>
  </si>
  <si>
    <t>8/9/2017</t>
  </si>
  <si>
    <t>MT101-0014</t>
  </si>
  <si>
    <t>OTTOMAN</t>
  </si>
  <si>
    <t>Ottoman</t>
  </si>
  <si>
    <t>Ellen</t>
  </si>
  <si>
    <t>Cocktail Ottoman</t>
  </si>
  <si>
    <t>PP001279</t>
  </si>
  <si>
    <t>CSNSTORES,KIRKLANDDS,MACY02F,OLLIIX,ROOMECOM,ZOLA</t>
  </si>
  <si>
    <t>33732339-000-000</t>
  </si>
  <si>
    <t>7/8/2019</t>
  </si>
  <si>
    <t>3/16/2020</t>
  </si>
  <si>
    <t>MP50-3255</t>
  </si>
  <si>
    <t>Elma</t>
  </si>
  <si>
    <t>Celia</t>
  </si>
  <si>
    <t>Oversized Textured Plush Throw</t>
  </si>
  <si>
    <t>60x70"</t>
  </si>
  <si>
    <t>PF003442</t>
  </si>
  <si>
    <t>11/1/2024</t>
  </si>
  <si>
    <t>JCPENNEY01,MACY02,OLLIIX</t>
  </si>
  <si>
    <t>19173744-000-003</t>
  </si>
  <si>
    <t>8/3/2016</t>
  </si>
  <si>
    <t>MT108-1197</t>
  </si>
  <si>
    <t>Elmcrest</t>
  </si>
  <si>
    <t>Upholstered Dining Chair with Nailhead Trim</t>
  </si>
  <si>
    <t>Beige Stripe</t>
  </si>
  <si>
    <t>MT Lily Pond</t>
  </si>
  <si>
    <t>1/26/2024</t>
  </si>
  <si>
    <t>10/9/2024</t>
  </si>
  <si>
    <t>36430169-000-002</t>
  </si>
  <si>
    <t>2/27/2024</t>
  </si>
  <si>
    <t>3/18/2024</t>
  </si>
  <si>
    <t>MP40-8330</t>
  </si>
  <si>
    <t>Emilia</t>
  </si>
  <si>
    <t>Natalie</t>
  </si>
  <si>
    <t>Lillian</t>
  </si>
  <si>
    <t>Twist Tab Lined Window Curtain Panel</t>
  </si>
  <si>
    <t>PP001164;PF006098</t>
  </si>
  <si>
    <t>15855802-000-050</t>
  </si>
  <si>
    <t>Tier 2</t>
  </si>
  <si>
    <t>12/19/2023</t>
  </si>
  <si>
    <t>1/5/2024</t>
  </si>
  <si>
    <t>MP40-8331</t>
  </si>
  <si>
    <t>CSNSTORES,JCPENNEY01</t>
  </si>
  <si>
    <t>15855802-000-051</t>
  </si>
  <si>
    <t>MP40-8332</t>
  </si>
  <si>
    <t>50x120"</t>
  </si>
  <si>
    <t>15855802-000-052</t>
  </si>
  <si>
    <t>MP40-8335</t>
  </si>
  <si>
    <t>Twist Tab Total Blackout Window Curtain Panel</t>
  </si>
  <si>
    <t>50x84" Blackout</t>
  </si>
  <si>
    <t>AMAZON,AMAZONDS,JCPENNEY01,KOHLDSN</t>
  </si>
  <si>
    <t>33704698-000-009</t>
  </si>
  <si>
    <t>3/28/2024</t>
  </si>
  <si>
    <t>MP40-8336</t>
  </si>
  <si>
    <t>50x95" Blackout</t>
  </si>
  <si>
    <t>33704698-000-008</t>
  </si>
  <si>
    <t>MP40-6322</t>
  </si>
  <si>
    <t>PP001164;PF004652</t>
  </si>
  <si>
    <t>5/9/2019</t>
  </si>
  <si>
    <t>AMAZON,CSNSTORES,JCPENNEY01,KOHLDSN,TGTDVS</t>
  </si>
  <si>
    <t>15855802-000-035</t>
  </si>
  <si>
    <t>6/3/2019</t>
  </si>
  <si>
    <t>7/12/2019</t>
  </si>
  <si>
    <t>MP40-6324</t>
  </si>
  <si>
    <t>15855802-000-038</t>
  </si>
  <si>
    <t>6/4/2019</t>
  </si>
  <si>
    <t>MP41-6325</t>
  </si>
  <si>
    <t>Lightweight Faux Silk Valance With Beads</t>
  </si>
  <si>
    <t>50x26"</t>
  </si>
  <si>
    <t>AMAZONDS,CSNSTORES,FINGERHUTDS,JCPENNEY01,KOHLDSN,TGTDVS,WALMARTDS</t>
  </si>
  <si>
    <t>22670044-000-009</t>
  </si>
  <si>
    <t>6/19/2019</t>
  </si>
  <si>
    <t>WIN40-118</t>
  </si>
  <si>
    <t>AMAZON,AMAZONDS,BLK01,CSNSTORES,HSNDS,JCPENNEY01,KOHLDSN</t>
  </si>
  <si>
    <t>15855802-000-006</t>
  </si>
  <si>
    <t>MP40-2686</t>
  </si>
  <si>
    <t>AMAZON,AMAZONDS,BLK01,CSNSTORES,DESINC,JCPENNEY01</t>
  </si>
  <si>
    <t>15855802-000-020</t>
  </si>
  <si>
    <t>8/18/2016</t>
  </si>
  <si>
    <t>WIN40-116</t>
  </si>
  <si>
    <t>PF003964</t>
  </si>
  <si>
    <t>AMAZON,AMAZONDS,BLK01,CSNSTORES,HSNDS,JCPENNEY01,KIRKLANDDS,KOHLDSN,TGTDVS</t>
  </si>
  <si>
    <t>15855802-000-002</t>
  </si>
  <si>
    <t>MP40-2684</t>
  </si>
  <si>
    <t>AMAZON,BLK01,CSNSTORES,DESINC,HSNDS,JCPENNEY01,KIRKLANDDS,KOHLDSN,TGTDVS</t>
  </si>
  <si>
    <t>15855802-000-018</t>
  </si>
  <si>
    <t>6/22/2016</t>
  </si>
  <si>
    <t>MP41-4454</t>
  </si>
  <si>
    <t>6/2/2017</t>
  </si>
  <si>
    <t>AMAZON,CSNSTORES,DESINC,HOUZZ,JCPENNEY01,KOHLDSN,TGTDVS</t>
  </si>
  <si>
    <t>22670044-000-004</t>
  </si>
  <si>
    <t>8/14/2017</t>
  </si>
  <si>
    <t>MP40-6556</t>
  </si>
  <si>
    <t>PP001164;PF004762</t>
  </si>
  <si>
    <t>7/27/2019</t>
  </si>
  <si>
    <t>AMAZON,AMAZONDS,BLK01,CSNSTORES,HDDS,JCPENNEY01,KOHLDSN,OLLIIX,TGTDVS</t>
  </si>
  <si>
    <t>15855802-000-047</t>
  </si>
  <si>
    <t>9/20/2019</t>
  </si>
  <si>
    <t>10/8/2019</t>
  </si>
  <si>
    <t>MP40-6557</t>
  </si>
  <si>
    <t>AMAZON,AMAZONDS,CSNSTORES,DESINC,HDDS,JCPENNEY01,KOHLDSN</t>
  </si>
  <si>
    <t>15855802-000-046</t>
  </si>
  <si>
    <t>9/27/2019</t>
  </si>
  <si>
    <t>MP40-6558</t>
  </si>
  <si>
    <t>AMAZON,AMAZONDS,ASHFURNDS,CSNSTORES,HDDS,JCPENNEY01,KOHLDSN</t>
  </si>
  <si>
    <t>15855802-000-045</t>
  </si>
  <si>
    <t>9/30/2019</t>
  </si>
  <si>
    <t>MP40-6559</t>
  </si>
  <si>
    <t>AMAZON,AMAZONDS,CSNSTORES,JCPENNEY01</t>
  </si>
  <si>
    <t>15855802-000-044</t>
  </si>
  <si>
    <t>1/6/2020</t>
  </si>
  <si>
    <t>MP41-6560</t>
  </si>
  <si>
    <t>AMAZON,CSNSTORES,DESINC,JCPENNEY01,KOHLDSN</t>
  </si>
  <si>
    <t>22670044-000-011</t>
  </si>
  <si>
    <t>11/11/2019</t>
  </si>
  <si>
    <t>WIN40-121</t>
  </si>
  <si>
    <t>Dusty Aqua</t>
  </si>
  <si>
    <t>PF003965</t>
  </si>
  <si>
    <t>AMAZON,ASHFURNDS,CSNSTORES,HDDS,JCPENNEY01,KOHLDSN,TGTDVS</t>
  </si>
  <si>
    <t>15855802-000-005</t>
  </si>
  <si>
    <t>1/8/2015</t>
  </si>
  <si>
    <t>MP41-4455</t>
  </si>
  <si>
    <t>AMAZONDS,BLK01,CSNSTORES,JCPENNEY01,KOHLDSN</t>
  </si>
  <si>
    <t>22670044-000-005</t>
  </si>
  <si>
    <t>9/15/2017</t>
  </si>
  <si>
    <t>MP40-6318</t>
  </si>
  <si>
    <t>PP001164;PF004653</t>
  </si>
  <si>
    <t>AMAZON,CSNSTORES,DESINC,JCPENNEY01,KOHLDSN,MACY02</t>
  </si>
  <si>
    <t>15855802-000-041</t>
  </si>
  <si>
    <t>6/5/2019</t>
  </si>
  <si>
    <t>7/9/2019</t>
  </si>
  <si>
    <t>MP40-6319</t>
  </si>
  <si>
    <t>CSNSTORES,KOHLDSN</t>
  </si>
  <si>
    <t>15855802-000-040</t>
  </si>
  <si>
    <t>12/4/2019</t>
  </si>
  <si>
    <t>MP41-6320</t>
  </si>
  <si>
    <t>AMAZON,CSNSTORES,FINGERHUTDS,JCPENNEY01,KOHLDSN</t>
  </si>
  <si>
    <t>22670044-000-008</t>
  </si>
  <si>
    <t>MP40-1300</t>
  </si>
  <si>
    <t>Pewter</t>
  </si>
  <si>
    <t>PF003967</t>
  </si>
  <si>
    <t>AMAZON,AMAZONDS,CSNSTORES,JCPENNEY01,KOHLDSN</t>
  </si>
  <si>
    <t>15855802-000-009</t>
  </si>
  <si>
    <t>MP40-2682</t>
  </si>
  <si>
    <t>AMAZON,AMAZONDS,BLK01,CSNSTORES,HDDS,JCPENNEY01,KOHLDSN</t>
  </si>
  <si>
    <t>15855802-000-016</t>
  </si>
  <si>
    <t>MP40-7408</t>
  </si>
  <si>
    <t>PF003967;PP001164</t>
  </si>
  <si>
    <t>3/12/2021</t>
  </si>
  <si>
    <t>AMAZON,CSNSTORES,KOHLDSN,LOWESDS,TGTDVS</t>
  </si>
  <si>
    <t>33704698-000-004</t>
  </si>
  <si>
    <t>5/12/2021</t>
  </si>
  <si>
    <t>MP40-6327</t>
  </si>
  <si>
    <t>PP001164;PF004651</t>
  </si>
  <si>
    <t>AMAZON,AMAZONDS,CSNSTORES,HDDS,JCPENNEY01,KOHLDSN</t>
  </si>
  <si>
    <t>15855802-000-034</t>
  </si>
  <si>
    <t>MP40-6329</t>
  </si>
  <si>
    <t>15855802-000-032</t>
  </si>
  <si>
    <t>MP40-6750</t>
  </si>
  <si>
    <t>Englewood</t>
  </si>
  <si>
    <t>Oslow</t>
  </si>
  <si>
    <t>Lincoln</t>
  </si>
  <si>
    <t>Solid Piece Dyed Grommet Top Curtain Panel</t>
  </si>
  <si>
    <t>PP001398;PF004938</t>
  </si>
  <si>
    <t>CSNSTORES,JCPENNEY01,KOHLDSN,TGTDVS</t>
  </si>
  <si>
    <t>35010479-000-008</t>
  </si>
  <si>
    <t>11/12/2019</t>
  </si>
  <si>
    <t>4/1/2020</t>
  </si>
  <si>
    <t>MT95G-0030</t>
  </si>
  <si>
    <t>Estuary</t>
  </si>
  <si>
    <t>Abstract Landscape Framed Glass Wall Art</t>
  </si>
  <si>
    <t>PP001449;PF005016</t>
  </si>
  <si>
    <t>AMAZONDS,BLK01,CSNSTORES,DESINC,JCPENNEY01,KIRKLANDDS,KOHLDSN,MACY02,OLLIIX,ZOLA</t>
  </si>
  <si>
    <t>35147143-000-000</t>
  </si>
  <si>
    <t>4/14/2020</t>
  </si>
  <si>
    <t>5DS108-0034</t>
  </si>
  <si>
    <t>Everly</t>
  </si>
  <si>
    <t>Upholstered Channel-back Dining Chair Set of 2</t>
  </si>
  <si>
    <t>1/31/2024</t>
  </si>
  <si>
    <t>41922410-000-002</t>
  </si>
  <si>
    <t>II153-0107</t>
  </si>
  <si>
    <t>Ceramic Table Lamp with Handles</t>
  </si>
  <si>
    <t>CSNSTORES,JCPENNEY01,KIRKLANDDS,KOHLDSN,OLLIIX</t>
  </si>
  <si>
    <t>39463174-000-000</t>
  </si>
  <si>
    <t>6/8/2022</t>
  </si>
  <si>
    <t>MP95G-0298</t>
  </si>
  <si>
    <t>Fair Florets</t>
  </si>
  <si>
    <t>3-piece Framed Glass Wall Art Set</t>
  </si>
  <si>
    <t>PP001778</t>
  </si>
  <si>
    <t>6/1/2022</t>
  </si>
  <si>
    <t>AMAZONDS,AMERSIGNDS,CSNSTORES,DESINC,JCPENNEY01,KIRKLANDDS,KOHLDSN,MACY02,OLLIIX,TGTDVS,ZOLA,Zulily</t>
  </si>
  <si>
    <t>40050444-000-000</t>
  </si>
  <si>
    <t>6/2/2022</t>
  </si>
  <si>
    <t>10/3/2022</t>
  </si>
  <si>
    <t>ID12-1782</t>
  </si>
  <si>
    <t>Felicia</t>
  </si>
  <si>
    <t>Isabel</t>
  </si>
  <si>
    <t>Alyssa</t>
  </si>
  <si>
    <t>Velvet Duvet Cover Set with Throw Pillow</t>
  </si>
  <si>
    <t>PP001091;PF004575</t>
  </si>
  <si>
    <t>8/7/2019</t>
  </si>
  <si>
    <t>AMAZON,JCPENNEY01,MACY02,OLLIIX,TGTDVS</t>
  </si>
  <si>
    <t>33908184-000-000</t>
  </si>
  <si>
    <t>8/8/2019</t>
  </si>
  <si>
    <t>10/9/2019</t>
  </si>
  <si>
    <t>ID12-1971</t>
  </si>
  <si>
    <t>1/4/2021</t>
  </si>
  <si>
    <t>AMAZON,CSNSTORES,HDDS,JCPENNEY01,NRTPORT,TGTDVS,Zulily</t>
  </si>
  <si>
    <t>33908184-000-014</t>
  </si>
  <si>
    <t>1/10/2021</t>
  </si>
  <si>
    <t>ID10-2413</t>
  </si>
  <si>
    <t>Velvet Comforter Set with Throw Pillow</t>
  </si>
  <si>
    <t>PP001091;PF006269</t>
  </si>
  <si>
    <t>6/20/2024</t>
  </si>
  <si>
    <t>AMAZON,HDDS,KOHLDSN,MACY02,TGTDVS</t>
  </si>
  <si>
    <t>32471150-000-022</t>
  </si>
  <si>
    <t>7/1/2024</t>
  </si>
  <si>
    <t>ID12-1793</t>
  </si>
  <si>
    <t>PP001091;PF004858</t>
  </si>
  <si>
    <t>33908184-000-004</t>
  </si>
  <si>
    <t>9/28/2019</t>
  </si>
  <si>
    <t>10/18/2019</t>
  </si>
  <si>
    <t>ID12-1794</t>
  </si>
  <si>
    <t>AMAZON,AMAZONDS,AMERSIGNDS,BLK01,CSNSTORES,JCPENNEY01,KOHLDSN,MACY02,OLLIIX,TGTDVS,WALMARTDS</t>
  </si>
  <si>
    <t>33908184-000-005</t>
  </si>
  <si>
    <t>ID12-1908</t>
  </si>
  <si>
    <t>PP001091;PF005084</t>
  </si>
  <si>
    <t>5/15/2020</t>
  </si>
  <si>
    <t>AMAZONDS,CSNSTORES,JCPENNEY01,KOHLDSN,TGTDVS,WALMARTDS</t>
  </si>
  <si>
    <t>33908184-000-009</t>
  </si>
  <si>
    <t>5/18/2020</t>
  </si>
  <si>
    <t>ID12-1977</t>
  </si>
  <si>
    <t>2/24/2021</t>
  </si>
  <si>
    <t>33908184-000-012</t>
  </si>
  <si>
    <t>3/8/2021</t>
  </si>
  <si>
    <t>MT108-1186</t>
  </si>
  <si>
    <t>Fiona</t>
  </si>
  <si>
    <t>Upholstered Dining Chair with Turned Wood Legs Set of 2</t>
  </si>
  <si>
    <t>11/21/2022</t>
  </si>
  <si>
    <t>AMAZONDS,CSNSTORES,MACY02F,ZOLA</t>
  </si>
  <si>
    <t>40538393-000-000</t>
  </si>
  <si>
    <t>MP160-0181</t>
  </si>
  <si>
    <t>Fiore</t>
  </si>
  <si>
    <t>Sunburst Wall Decor Mirror 29.5"D</t>
  </si>
  <si>
    <t>29.5" Dia</t>
  </si>
  <si>
    <t>AMAZON,CSNSTORES,HOUZZ,KOHLDSN,MACY02,OLLIIX,ROOMECOM,TGTDVS</t>
  </si>
  <si>
    <t>25582543-000-000</t>
  </si>
  <si>
    <t>MP95F-0265</t>
  </si>
  <si>
    <t>PF005437</t>
  </si>
  <si>
    <t>AMAZON,CSNSTORES,DESINC,KOHLDSN,MACY02,ROOMECOM</t>
  </si>
  <si>
    <t>25582543-000-001</t>
  </si>
  <si>
    <t>5/5/2021</t>
  </si>
  <si>
    <t>5/7/2021</t>
  </si>
  <si>
    <t>ST54-0078</t>
  </si>
  <si>
    <t>Electric Throw</t>
  </si>
  <si>
    <t>Fleece to Sherpa</t>
  </si>
  <si>
    <t>Heated Throw</t>
  </si>
  <si>
    <t>2/16/2021</t>
  </si>
  <si>
    <t>37390080-000-003</t>
  </si>
  <si>
    <t>2/17/2021</t>
  </si>
  <si>
    <t>2/22/2021</t>
  </si>
  <si>
    <t>ST54-0134</t>
  </si>
  <si>
    <t>7/9/2021</t>
  </si>
  <si>
    <t>CSNSTORES,JCPENNEY01,WALMARTDS</t>
  </si>
  <si>
    <t>37425752-000-016</t>
  </si>
  <si>
    <t>8/9/2021</t>
  </si>
  <si>
    <t>11/1/2021</t>
  </si>
  <si>
    <t>ST54-0135</t>
  </si>
  <si>
    <t>CSNSTORES,FINGERHUTDS,JCPENNEY01,KOHLDSN</t>
  </si>
  <si>
    <t>37425752-000-019</t>
  </si>
  <si>
    <t>10/20/2021</t>
  </si>
  <si>
    <t>ST54-0136</t>
  </si>
  <si>
    <t>CSNSTORES,JCPENNEY01,KOHLDSN,MACY02</t>
  </si>
  <si>
    <t>37425752-000-018</t>
  </si>
  <si>
    <t>8/18/2021</t>
  </si>
  <si>
    <t>ST54-0137</t>
  </si>
  <si>
    <t>37425752-000-021</t>
  </si>
  <si>
    <t>9/28/2021</t>
  </si>
  <si>
    <t>II112-0520</t>
  </si>
  <si>
    <t>DINING BENCH</t>
  </si>
  <si>
    <t>Dining Bench</t>
  </si>
  <si>
    <t>Frank</t>
  </si>
  <si>
    <t>6/5/2023</t>
  </si>
  <si>
    <t>41775304-000-000</t>
  </si>
  <si>
    <t>6/19/2023</t>
  </si>
  <si>
    <t>II108-0521</t>
  </si>
  <si>
    <t>Upholstered Dining Chair (Set of 2)</t>
  </si>
  <si>
    <t>Gray</t>
  </si>
  <si>
    <t>6/28/2023</t>
  </si>
  <si>
    <t>CSNSTORES,OLLIIX,ZOLA</t>
  </si>
  <si>
    <t>41917134-000-000</t>
  </si>
  <si>
    <t>9/20/2023</t>
  </si>
  <si>
    <t>MT95C-0005</t>
  </si>
  <si>
    <t>French Herbarium</t>
  </si>
  <si>
    <t>2-piece Framed Canvas Wall Art Set</t>
  </si>
  <si>
    <t>AMAZON,ASHFURNDS,CSNSTORES,JCPENNEY01,KIRKLANDDS,KOHLDSN,OLLIIX,ROOMECOM,TGTDVS,ZOLA,Zulily</t>
  </si>
  <si>
    <t>34135488-000-000</t>
  </si>
  <si>
    <t>8/27/2019</t>
  </si>
  <si>
    <t>4/15/2020</t>
  </si>
  <si>
    <t>MP51N-8382</t>
  </si>
  <si>
    <t>Freshspun Basketweave</t>
  </si>
  <si>
    <t>Cotton Blanket</t>
  </si>
  <si>
    <t>PP001933;PF006166</t>
  </si>
  <si>
    <t>18986578-000-026</t>
  </si>
  <si>
    <t>MP51N-8384</t>
  </si>
  <si>
    <t>AMAZON,CSNSTORES,KOHLDSN,MACY02,OLLIIX,TGTDVS</t>
  </si>
  <si>
    <t>18986578-000-024</t>
  </si>
  <si>
    <t>BL51N-0866</t>
  </si>
  <si>
    <t>PF003485</t>
  </si>
  <si>
    <t>AMAZON,AMAZONDS,BEALLSDS,BLK01,CSNSTORES,KOHLDSN,MACY02,TGTDVS,WALMARTDS</t>
  </si>
  <si>
    <t>18986578-000-021</t>
  </si>
  <si>
    <t>8/2/2016</t>
  </si>
  <si>
    <t>BL51N-0868</t>
  </si>
  <si>
    <t>AMAZON,AMAZONDS,BLK01,CSNSTORES,HSNDS,KOHLDSN,MACY02,OLLIIX,TGTDVS,WALMARTDS</t>
  </si>
  <si>
    <t>18986578-000-023</t>
  </si>
  <si>
    <t>7/26/2016</t>
  </si>
  <si>
    <t>FB153-1155</t>
  </si>
  <si>
    <t>Fulton</t>
  </si>
  <si>
    <t>Concrete Table Lamp</t>
  </si>
  <si>
    <t>Black/Grey</t>
  </si>
  <si>
    <t>1/27/2021</t>
  </si>
  <si>
    <t>AMERSIGNDS,ASHFURNDS,CSNSTORES</t>
  </si>
  <si>
    <t>24339016-000-001</t>
  </si>
  <si>
    <t>3/17/2021</t>
  </si>
  <si>
    <t>3/22/2021</t>
  </si>
  <si>
    <t>MP40-7870</t>
  </si>
  <si>
    <t>Galen</t>
  </si>
  <si>
    <t>Colm</t>
  </si>
  <si>
    <t>Paxton</t>
  </si>
  <si>
    <t>Basketweave Room Darkening Cordless Roman Shade</t>
  </si>
  <si>
    <t>23x64"</t>
  </si>
  <si>
    <t>PP001307;PF005661</t>
  </si>
  <si>
    <t>3/21/2022</t>
  </si>
  <si>
    <t>AMAZONDS,CSNSTORES,HDDS,JCPENNEY01,MACY02</t>
  </si>
  <si>
    <t>34381036-000-031</t>
  </si>
  <si>
    <t>4/7/2022</t>
  </si>
  <si>
    <t>MP40-7871</t>
  </si>
  <si>
    <t>29x64"</t>
  </si>
  <si>
    <t>AMAZONDS,CSNSTORES,KOHLDSN</t>
  </si>
  <si>
    <t>34381036-000-032</t>
  </si>
  <si>
    <t>MP40-7320</t>
  </si>
  <si>
    <t>35x64"</t>
  </si>
  <si>
    <t>1/5/2021</t>
  </si>
  <si>
    <t>AMAZON,AMAZONDS,ASHFURNDS,CSNSTORES,HDDS,TGTDVS</t>
  </si>
  <si>
    <t>34381036-000-021</t>
  </si>
  <si>
    <t>1/8/2021</t>
  </si>
  <si>
    <t>MP40-7321</t>
  </si>
  <si>
    <t>34381036-000-020</t>
  </si>
  <si>
    <t>1/12/2021</t>
  </si>
  <si>
    <t>MP40-7749</t>
  </si>
  <si>
    <t>PP001307;PF004746</t>
  </si>
  <si>
    <t>11/23/2021</t>
  </si>
  <si>
    <t>AMAZON,BLK01,CASTLEGATE,CSNSTORES,HDDS,JCPENNEY01,KOHLDSN,OLLIIX,Zulily</t>
  </si>
  <si>
    <t>34381036-000-030</t>
  </si>
  <si>
    <t>1/4/2022</t>
  </si>
  <si>
    <t>MP40-6552</t>
  </si>
  <si>
    <t>9/16/2019</t>
  </si>
  <si>
    <t>AMAZON,AMAZONDS,BIGLOTSDS,CSNSTORES,HDDS,JCPENNEY01,TGTDVS,WALMARTDS</t>
  </si>
  <si>
    <t>34381036-000-003</t>
  </si>
  <si>
    <t>9/18/2019</t>
  </si>
  <si>
    <t>9/23/2019</t>
  </si>
  <si>
    <t>MP40-7195</t>
  </si>
  <si>
    <t>6/16/2020</t>
  </si>
  <si>
    <t>AMAZON,AMAZONDS,BIGLOTSDS,CSNSTORES,HDDS,JCPENNEY01,KOHLDSN,TGTDVS</t>
  </si>
  <si>
    <t>34381036-000-009</t>
  </si>
  <si>
    <t>7/10/2020</t>
  </si>
  <si>
    <t>MP40-7922</t>
  </si>
  <si>
    <t>Basketweave Room Darkening Curtain Panel Pair</t>
  </si>
  <si>
    <t>2-PK 40x84"</t>
  </si>
  <si>
    <t>PP001307;PF004745</t>
  </si>
  <si>
    <t>AMAZONDS,CSNSTORES,DESINC,JCPENNEY01,KIRKLANDDS,KOHLDSN,OLLIIX</t>
  </si>
  <si>
    <t>40253096-000-000</t>
  </si>
  <si>
    <t>8/11/2022</t>
  </si>
  <si>
    <t>10/10/2022</t>
  </si>
  <si>
    <t>MP40-6547</t>
  </si>
  <si>
    <t>AMAZON,AMAZONDS,ASHFURNDS,CSNSTORES,HDDS,JCPENNEY01,KOHLDSN,OLLIIX,TGTDVS</t>
  </si>
  <si>
    <t>34381036-000-006</t>
  </si>
  <si>
    <t>MP40-7322</t>
  </si>
  <si>
    <t>PP001307;PF005660</t>
  </si>
  <si>
    <t>AMAZON,CSNSTORES,JCPENNEY01,KOHLDSN,OLLIIX,TGTDVS</t>
  </si>
  <si>
    <t>34381036-000-019</t>
  </si>
  <si>
    <t>MP40-7868</t>
  </si>
  <si>
    <t>AMAZONDS,BRANDX,CSNSTORES,HDDS,JCPENNEY01,KOHLDSN,OLLIIX</t>
  </si>
  <si>
    <t>34381036-000-035</t>
  </si>
  <si>
    <t>4/12/2022</t>
  </si>
  <si>
    <t>MP40-7324</t>
  </si>
  <si>
    <t>33x64"</t>
  </si>
  <si>
    <t>AMAZON,BLK01,CSNSTORES,HDDS,JCPENNEY01,KOHLDSN,OLLIIX,TGTDVS</t>
  </si>
  <si>
    <t>34381036-000-024</t>
  </si>
  <si>
    <t>2/2/2021</t>
  </si>
  <si>
    <t>MP40-7924</t>
  </si>
  <si>
    <t>PP001307;PF005195</t>
  </si>
  <si>
    <t>5/11/2022</t>
  </si>
  <si>
    <t>CSNSTORES,DESINC,JCPENNEY01,KIRKLANDDS,KOHLDSN</t>
  </si>
  <si>
    <t>40253096-000-004</t>
  </si>
  <si>
    <t>4/24/2023</t>
  </si>
  <si>
    <t>MP40-7224</t>
  </si>
  <si>
    <t>9/2/2020</t>
  </si>
  <si>
    <t>AMAZON,CSNSTORES,HDDS,JCPENNEY01,KOHLDSN,TGTDVS</t>
  </si>
  <si>
    <t>34381036-000-010</t>
  </si>
  <si>
    <t>9/1/2020</t>
  </si>
  <si>
    <t>FPF20-0278</t>
  </si>
  <si>
    <t>Garbo</t>
  </si>
  <si>
    <t>Sydney</t>
  </si>
  <si>
    <t>London</t>
  </si>
  <si>
    <t>Captains Dining Chair</t>
  </si>
  <si>
    <t>PF000776;PP000163</t>
  </si>
  <si>
    <t>CSNSTORES,JCPENNEY01,KOHLDSN,MACY02F</t>
  </si>
  <si>
    <t>17681036-000-000</t>
  </si>
  <si>
    <t>3/17/2016</t>
  </si>
  <si>
    <t>FPF20-0281</t>
  </si>
  <si>
    <t>PF000779;PP000163</t>
  </si>
  <si>
    <t>CASTLEGATE,CSNSTORES,KOHLDSN,MACY02F</t>
  </si>
  <si>
    <t>17681033-000-000</t>
  </si>
  <si>
    <t>5/19/2016</t>
  </si>
  <si>
    <t>FPF20-0279</t>
  </si>
  <si>
    <t>PF000777;PP000163</t>
  </si>
  <si>
    <t>CASTLEGATE,CSNSTORES,OLLIIX</t>
  </si>
  <si>
    <t>17681035-000-000</t>
  </si>
  <si>
    <t>11/30/2015</t>
  </si>
  <si>
    <t>MP10-282</t>
  </si>
  <si>
    <t>Genevieve</t>
  </si>
  <si>
    <t>Abigail</t>
  </si>
  <si>
    <t>Beverly</t>
  </si>
  <si>
    <t>PF002435</t>
  </si>
  <si>
    <t>Border</t>
  </si>
  <si>
    <t>AMAZON,AMAZONDS,BIGLOTSDS,BLK01,CSNSTORES,DESINC,JCPENNEY01,KOHLDSN,MACY02,NRTPORT,TGTDVS</t>
  </si>
  <si>
    <t>14607141-000-002</t>
  </si>
  <si>
    <t>1/6/2015</t>
  </si>
  <si>
    <t>PET63PT6028</t>
  </si>
  <si>
    <t>Geo</t>
  </si>
  <si>
    <t>Pet Throw</t>
  </si>
  <si>
    <t>Navy/Grey</t>
  </si>
  <si>
    <t>4/14/2023</t>
  </si>
  <si>
    <t>43822302-000-000</t>
  </si>
  <si>
    <t>UH95C-0002</t>
  </si>
  <si>
    <t>Gilded Feathers</t>
  </si>
  <si>
    <t>Gold Foil 2-piece Canvas Wall Art Set</t>
  </si>
  <si>
    <t>PF001877</t>
  </si>
  <si>
    <t>Global</t>
  </si>
  <si>
    <t>AMAZON,AMAZONDS,BLK01,CSNSTORES,KIRKLANDDS,LAMPDS,OLLIIX,TGTDVS</t>
  </si>
  <si>
    <t>19507335-000-000</t>
  </si>
  <si>
    <t>9/14/2016</t>
  </si>
  <si>
    <t>MP104-1173</t>
  </si>
  <si>
    <t>Glenwood</t>
  </si>
  <si>
    <t>Crimson</t>
  </si>
  <si>
    <t>Farwell</t>
  </si>
  <si>
    <t>Swivel Counter Stool</t>
  </si>
  <si>
    <t>2/22/2022</t>
  </si>
  <si>
    <t>CSNSTORES,KOHLDSN,OLLIIX</t>
  </si>
  <si>
    <t>32687505-000-001</t>
  </si>
  <si>
    <t>3/8/2022</t>
  </si>
  <si>
    <t>3/22/2022</t>
  </si>
  <si>
    <t>MP95C-0268</t>
  </si>
  <si>
    <t>Glimmer</t>
  </si>
  <si>
    <t>Heavily Embellished 2-piece Canvas Wall Art Set</t>
  </si>
  <si>
    <t>2-Piece</t>
  </si>
  <si>
    <t>PF005465</t>
  </si>
  <si>
    <t>4/23/2021</t>
  </si>
  <si>
    <t>AMAZON,AMAZONDS,AMERSIGNDS,BLK01,CSNSTORES,JCPENNEY01,KIRKLANDDS,KOHLDSN,MACY02,OLLIIX,ROOMECOM,TGTDVS</t>
  </si>
  <si>
    <t>30876297-000-001</t>
  </si>
  <si>
    <t>4/28/2021</t>
  </si>
  <si>
    <t>MP70-3651</t>
  </si>
  <si>
    <t>Grace</t>
  </si>
  <si>
    <t>Hope</t>
  </si>
  <si>
    <t>Abby</t>
  </si>
  <si>
    <t>Ruffled Shower Curtain</t>
  </si>
  <si>
    <t>6/13/2017</t>
  </si>
  <si>
    <t>AMAZONDS,DESINC,OLLIIX,TGTDVS</t>
  </si>
  <si>
    <t>19615290-000-000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</si>
  <si>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</si>
  <si>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</si>
  <si>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</si>
  <si>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</si>
  <si>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</si>
  <si>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</si>
  <si>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2/4/2021</t>
  </si>
  <si>
    <t>AMERSIGNDS,BLK01,CSNSTORES,HDDS,KIRKLANDDS,LAMPDS,MACY02F,OLLIIX,TGTDVS</t>
  </si>
  <si>
    <t>37346528-000-000</t>
  </si>
  <si>
    <t>2/15/2021</t>
  </si>
  <si>
    <t>ID10-2330</t>
  </si>
  <si>
    <t>Gwen</t>
  </si>
  <si>
    <t>Brynn</t>
  </si>
  <si>
    <t>Mina</t>
  </si>
  <si>
    <t>Mushroom Garden Comforter Set</t>
  </si>
  <si>
    <t>PF006202</t>
  </si>
  <si>
    <t>3/26/2024</t>
  </si>
  <si>
    <t>8/29/2024</t>
  </si>
  <si>
    <t>43791772-000-001</t>
  </si>
  <si>
    <t>4/3/2024</t>
  </si>
  <si>
    <t>4/9/2024</t>
  </si>
  <si>
    <t>ID10-2331</t>
  </si>
  <si>
    <t>43791772-000-000</t>
  </si>
  <si>
    <t>4/11/2024</t>
  </si>
  <si>
    <t>TN50-0482</t>
  </si>
  <si>
    <t>Hadly</t>
  </si>
  <si>
    <t>Wearable Multipurpose Throw</t>
  </si>
  <si>
    <t>62x68"</t>
  </si>
  <si>
    <t>PP001804;PF005795</t>
  </si>
  <si>
    <t>11/15/2022</t>
  </si>
  <si>
    <t>AMAZONDS,MACY02,TGTDVS</t>
  </si>
  <si>
    <t>40804224-000-002</t>
  </si>
  <si>
    <t>11/30/2022</t>
  </si>
  <si>
    <t>12/26/2022</t>
  </si>
  <si>
    <t>TN50-0483</t>
  </si>
  <si>
    <t>PP001804;PF005796</t>
  </si>
  <si>
    <t>AMAZON,AMAZONDS,CSNSTORES,MACY02,OLLIIX,TGTDVS</t>
  </si>
  <si>
    <t>40804224-000-001</t>
  </si>
  <si>
    <t>TN50-0484</t>
  </si>
  <si>
    <t>PP001804;PF005797</t>
  </si>
  <si>
    <t>AMAZONDS,OLLIIX</t>
  </si>
  <si>
    <t>40804224-000-000</t>
  </si>
  <si>
    <t>HH12-1687</t>
  </si>
  <si>
    <t>Hallie</t>
  </si>
  <si>
    <t>5 Piece Cotton Duvet Cover Set</t>
  </si>
  <si>
    <t>PF004246</t>
  </si>
  <si>
    <t>Damask</t>
  </si>
  <si>
    <t>12/14/2017</t>
  </si>
  <si>
    <t>26568013-000-001</t>
  </si>
  <si>
    <t>3/29/2018</t>
  </si>
  <si>
    <t>6/25/2018</t>
  </si>
  <si>
    <t>NS30-3254</t>
  </si>
  <si>
    <t>Hanae</t>
  </si>
  <si>
    <t>Embroidered Cotton Oblong Decorative Pillow</t>
  </si>
  <si>
    <t>PP000991</t>
  </si>
  <si>
    <t>9/30/2018</t>
  </si>
  <si>
    <t>AMAZONDS,BLK01,CSNSTORES,KOHLDSN,MACY02,OLLIIX</t>
  </si>
  <si>
    <t>29058473-000-000</t>
  </si>
  <si>
    <t>5/28/2019</t>
  </si>
  <si>
    <t>MP130-0945</t>
  </si>
  <si>
    <t>Hanley</t>
  </si>
  <si>
    <t>Eddy</t>
  </si>
  <si>
    <t>Folsom</t>
  </si>
  <si>
    <t>2 Doors Accent Cabinet</t>
  </si>
  <si>
    <t>1/31/2020</t>
  </si>
  <si>
    <t>AMERSIGNDS,ASHFURNDS,CASTLEGATE,CSNSTORES,HOUZZ,KIRKLANDDS,OLLIIX</t>
  </si>
  <si>
    <t>35717454-000-000</t>
  </si>
  <si>
    <t>2/21/2020</t>
  </si>
  <si>
    <t>3/6/2020</t>
  </si>
  <si>
    <t>MP40-4526</t>
  </si>
  <si>
    <t>Harper</t>
  </si>
  <si>
    <t>Kaylee</t>
  </si>
  <si>
    <t>Avery</t>
  </si>
  <si>
    <t>Solid Crushed Curtain Panel Pair</t>
  </si>
  <si>
    <t>42x95"</t>
  </si>
  <si>
    <t>PF003909</t>
  </si>
  <si>
    <t>7/14/2017</t>
  </si>
  <si>
    <t>AMAZON,ASHFURNDS,CSNSTORES,DESINC,JCPENNEY01,KOHLDSN,TGTDVS</t>
  </si>
  <si>
    <t>23304113-000-022</t>
  </si>
  <si>
    <t>7/28/2017</t>
  </si>
  <si>
    <t>9/25/2017</t>
  </si>
  <si>
    <t>MP40-4485</t>
  </si>
  <si>
    <t>42x84"</t>
  </si>
  <si>
    <t>PF003910</t>
  </si>
  <si>
    <t>AMAZON,AMAZONDS,BLK01,CSNSTORES,DESINC,FINGERHUTDS,JCPENNEY01,KOHLDSN,NEBFUR01,TGTDVS</t>
  </si>
  <si>
    <t>23304113-000-001</t>
  </si>
  <si>
    <t>11/10/2017</t>
  </si>
  <si>
    <t>MP40-4502</t>
  </si>
  <si>
    <t>PF003912</t>
  </si>
  <si>
    <t>AMAZON,AMAZONDS,ASHFURNDS,CSNSTORES,JCPENNEY01,KOHLDSN,TGTDVS</t>
  </si>
  <si>
    <t>23304113-000-018</t>
  </si>
  <si>
    <t>MP40-4512</t>
  </si>
  <si>
    <t>Window Scarf</t>
  </si>
  <si>
    <t>Solid Crushed Scarf Sheer</t>
  </si>
  <si>
    <t>42x144"</t>
  </si>
  <si>
    <t>23303771-000-008</t>
  </si>
  <si>
    <t>MP40-4498</t>
  </si>
  <si>
    <t>PF003913</t>
  </si>
  <si>
    <t>23304113-000-014</t>
  </si>
  <si>
    <t>BR54-0377</t>
  </si>
  <si>
    <t>Heated Microlight to Berber</t>
  </si>
  <si>
    <t>PF003601</t>
  </si>
  <si>
    <t>8/23/2024</t>
  </si>
  <si>
    <t>AMAZON,AMAZONDS,BLK01,OLLIIX,WALMARTDS</t>
  </si>
  <si>
    <t>16659779-000-000</t>
  </si>
  <si>
    <t>1/4/2015</t>
  </si>
  <si>
    <t>BR54-0380</t>
  </si>
  <si>
    <t>10/11/2017</t>
  </si>
  <si>
    <t>AMAZON,CSNSTORES,HDDS,KOHLDSN,MACY02</t>
  </si>
  <si>
    <t>16659779-000-003</t>
  </si>
  <si>
    <t>BR54-0308</t>
  </si>
  <si>
    <t>PF003569</t>
  </si>
  <si>
    <t>AMAZON,AMAZONDS,ASHFURNDS,CSNSTORES,KOHLDSN,MACY02,OLLIIX,TGTDVS,WALMARTDS</t>
  </si>
  <si>
    <t>15820468-000-000</t>
  </si>
  <si>
    <t>BR54-0310</t>
  </si>
  <si>
    <t>PF003571</t>
  </si>
  <si>
    <t>AMAZON,ASHFURNDS,CSNSTORES,KOHLDSN,OLLIIX,TGTDVS</t>
  </si>
  <si>
    <t>15820468-000-002</t>
  </si>
  <si>
    <t>9/1/2015</t>
  </si>
  <si>
    <t>BR54-0387</t>
  </si>
  <si>
    <t>PF003603</t>
  </si>
  <si>
    <t>KOHLDSN,MACY02,WALMARTDS</t>
  </si>
  <si>
    <t>16659779-000-010</t>
  </si>
  <si>
    <t>BR54-0388</t>
  </si>
  <si>
    <t>AMAZON,HDDS,JCPENNEY01,KOHLDSN,TGTDVS,WALMARTDS</t>
  </si>
  <si>
    <t>16659779-000-011</t>
  </si>
  <si>
    <t>7/20/2015</t>
  </si>
  <si>
    <t>BR54-0416</t>
  </si>
  <si>
    <t>PF003605</t>
  </si>
  <si>
    <t>AMAZON,BLK01,KOHLDSN,OLLIIX,TGTDVS,WALMARTDS</t>
  </si>
  <si>
    <t>16659779-000-016</t>
  </si>
  <si>
    <t>11/4/2015</t>
  </si>
  <si>
    <t>BR54-0646</t>
  </si>
  <si>
    <t>PF003607</t>
  </si>
  <si>
    <t>AMAZON,AMAZONDS,CSNSTORES,FINGERHUTDS,KOHLDSN,TGTDVS</t>
  </si>
  <si>
    <t>16659779-000-020</t>
  </si>
  <si>
    <t>BR54-0648</t>
  </si>
  <si>
    <t>AMAZON,AMAZONDS,ASHFURNDS,HDDS,JCPENNEY01,KOHLDSN,TGTDVS,WALMARTDS</t>
  </si>
  <si>
    <t>16659779-000-022</t>
  </si>
  <si>
    <t>9/1/2016</t>
  </si>
  <si>
    <t>BR54-1942</t>
  </si>
  <si>
    <t>PP001523;PF005169</t>
  </si>
  <si>
    <t>9/14/2020</t>
  </si>
  <si>
    <t>AMAZON,AMAZONDS,JCPENNEY01,KOHLDSN,MACY02,OLLIIX</t>
  </si>
  <si>
    <t>16659779-000-032</t>
  </si>
  <si>
    <t>9/22/2020</t>
  </si>
  <si>
    <t>BR54-1927</t>
  </si>
  <si>
    <t>AMAZON,BLK01,HDDS,KOHLDSN,NORDSTRACKDS</t>
  </si>
  <si>
    <t>15820468-000-008</t>
  </si>
  <si>
    <t>10/5/2020</t>
  </si>
  <si>
    <t>BR54-0390</t>
  </si>
  <si>
    <t>PF003604</t>
  </si>
  <si>
    <t>AMAZON,KOHLDSN,WALMARTDS</t>
  </si>
  <si>
    <t>16659779-000-013</t>
  </si>
  <si>
    <t>8/6/2015</t>
  </si>
  <si>
    <t>BR54-0392</t>
  </si>
  <si>
    <t>4/20/2017</t>
  </si>
  <si>
    <t>AMAZON,BLK01,CSNSTORES,JCPENNEY01,KOHLDSN,NORDSTRACKDS,WALMARTDS</t>
  </si>
  <si>
    <t>16659779-000-015</t>
  </si>
  <si>
    <t>BR54-0383</t>
  </si>
  <si>
    <t>PF003602</t>
  </si>
  <si>
    <t>16659779-000-006</t>
  </si>
  <si>
    <t>7/7/2015</t>
  </si>
  <si>
    <t>BR54-1926</t>
  </si>
  <si>
    <t>PP001523;PF005168</t>
  </si>
  <si>
    <t>BLK01,FINGERHUTDS,KOHLDSN,MACY02,NORDSTRACKDS</t>
  </si>
  <si>
    <t>15820468-000-007</t>
  </si>
  <si>
    <t>BR54-0539</t>
  </si>
  <si>
    <t>Heated Ogee</t>
  </si>
  <si>
    <t>PF003426</t>
  </si>
  <si>
    <t>AMAZON,CSNSTORES,KOHLDSN,MACY02,TGTDVS,WALMARTDS</t>
  </si>
  <si>
    <t>17651648-000-001</t>
  </si>
  <si>
    <t>9/24/2015</t>
  </si>
  <si>
    <t>BR54-0541</t>
  </si>
  <si>
    <t>PF003428</t>
  </si>
  <si>
    <t>4/21/2017</t>
  </si>
  <si>
    <t>AMAZON,AMAZONDS,CSNSTORES,JCPENNEY01,KOHLDSN,MACY02,NORDSTRACKDS,TGTDVS,WALMARTDS</t>
  </si>
  <si>
    <t>17651648-000-003</t>
  </si>
  <si>
    <t>10/27/2015</t>
  </si>
  <si>
    <t>BR54-0907</t>
  </si>
  <si>
    <t>Heated Plush</t>
  </si>
  <si>
    <t>PF004402</t>
  </si>
  <si>
    <t>11/6/2018</t>
  </si>
  <si>
    <t>AMAZON,BLK01,CSNSTORES,KOHLDSN</t>
  </si>
  <si>
    <t>17632904-000-027</t>
  </si>
  <si>
    <t>11/20/2018</t>
  </si>
  <si>
    <t>2/12/2019</t>
  </si>
  <si>
    <t>BR54-0654</t>
  </si>
  <si>
    <t>PF003421</t>
  </si>
  <si>
    <t>AMAZON,BLK01,CSNSTORES,JCPENNEY01,KOHLDSN,MACY02,TGTDVS,WALMARTDS</t>
  </si>
  <si>
    <t>17632904-000-016</t>
  </si>
  <si>
    <t>8/29/2016</t>
  </si>
  <si>
    <t>BR54-0525</t>
  </si>
  <si>
    <t>PF003420</t>
  </si>
  <si>
    <t>AMAZON,BLOOM02,CSNSTORES,KOHLDSN,WALMARTDS</t>
  </si>
  <si>
    <t>17632904-000-012</t>
  </si>
  <si>
    <t>10/19/2015</t>
  </si>
  <si>
    <t>BR54-0526</t>
  </si>
  <si>
    <t>AMAZON,BLK01,FINGERHUTDS,JCPENNEY01,KOHLDSN,TGTDVS,WALMARTDS</t>
  </si>
  <si>
    <t>17632904-000-013</t>
  </si>
  <si>
    <t>10/5/2015</t>
  </si>
  <si>
    <t>BR54-0527</t>
  </si>
  <si>
    <t>AMAZON,AMAZONDS,BLK01,FINGERHUTDS,KOHLDSN,MACY02,WALMARTDS</t>
  </si>
  <si>
    <t>17632904-000-014</t>
  </si>
  <si>
    <t>BR54-0659</t>
  </si>
  <si>
    <t>Sapphire Blue</t>
  </si>
  <si>
    <t>PF003422</t>
  </si>
  <si>
    <t>AAFESDS,AMAZON,BLK01,CSNSTORES,JCPENNEY01,KOHLDSN,TGTDVS</t>
  </si>
  <si>
    <t>17632904-000-021</t>
  </si>
  <si>
    <t>WR54-1758</t>
  </si>
  <si>
    <t>Heated Plush to Berber</t>
  </si>
  <si>
    <t>Garnet</t>
  </si>
  <si>
    <t>PF003612</t>
  </si>
  <si>
    <t>ASHFURNDS,BLK01,KOHLDSN</t>
  </si>
  <si>
    <t>19299771-000-019</t>
  </si>
  <si>
    <t>12/16/2016</t>
  </si>
  <si>
    <t>WR54-1767</t>
  </si>
  <si>
    <t>PF003581</t>
  </si>
  <si>
    <t>19267553-000-000</t>
  </si>
  <si>
    <t>WR54-1748</t>
  </si>
  <si>
    <t>PF003610</t>
  </si>
  <si>
    <t>HDDS,WALMARTDS</t>
  </si>
  <si>
    <t>19299771-000-009</t>
  </si>
  <si>
    <t>WR54-1749</t>
  </si>
  <si>
    <t>AMAZON,AMAZONDS,KOHLDSN,WALMARTDS</t>
  </si>
  <si>
    <t>19299771-000-010</t>
  </si>
  <si>
    <t>TN10-0539</t>
  </si>
  <si>
    <t>Down Comforter Filler</t>
  </si>
  <si>
    <t>Heavy Warmth</t>
  </si>
  <si>
    <t>Goose Feather and Down Oversize Comforter</t>
  </si>
  <si>
    <t>PP001803;PF006107</t>
  </si>
  <si>
    <t>CSNSTORES,KOHLDSN,MACY02,TGTDVS</t>
  </si>
  <si>
    <t>40804196-000-004</t>
  </si>
  <si>
    <t>12/4/2023</t>
  </si>
  <si>
    <t>TN10-0540</t>
  </si>
  <si>
    <t>40804196-000-008</t>
  </si>
  <si>
    <t>TN10-0541</t>
  </si>
  <si>
    <t>BLK01,KOHLDSN,MACY02,OLLIIX</t>
  </si>
  <si>
    <t>40804196-000-007</t>
  </si>
  <si>
    <t>12/12/2023</t>
  </si>
  <si>
    <t>TN10-0537</t>
  </si>
  <si>
    <t>PP001803;PF006106</t>
  </si>
  <si>
    <t>BLK01,CSNSTORES,KOHLDSN,MACY02</t>
  </si>
  <si>
    <t>40804196-000-006</t>
  </si>
  <si>
    <t>12/3/2023</t>
  </si>
  <si>
    <t>TN10-0538</t>
  </si>
  <si>
    <t>40804196-000-003</t>
  </si>
  <si>
    <t>TN10-0489</t>
  </si>
  <si>
    <t>PP001803;PF005794</t>
  </si>
  <si>
    <t>AMAZONDS,CSNSTORES,JCPENNEY01,KOHLDSN,MACY02,OLLIIX,TGTDVS</t>
  </si>
  <si>
    <t>40804196-000-002</t>
  </si>
  <si>
    <t>12/20/2022</t>
  </si>
  <si>
    <t>MP104-1208</t>
  </si>
  <si>
    <t>Hermosa</t>
  </si>
  <si>
    <t>Carmel</t>
  </si>
  <si>
    <t>Rosita</t>
  </si>
  <si>
    <t>Woven Counter Stool 25"</t>
  </si>
  <si>
    <t>38796271-000-001</t>
  </si>
  <si>
    <t>12/14/2022</t>
  </si>
  <si>
    <t>4/17/2023</t>
  </si>
  <si>
    <t>MP100-0617</t>
  </si>
  <si>
    <t>Heston</t>
  </si>
  <si>
    <t>Lea</t>
  </si>
  <si>
    <t>Kileen</t>
  </si>
  <si>
    <t>1/17/2018</t>
  </si>
  <si>
    <t>ASHFURNDS,CSNSTORES,OLLIIX</t>
  </si>
  <si>
    <t>26113868-000-000</t>
  </si>
  <si>
    <t>2/16/2018</t>
  </si>
  <si>
    <t>6/22/2018</t>
  </si>
  <si>
    <t>FPF18-0167</t>
  </si>
  <si>
    <t>Hilton</t>
  </si>
  <si>
    <t>Sheldon</t>
  </si>
  <si>
    <t>Bally</t>
  </si>
  <si>
    <t>Armless Accent Chair</t>
  </si>
  <si>
    <t>PF000626;PP000176</t>
  </si>
  <si>
    <t>ASHFURNDS,CASTLEGATE,CSNSTORES,MACY02F</t>
  </si>
  <si>
    <t>17880164-000-000</t>
  </si>
  <si>
    <t>FPF18-0053</t>
  </si>
  <si>
    <t>PF000592;PP000176</t>
  </si>
  <si>
    <t>ASHFURNDS,CASTLEGATE,CSNSTORES,MACY02F,OLLIIX</t>
  </si>
  <si>
    <t>17879871-000-000</t>
  </si>
  <si>
    <t>12/2/2015</t>
  </si>
  <si>
    <t>MP103-0247</t>
  </si>
  <si>
    <t>Hoffman</t>
  </si>
  <si>
    <t>Lerna</t>
  </si>
  <si>
    <t>Thayer</t>
  </si>
  <si>
    <t>Beige Multi</t>
  </si>
  <si>
    <t>PF001107</t>
  </si>
  <si>
    <t>6/10/2017</t>
  </si>
  <si>
    <t>AMERSIGNDS,ASHFURNDS,CASTLEGATE,CSNSTORES,HDDS,KIRKLANDDS,KOHLDSN,MACY02F,OLLIIX,ROOMECOM</t>
  </si>
  <si>
    <t>22930392-000-000</t>
  </si>
  <si>
    <t>6/26/2017</t>
  </si>
  <si>
    <t>MP10-8264</t>
  </si>
  <si>
    <t>Hollis</t>
  </si>
  <si>
    <t>Asher</t>
  </si>
  <si>
    <t>Sherpa Comforter Set</t>
  </si>
  <si>
    <t>Green/Ivory</t>
  </si>
  <si>
    <t>PP001895;PF006045</t>
  </si>
  <si>
    <t>7/19/2023</t>
  </si>
  <si>
    <t>JCPENNEY01,MACY02,NRTPORT</t>
  </si>
  <si>
    <t>42124120-000-002</t>
  </si>
  <si>
    <t>MP10-4168</t>
  </si>
  <si>
    <t>Holly</t>
  </si>
  <si>
    <t>Sakura</t>
  </si>
  <si>
    <t>8 Piece Cotton Comforter Set</t>
  </si>
  <si>
    <t>Purple/Taupe</t>
  </si>
  <si>
    <t>PF002647;PP001841</t>
  </si>
  <si>
    <t>Modern/Contemporary|Casual</t>
  </si>
  <si>
    <t>AMAZON,CSNSTORES,KOHLDSN,MACY02</t>
  </si>
  <si>
    <t>20984864-000-002</t>
  </si>
  <si>
    <t>3/29/2017</t>
  </si>
  <si>
    <t>II120-0553</t>
  </si>
  <si>
    <t>OCCASIONL TABLE</t>
  </si>
  <si>
    <t>Coffee Table</t>
  </si>
  <si>
    <t>Honey</t>
  </si>
  <si>
    <t>Fluted Hexagon Coffee Table</t>
  </si>
  <si>
    <t>10/10/2023</t>
  </si>
  <si>
    <t>KIRKLANDDS,OLLIIX,ZOLA</t>
  </si>
  <si>
    <t>42846069-000-000</t>
  </si>
  <si>
    <t>12/11/2023</t>
  </si>
  <si>
    <t>MP10-8278</t>
  </si>
  <si>
    <t>Honeycomb Textured</t>
  </si>
  <si>
    <t>PP001896;PF006053</t>
  </si>
  <si>
    <t>BLK01,JCPENNEY01,KOHLDSN,MACY02,OLLIIX,TGTDVS</t>
  </si>
  <si>
    <t>42617993-000-001</t>
  </si>
  <si>
    <t>9/12/2023</t>
  </si>
  <si>
    <t>MP10-8279</t>
  </si>
  <si>
    <t>9/8/2023</t>
  </si>
  <si>
    <t>42617993-000-002</t>
  </si>
  <si>
    <t>10/17/2023</t>
  </si>
  <si>
    <t>LAF04-0018</t>
  </si>
  <si>
    <t>APL</t>
  </si>
  <si>
    <t>ROBE</t>
  </si>
  <si>
    <t>Robe</t>
  </si>
  <si>
    <t>II000133</t>
  </si>
  <si>
    <t>Cotton Solid Terry Robe</t>
  </si>
  <si>
    <t>L/XL</t>
  </si>
  <si>
    <t>AMAZONDS,CSNSTORES,JCPENNEY01,MACY02</t>
  </si>
  <si>
    <t>37254726-000-000</t>
  </si>
  <si>
    <t>12/16/2020</t>
  </si>
  <si>
    <t>II04-3015</t>
  </si>
  <si>
    <t>Cotton Terry Solid Robe</t>
  </si>
  <si>
    <t>S/M</t>
  </si>
  <si>
    <t>Mint</t>
  </si>
  <si>
    <t>43658574-000-000</t>
  </si>
  <si>
    <t>II04-3016</t>
  </si>
  <si>
    <t>43658574-000-001</t>
  </si>
  <si>
    <t>LAF04-0019</t>
  </si>
  <si>
    <t>AMAZONDS,JCPENNEY01,MACY02</t>
  </si>
  <si>
    <t>37254725-000-001</t>
  </si>
  <si>
    <t>3/5/2021</t>
  </si>
  <si>
    <t>LAF04-0020</t>
  </si>
  <si>
    <t>37254725-000-000</t>
  </si>
  <si>
    <t>II04-1585</t>
  </si>
  <si>
    <t>II317125</t>
  </si>
  <si>
    <t>L/S Paisley Print Lite Micro 42" Robe</t>
  </si>
  <si>
    <t>Bedouin blue 447</t>
  </si>
  <si>
    <t>43663099-000-003</t>
  </si>
  <si>
    <t>6/17/2024</t>
  </si>
  <si>
    <t>II04-1586</t>
  </si>
  <si>
    <t>AMAZONDS,MACY02</t>
  </si>
  <si>
    <t>43663099-000-002</t>
  </si>
  <si>
    <t>II04-1588</t>
  </si>
  <si>
    <t>Bedouin gray 057</t>
  </si>
  <si>
    <t>43663099-000-001</t>
  </si>
  <si>
    <t>3/7/2024</t>
  </si>
  <si>
    <t>3/13/2024</t>
  </si>
  <si>
    <t>II04-8101</t>
  </si>
  <si>
    <t>II422156</t>
  </si>
  <si>
    <t>Women's Zip front plush robe</t>
  </si>
  <si>
    <t>Chalky Rose</t>
  </si>
  <si>
    <t>5/2/2022</t>
  </si>
  <si>
    <t>43639017-000-004</t>
  </si>
  <si>
    <t>II04-8102</t>
  </si>
  <si>
    <t>43639017-000-005</t>
  </si>
  <si>
    <t>II04-8103</t>
  </si>
  <si>
    <t>43639017-000-017</t>
  </si>
  <si>
    <t>II04-8104</t>
  </si>
  <si>
    <t>XXL</t>
  </si>
  <si>
    <t>43639017-000-013</t>
  </si>
  <si>
    <t>3/1/2024</t>
  </si>
  <si>
    <t>II04-8093</t>
  </si>
  <si>
    <t>XS</t>
  </si>
  <si>
    <t>Quiet Gray</t>
  </si>
  <si>
    <t>43639017-000-000</t>
  </si>
  <si>
    <t>II04-8094</t>
  </si>
  <si>
    <t>S</t>
  </si>
  <si>
    <t>43639017-000-009</t>
  </si>
  <si>
    <t>II04-8096</t>
  </si>
  <si>
    <t>43639017-000-014</t>
  </si>
  <si>
    <t>II04-8098</t>
  </si>
  <si>
    <t>43639017-000-011</t>
  </si>
  <si>
    <t>II04-8105</t>
  </si>
  <si>
    <t>Rich Concord</t>
  </si>
  <si>
    <t>43639017-000-008</t>
  </si>
  <si>
    <t>II04-8106</t>
  </si>
  <si>
    <t>43639017-000-012</t>
  </si>
  <si>
    <t>4/8/2024</t>
  </si>
  <si>
    <t>II04-8108</t>
  </si>
  <si>
    <t>43639017-000-001</t>
  </si>
  <si>
    <t>II04-8109</t>
  </si>
  <si>
    <t>43639017-000-003</t>
  </si>
  <si>
    <t>II04-8110</t>
  </si>
  <si>
    <t>AMAZONDS,CSNSTORES,MACY02</t>
  </si>
  <si>
    <t>43639017-000-007</t>
  </si>
  <si>
    <t>II04-9609</t>
  </si>
  <si>
    <t>IM222101</t>
  </si>
  <si>
    <t>XS/S IM222101 Robe</t>
  </si>
  <si>
    <t>XS/S</t>
  </si>
  <si>
    <t>Black 001</t>
  </si>
  <si>
    <t>43663098-000-013</t>
  </si>
  <si>
    <t>II04-9610</t>
  </si>
  <si>
    <t>M/L IM222101 Robe</t>
  </si>
  <si>
    <t>M/L</t>
  </si>
  <si>
    <t>43663098-000-006</t>
  </si>
  <si>
    <t>4/5/2024</t>
  </si>
  <si>
    <t>II04-9611</t>
  </si>
  <si>
    <t>XL/XXL IM222101 Robe</t>
  </si>
  <si>
    <t>XL/XXL</t>
  </si>
  <si>
    <t>43663098-000-002</t>
  </si>
  <si>
    <t>4/15/2024</t>
  </si>
  <si>
    <t>II04-8419</t>
  </si>
  <si>
    <t>Men cotton robe</t>
  </si>
  <si>
    <t>Claret 657</t>
  </si>
  <si>
    <t>11/4/2022</t>
  </si>
  <si>
    <t>43663098-000-001</t>
  </si>
  <si>
    <t>II04-8420</t>
  </si>
  <si>
    <t>43663098-000-011</t>
  </si>
  <si>
    <t>4/1/2024</t>
  </si>
  <si>
    <t>II04-8421</t>
  </si>
  <si>
    <t>43663098-000-014</t>
  </si>
  <si>
    <t>3/11/2024</t>
  </si>
  <si>
    <t>II04-8416</t>
  </si>
  <si>
    <t>Denim 459</t>
  </si>
  <si>
    <t>43663098-000-010</t>
  </si>
  <si>
    <t>II04-8417</t>
  </si>
  <si>
    <t>43663098-000-003</t>
  </si>
  <si>
    <t>II04-8410</t>
  </si>
  <si>
    <t>Med Navy 411</t>
  </si>
  <si>
    <t>43663098-000-004</t>
  </si>
  <si>
    <t>II04-8411</t>
  </si>
  <si>
    <t>43663098-000-007</t>
  </si>
  <si>
    <t>II04-8412</t>
  </si>
  <si>
    <t>43663098-000-009</t>
  </si>
  <si>
    <t>II04-8413</t>
  </si>
  <si>
    <t>Steel 030</t>
  </si>
  <si>
    <t>43663098-000-016</t>
  </si>
  <si>
    <t>II04-8414</t>
  </si>
  <si>
    <t>43663098-000-008</t>
  </si>
  <si>
    <t>3/19/2024</t>
  </si>
  <si>
    <t>II04-8415</t>
  </si>
  <si>
    <t>43663098-000-000</t>
  </si>
  <si>
    <t>4/4/2024</t>
  </si>
  <si>
    <t>II04-8407</t>
  </si>
  <si>
    <t>White 100</t>
  </si>
  <si>
    <t>43663098-000-012</t>
  </si>
  <si>
    <t>5/29/2024</t>
  </si>
  <si>
    <t>II12-1091</t>
  </si>
  <si>
    <t>Imani</t>
  </si>
  <si>
    <t>Cotton Printed Duvet Cover Set with Chenille</t>
  </si>
  <si>
    <t>PF005067</t>
  </si>
  <si>
    <t>Casual|Farm House</t>
  </si>
  <si>
    <t>4/23/2020</t>
  </si>
  <si>
    <t>AMAZON,AMAZONDS,ASHFURNDS,CASTLEGATE,CSNSTORES,KOHLDSN,MACY02,ROOMECOM,TGTDVS</t>
  </si>
  <si>
    <t>26488689-000-005</t>
  </si>
  <si>
    <t>4/26/2020</t>
  </si>
  <si>
    <t>II12-1092</t>
  </si>
  <si>
    <t>3/30/2020</t>
  </si>
  <si>
    <t>AMAZON,CASTLEGATE,CSNSTORES,HOUZZ,JCPENNEY01,KOHLDSN,MACY02,OLLIIX</t>
  </si>
  <si>
    <t>26488689-000-004</t>
  </si>
  <si>
    <t>4/5/2020</t>
  </si>
  <si>
    <t>MT95B-0065</t>
  </si>
  <si>
    <t>Indigo Shells</t>
  </si>
  <si>
    <t>Framed Sea Urchin Shadow Box Wall Decor</t>
  </si>
  <si>
    <t>PP001690</t>
  </si>
  <si>
    <t>AMAZON,AMAZONDS,CSNSTORES,JCPENNEY01,KIRKLANDDS,OLLIIX,TGTDVS</t>
  </si>
  <si>
    <t>39266115-000-000</t>
  </si>
  <si>
    <t>MP40-1066</t>
  </si>
  <si>
    <t>Irina</t>
  </si>
  <si>
    <t>Iris</t>
  </si>
  <si>
    <t>Clarissa</t>
  </si>
  <si>
    <t>Diamond Sheer Window Curtain Panel</t>
  </si>
  <si>
    <t>PF004007</t>
  </si>
  <si>
    <t>AMAZON,HDDS,KOHLDSN,OLLIIX,TGTDVS</t>
  </si>
  <si>
    <t>16620318-000-002</t>
  </si>
  <si>
    <t>MP40-2333</t>
  </si>
  <si>
    <t>PF004006</t>
  </si>
  <si>
    <t>AMAZON,JCPENNEY01,KOHLDSN</t>
  </si>
  <si>
    <t>16620318-000-004</t>
  </si>
  <si>
    <t>2/26/2017</t>
  </si>
  <si>
    <t>MP41-4937</t>
  </si>
  <si>
    <t>Diamond Sheer Embroidered Waterfall Valance</t>
  </si>
  <si>
    <t>8/22/2017</t>
  </si>
  <si>
    <t>23864062-000-001</t>
  </si>
  <si>
    <t>MP40-4939</t>
  </si>
  <si>
    <t>Diamond Sheer Embroidered Window Scarf</t>
  </si>
  <si>
    <t>50x216"</t>
  </si>
  <si>
    <t>AMAZON,AMAZONDS,CSNSTORES,JCPENNEY01,KOHLDSN,OLLIIX</t>
  </si>
  <si>
    <t>23864061-000-003</t>
  </si>
  <si>
    <t>MP40-2332</t>
  </si>
  <si>
    <t>PF004005</t>
  </si>
  <si>
    <t>ASHFURNDS,BLK01,CSNSTORES,HDDS,JCPENNEY01,KOHLDSN,TGTDVS</t>
  </si>
  <si>
    <t>16620318-000-003</t>
  </si>
  <si>
    <t>7/11/2016</t>
  </si>
  <si>
    <t>MP41-4933</t>
  </si>
  <si>
    <t>23864062-000-000</t>
  </si>
  <si>
    <t>II115-0555</t>
  </si>
  <si>
    <t>Jameson</t>
  </si>
  <si>
    <t>Woven Faux Leather Bed Queen</t>
  </si>
  <si>
    <t>12/21/2023</t>
  </si>
  <si>
    <t>43333363-000-000</t>
  </si>
  <si>
    <t>MT100-0177</t>
  </si>
  <si>
    <t>Jayco</t>
  </si>
  <si>
    <t>10/3/2023</t>
  </si>
  <si>
    <t>37399235-000-001</t>
  </si>
  <si>
    <t>II153-0106</t>
  </si>
  <si>
    <t>Jayda</t>
  </si>
  <si>
    <t>Geometric Ceramic Table Lamp</t>
  </si>
  <si>
    <t>AMERSIGNDS,CSNSTORES,JCPENNEY01,KOHLDSN,OLLIIX,ROOMECOM,TGTDVS</t>
  </si>
  <si>
    <t>39471169-000-000</t>
  </si>
  <si>
    <t>1/7/2022</t>
  </si>
  <si>
    <t>1/31/2022</t>
  </si>
  <si>
    <t>II136-0308</t>
  </si>
  <si>
    <t>NIGHTSTAND</t>
  </si>
  <si>
    <t>Nightstand</t>
  </si>
  <si>
    <t>Jeremy</t>
  </si>
  <si>
    <t>Storage Nightstand</t>
  </si>
  <si>
    <t>Off-White/Navy</t>
  </si>
  <si>
    <t>2/8/2018</t>
  </si>
  <si>
    <t>CSNSTORES,HOUZZ,OLLIIX,ROOMECOM,TGTDVS</t>
  </si>
  <si>
    <t>27161553-000-000</t>
  </si>
  <si>
    <t>5/10/2018</t>
  </si>
  <si>
    <t>MP104-1074</t>
  </si>
  <si>
    <t>Jillian</t>
  </si>
  <si>
    <t>Marshall</t>
  </si>
  <si>
    <t>Ellery</t>
  </si>
  <si>
    <t>Counter Stool with Swivel Seat</t>
  </si>
  <si>
    <t>12/15/2020</t>
  </si>
  <si>
    <t>AMAZONDS,CSNSTORES,HOUZZ,KIRKLANDDS,KOHLDSN,LAMPDS,MACY02F,OLLIIX</t>
  </si>
  <si>
    <t>26360419-000-001</t>
  </si>
  <si>
    <t>SS40-0023</t>
  </si>
  <si>
    <t>Julie</t>
  </si>
  <si>
    <t>Lila</t>
  </si>
  <si>
    <t>Printed Botanical Blackout Curtain Panel</t>
  </si>
  <si>
    <t>PF003953</t>
  </si>
  <si>
    <t>9/19/2017</t>
  </si>
  <si>
    <t>ASHFURNDS,CSNSTORES,DESINC,JCPENNEY01,OLLIIX,TGTDVS</t>
  </si>
  <si>
    <t>23998106-000-001</t>
  </si>
  <si>
    <t>9/17/2017</t>
  </si>
  <si>
    <t>CCL10-0003</t>
  </si>
  <si>
    <t>Julius</t>
  </si>
  <si>
    <t>4 Piece Comforter Set</t>
  </si>
  <si>
    <t>10/21/2022</t>
  </si>
  <si>
    <t>AMAZON,CSNSTORES,DLCROSCILL,JCPENNEY01,MACY02</t>
  </si>
  <si>
    <t>42282354-000-005</t>
  </si>
  <si>
    <t>6/24/2024</t>
  </si>
  <si>
    <t>7/31/2024</t>
  </si>
  <si>
    <t>MP103-1215</t>
  </si>
  <si>
    <t>Kaley</t>
  </si>
  <si>
    <t>Paloma</t>
  </si>
  <si>
    <t>Adobe</t>
  </si>
  <si>
    <t>1/9/2023</t>
  </si>
  <si>
    <t>40968752-000-000</t>
  </si>
  <si>
    <t>5/23/2023</t>
  </si>
  <si>
    <t>II10-1271</t>
  </si>
  <si>
    <t>Kara</t>
  </si>
  <si>
    <t>3 Piece Cotton Jacquard Comforter Set</t>
  </si>
  <si>
    <t>PP001486;PF005762</t>
  </si>
  <si>
    <t>Farmhouse</t>
  </si>
  <si>
    <t>8/23/2022</t>
  </si>
  <si>
    <t>AMAZONDS,AMERSIGNDS,CSNSTORES,HOUZZ,JCPENNEY01,KOHLDSN,MACY02,OLLIIX,TGTDVS,ZOLA,Zulily</t>
  </si>
  <si>
    <t>36016832-000-007</t>
  </si>
  <si>
    <t>8/29/2022</t>
  </si>
  <si>
    <t>9/27/2022</t>
  </si>
  <si>
    <t>II154-0117</t>
  </si>
  <si>
    <t>LGT-FLOOR LAMPS</t>
  </si>
  <si>
    <t>Floor Lamps</t>
  </si>
  <si>
    <t>Keller</t>
  </si>
  <si>
    <t>Adjustable Arched Floor Lamp with Drum Shade</t>
  </si>
  <si>
    <t>Oil Rubbed Bronze/Cream</t>
  </si>
  <si>
    <t>CSNSTORES,HDDS,JCPENNEY01,KIRKLANDDS,NEBFUR01,OLLIIX,ZOLA</t>
  </si>
  <si>
    <t>39936233-000-000</t>
  </si>
  <si>
    <t>5/9/2022</t>
  </si>
  <si>
    <t>9/20/2022</t>
  </si>
  <si>
    <t>MT120-1192</t>
  </si>
  <si>
    <t>Occasional Table</t>
  </si>
  <si>
    <t>Kenna</t>
  </si>
  <si>
    <t>Fluted 2-drawer Coffee Table</t>
  </si>
  <si>
    <t>10/28/2023</t>
  </si>
  <si>
    <t>CSNSTORES,TGTDVS</t>
  </si>
  <si>
    <t>42846070-000-000</t>
  </si>
  <si>
    <t>HH10-1850</t>
  </si>
  <si>
    <t>Kiawah Island</t>
  </si>
  <si>
    <t>6 Piece Oversized Cotton Comforter Set with Throw Pillow</t>
  </si>
  <si>
    <t>PP001898;PF006055</t>
  </si>
  <si>
    <t>42762440-000-001</t>
  </si>
  <si>
    <t>HH12-1854</t>
  </si>
  <si>
    <t>5 Piece Cotton Duvet Cover Set with Throw Pillow</t>
  </si>
  <si>
    <t>PP001898;PF006056</t>
  </si>
  <si>
    <t>AMAZON,CSNSTORES,KOHLDSN,MACY02,OLLIIX</t>
  </si>
  <si>
    <t>42762565-000-001</t>
  </si>
  <si>
    <t>10/30/2023</t>
  </si>
  <si>
    <t>HH10-1852</t>
  </si>
  <si>
    <t>42762440-000-002</t>
  </si>
  <si>
    <t>HH12-1855</t>
  </si>
  <si>
    <t>CSNSTORES,JCPENNEY01,MACY02,OLLIIX</t>
  </si>
  <si>
    <t>42762565-000-000</t>
  </si>
  <si>
    <t>HH10-1853</t>
  </si>
  <si>
    <t>42762440-000-000</t>
  </si>
  <si>
    <t>FPF18-0226</t>
  </si>
  <si>
    <t>Korey</t>
  </si>
  <si>
    <t>Channel Back Slipper Chair</t>
  </si>
  <si>
    <t>PF000658;PP000189</t>
  </si>
  <si>
    <t>AMAZONDS,ASHFURNDS,CSNSTORES,HDDS,MACY02F,OLLIIX,ROOMECOM,TGTDVS</t>
  </si>
  <si>
    <t>16977712-000-000</t>
  </si>
  <si>
    <t>9/27/2017</t>
  </si>
  <si>
    <t>MP40-7985</t>
  </si>
  <si>
    <t>Kyler</t>
  </si>
  <si>
    <t>Suvi</t>
  </si>
  <si>
    <t>Juno</t>
  </si>
  <si>
    <t>Linen Blend Light Filtering Curtain Panel Pair</t>
  </si>
  <si>
    <t>2-PK 52x84"</t>
  </si>
  <si>
    <t>PP001787;PF005750</t>
  </si>
  <si>
    <t>8/12/2022</t>
  </si>
  <si>
    <t>CSNSTORES,JCPENNEY01,KIRKLANDDS,KOHLDSN,NRTPORT</t>
  </si>
  <si>
    <t>40279134-000-002</t>
  </si>
  <si>
    <t>8/18/2022</t>
  </si>
  <si>
    <t>11/2/2022</t>
  </si>
  <si>
    <t>MP40-7979</t>
  </si>
  <si>
    <t>Linen Blend Light Filtering Cordless Roman Shade</t>
  </si>
  <si>
    <t>8/30/2022</t>
  </si>
  <si>
    <t>40368620-000-001</t>
  </si>
  <si>
    <t>9/6/2022</t>
  </si>
  <si>
    <t>9/22/2022</t>
  </si>
  <si>
    <t>MP40-7982</t>
  </si>
  <si>
    <t>AMAZON,CSNSTORES,JCPENNEY01,KOHLDSN</t>
  </si>
  <si>
    <t>40368620-000-006</t>
  </si>
  <si>
    <t>10/25/2022</t>
  </si>
  <si>
    <t>MP40-7983</t>
  </si>
  <si>
    <t>PP001787;PF005748</t>
  </si>
  <si>
    <t>AMAZON,KOHLDSN,NRTPORT</t>
  </si>
  <si>
    <t>40279134-000-001</t>
  </si>
  <si>
    <t>MP13-5880</t>
  </si>
  <si>
    <t>Coverlet Mini Set</t>
  </si>
  <si>
    <t>Laetitia</t>
  </si>
  <si>
    <t>Virginia</t>
  </si>
  <si>
    <t>Cecily</t>
  </si>
  <si>
    <t>Tufted Cotton Chenille Medallion Fringe Coverlet Mini Set</t>
  </si>
  <si>
    <t>PF004301;PP000898</t>
  </si>
  <si>
    <t>Casual|BOHO</t>
  </si>
  <si>
    <t>5/29/2018</t>
  </si>
  <si>
    <t>AMAZON,BLK01,CSNSTORES,JCPENNEY01,KOHLDSN,MACY02,NRTPORT,OLLIIX,TGTDVS</t>
  </si>
  <si>
    <t>27457631-000-009</t>
  </si>
  <si>
    <t>6/29/2018</t>
  </si>
  <si>
    <t>MP72-5826</t>
  </si>
  <si>
    <t>Lasso</t>
  </si>
  <si>
    <t>Copula</t>
  </si>
  <si>
    <t>Braide</t>
  </si>
  <si>
    <t>100% Cotton Chenille Chain Stitch Rug</t>
  </si>
  <si>
    <t>17x24"</t>
  </si>
  <si>
    <t>PP000880;PF004256</t>
  </si>
  <si>
    <t>5/15/2018</t>
  </si>
  <si>
    <t>27404669-000-001</t>
  </si>
  <si>
    <t>5/24/2018</t>
  </si>
  <si>
    <t>3/4/2019</t>
  </si>
  <si>
    <t>MP72-5827</t>
  </si>
  <si>
    <t>AMAZON,AMAZONDS,CSNSTORES,KOHLDSN,MACY02,OLLIIX,TGTDVS,Zulily</t>
  </si>
  <si>
    <t>27404669-000-003</t>
  </si>
  <si>
    <t>1/17/2019</t>
  </si>
  <si>
    <t>MP72-5828</t>
  </si>
  <si>
    <t>24x40"</t>
  </si>
  <si>
    <t>AMAZONDS,CSNSTORES,MACY02,OLLIIX</t>
  </si>
  <si>
    <t>27404669-000-011</t>
  </si>
  <si>
    <t>5/25/2018</t>
  </si>
  <si>
    <t>4/23/2019</t>
  </si>
  <si>
    <t>MP10-5116</t>
  </si>
  <si>
    <t>Laurel</t>
  </si>
  <si>
    <t>Vivian</t>
  </si>
  <si>
    <t>Piedmont</t>
  </si>
  <si>
    <t>7 Piece Tufted Comforter Set</t>
  </si>
  <si>
    <t>PF002423;PP000440</t>
  </si>
  <si>
    <t>AMAZON,AMAZONDS,BLK01,CSNSTORES,JCPENNEY01,KOHLDSN,NEBFUR01,TGTDVS,WALMARTDS</t>
  </si>
  <si>
    <t>39620303-000-022</t>
  </si>
  <si>
    <t>9/4/2017</t>
  </si>
  <si>
    <t>10/5/2017</t>
  </si>
  <si>
    <t>MP10-659</t>
  </si>
  <si>
    <t>Plum</t>
  </si>
  <si>
    <t>PF002424;PP000440</t>
  </si>
  <si>
    <t>8/12/2024</t>
  </si>
  <si>
    <t>AMAZON,ASHFURNDS,CSNSTORES,JCPENNEY01,KOHLDSN,MACY02,OLLIIX,TGTDVS,WALMARTDS</t>
  </si>
  <si>
    <t>39620303-000-007</t>
  </si>
  <si>
    <t>MP10-641</t>
  </si>
  <si>
    <t>PF002425;PP000440</t>
  </si>
  <si>
    <t>39620303-000-024</t>
  </si>
  <si>
    <t>MPS135-0049</t>
  </si>
  <si>
    <t>BAR CART</t>
  </si>
  <si>
    <t>Bar Cart</t>
  </si>
  <si>
    <t>Lauren</t>
  </si>
  <si>
    <t>Antique Gold</t>
  </si>
  <si>
    <t>PF000513;PP000303</t>
  </si>
  <si>
    <t>5/26/2017</t>
  </si>
  <si>
    <t>BLK01,CSNSTORES,MACY02F,OLLIIX,ZOLA</t>
  </si>
  <si>
    <t>20610684-000-000</t>
  </si>
  <si>
    <t>1/6/2017</t>
  </si>
  <si>
    <t>MP10-1667</t>
  </si>
  <si>
    <t>Lavine</t>
  </si>
  <si>
    <t>Anouk</t>
  </si>
  <si>
    <t>Octavia</t>
  </si>
  <si>
    <t>PF002739;PP000441</t>
  </si>
  <si>
    <t>Glam/Luxury|Transitional</t>
  </si>
  <si>
    <t>17493487-000-002</t>
  </si>
  <si>
    <t>8/10/2015</t>
  </si>
  <si>
    <t>MP95B-0273</t>
  </si>
  <si>
    <t>Leah</t>
  </si>
  <si>
    <t xml:space="preserve">Leah </t>
  </si>
  <si>
    <t>Round Two-tone Medallion Wall Decor</t>
  </si>
  <si>
    <t>Natural/White</t>
  </si>
  <si>
    <t>PP001633</t>
  </si>
  <si>
    <t>9/18/2021</t>
  </si>
  <si>
    <t>AMAZON,BLK01,HDDS,JCPENNEY01,KIRKLANDDS,KOHLDSN,MACY02,NRTPORT,OLLIIX,TGTDVS,ZOLA,Zulily</t>
  </si>
  <si>
    <t>38900782-000-000</t>
  </si>
  <si>
    <t>2/14/2022</t>
  </si>
  <si>
    <t>MP40-7491</t>
  </si>
  <si>
    <t>Leilani</t>
  </si>
  <si>
    <t>Kauna</t>
  </si>
  <si>
    <t>Maui</t>
  </si>
  <si>
    <t>Palm Leaf Burnout Window Sheer</t>
  </si>
  <si>
    <t>PP001628;PF005464</t>
  </si>
  <si>
    <t>9/24/2021</t>
  </si>
  <si>
    <t>AMAZONDS,CSNSTORES,DESINC,JCPENNEY01,KOHLDSN,TGTDVS</t>
  </si>
  <si>
    <t>22281011-000-003</t>
  </si>
  <si>
    <t>9/27/2021</t>
  </si>
  <si>
    <t>10/11/2021</t>
  </si>
  <si>
    <t>MP40-7493</t>
  </si>
  <si>
    <t>AMAZONDS,CSNSTORES,JCPENNEY01,KOHLDSN</t>
  </si>
  <si>
    <t>22281011-000-004</t>
  </si>
  <si>
    <t>9/30/2021</t>
  </si>
  <si>
    <t>MP40-4379</t>
  </si>
  <si>
    <t>PF003886;PP001628</t>
  </si>
  <si>
    <t>5/20/2017</t>
  </si>
  <si>
    <t>AMAZON,AMAZONDS,ASHFURNDS,BLK01,CSNSTORES,JCPENNEY01,KOHLDSN,OLLIIX,TGTDVS</t>
  </si>
  <si>
    <t>22281011-000-000</t>
  </si>
  <si>
    <t>5/12/2017</t>
  </si>
  <si>
    <t>II108-0500</t>
  </si>
  <si>
    <t>Lemmy</t>
  </si>
  <si>
    <t>Armless Upholstered Dining Chair Set of 2</t>
  </si>
  <si>
    <t>12/16/2022</t>
  </si>
  <si>
    <t>HDDS,HOUZZ,OLLIIX</t>
  </si>
  <si>
    <t>40983761-000-000</t>
  </si>
  <si>
    <t>1/16/2023</t>
  </si>
  <si>
    <t>12/6/2023</t>
  </si>
  <si>
    <t>MT95B-0079</t>
  </si>
  <si>
    <t>Awd</t>
  </si>
  <si>
    <t>Framed Rice Paper Shadow Box Gingko Leaf Wall Decor Art</t>
  </si>
  <si>
    <t>Off-White</t>
  </si>
  <si>
    <t>42877874-000-000</t>
  </si>
  <si>
    <t>MP95C-0037</t>
  </si>
  <si>
    <t>Linen Botanicals</t>
  </si>
  <si>
    <t>Illustration 3-piece Canvas Wall Art Set</t>
  </si>
  <si>
    <t>PF001908</t>
  </si>
  <si>
    <t>BIGLOTSDS,BLK01,CSNSTORES,KIRKLANDDS,OLLIIX,ROOMECOM,TGTDVS,Zulily</t>
  </si>
  <si>
    <t>18755591-000-000</t>
  </si>
  <si>
    <t>5/24/2016</t>
  </si>
  <si>
    <t>MT135-0036</t>
  </si>
  <si>
    <t>Lionel</t>
  </si>
  <si>
    <t>Two Tier Bar Cart on Wheels</t>
  </si>
  <si>
    <t>PP001245</t>
  </si>
  <si>
    <t>AMAZONDS,CSNSTORES,HOUZZ,MACY02F,OLLIIX</t>
  </si>
  <si>
    <t>34118860-000-000</t>
  </si>
  <si>
    <t>8/23/2019</t>
  </si>
  <si>
    <t>10/11/2019</t>
  </si>
  <si>
    <t>BL51N-0608</t>
  </si>
  <si>
    <t>Liquid Cotton</t>
  </si>
  <si>
    <t>PF003447</t>
  </si>
  <si>
    <t>14944585-000-003</t>
  </si>
  <si>
    <t>BL51N-0680</t>
  </si>
  <si>
    <t>PF003480</t>
  </si>
  <si>
    <t>AMAZON,AMAZONDS,BEALLSDS,BLK01,CSNSTORES,JCPENNEY01,KOHLDSN,MACY02,OLLIIX,TGTDVS,WALMARTDS</t>
  </si>
  <si>
    <t>14944585-000-012</t>
  </si>
  <si>
    <t>BL51N-0733</t>
  </si>
  <si>
    <t>PF003491</t>
  </si>
  <si>
    <t>AMAZON,BLK01,CSNSTORES,JCPENNEY01,KOHLDSN,MACY02,OLLIIX,TGTDVS,ZOLA</t>
  </si>
  <si>
    <t>14944585-000-016</t>
  </si>
  <si>
    <t>BL51N-0675</t>
  </si>
  <si>
    <t>Linen</t>
  </si>
  <si>
    <t>PF003469</t>
  </si>
  <si>
    <t>14944585-000-009</t>
  </si>
  <si>
    <t>1/14/2015</t>
  </si>
  <si>
    <t>MP51N-8379</t>
  </si>
  <si>
    <t>PP001934;PF006167</t>
  </si>
  <si>
    <t>14944585-000-032</t>
  </si>
  <si>
    <t>BL51N-0736</t>
  </si>
  <si>
    <t>PF003502</t>
  </si>
  <si>
    <t>AMAZON,AMAZONDS,BLK01,CSNSTORES,JCPENNEY01,KOHLDSN,MACY02,OLLIIX,TGTDVS,WALMARTDS,ZOLA</t>
  </si>
  <si>
    <t>14944585-000-019</t>
  </si>
  <si>
    <t>6/8/2015</t>
  </si>
  <si>
    <t>BL51N-0613</t>
  </si>
  <si>
    <t>PF003458</t>
  </si>
  <si>
    <t>AMAZON,AMAZONDS,CSNSTORES,JCPENNEY01,KOHLDSN,MACY02,NEBFUR01,OLLIIX,TGTDVS,WALMARTDS</t>
  </si>
  <si>
    <t>14944585-000-008</t>
  </si>
  <si>
    <t>ID73-2058</t>
  </si>
  <si>
    <t>FASHION TOWEL</t>
  </si>
  <si>
    <t>Lita AZ</t>
  </si>
  <si>
    <t>6 Piece Cotton Jacquard Towel Set</t>
  </si>
  <si>
    <t>Chartruse Green</t>
  </si>
  <si>
    <t>AMAZONDS,KOHLDSN</t>
  </si>
  <si>
    <t>44160709-000-000</t>
  </si>
  <si>
    <t>6/11/2024</t>
  </si>
  <si>
    <t>ID73-2060</t>
  </si>
  <si>
    <t>AMAZON,AMAZONDS,CSNSTORES,KOHLDSN</t>
  </si>
  <si>
    <t>44160709-000-001</t>
  </si>
  <si>
    <t>MP10-6833</t>
  </si>
  <si>
    <t>Lola</t>
  </si>
  <si>
    <t>Brianna</t>
  </si>
  <si>
    <t>Victoria</t>
  </si>
  <si>
    <t>Printed Cotton Sateen Comforter Set</t>
  </si>
  <si>
    <t>PF002455;PP000448</t>
  </si>
  <si>
    <t>Farm House|Casual</t>
  </si>
  <si>
    <t>11/26/2019</t>
  </si>
  <si>
    <t>18523707-000-003</t>
  </si>
  <si>
    <t>12/20/2019</t>
  </si>
  <si>
    <t>1/13/2020</t>
  </si>
  <si>
    <t>MP10-2639</t>
  </si>
  <si>
    <t>PF002455</t>
  </si>
  <si>
    <t>4/4/2017</t>
  </si>
  <si>
    <t>AMAZON,BIGLOTSDS,BLK01,CSNSTORES,FINGERHUTDS,JCPENNEY01,KOHLDSN,MACY02,OLLIIX,TGTDVS</t>
  </si>
  <si>
    <t>18523707-000-000</t>
  </si>
  <si>
    <t>4/1/2016</t>
  </si>
  <si>
    <t>MP13-2645</t>
  </si>
  <si>
    <t>6 Piece Printed Cotton Quilt Set with Throw Pillows</t>
  </si>
  <si>
    <t>AMAZON,BLK01,CSNSTORES,JCPENNEY01,KOHLDSN,MACY02</t>
  </si>
  <si>
    <t>18525096-000-001</t>
  </si>
  <si>
    <t>MP70-5669</t>
  </si>
  <si>
    <t>Jane</t>
  </si>
  <si>
    <t xml:space="preserve">100% Cotton  Floral Printed Shower Curtain</t>
  </si>
  <si>
    <t>Grey/Peach</t>
  </si>
  <si>
    <t>PP000448;PF004226</t>
  </si>
  <si>
    <t>2/28/2018</t>
  </si>
  <si>
    <t>AMAZON,CSNSTORES,JCPENNEY01,KOHLDSN,MACY02,NEBFUR01,TGTDVS,WALMARTDS</t>
  </si>
  <si>
    <t>14708559-000-003</t>
  </si>
  <si>
    <t>2/21/2018</t>
  </si>
  <si>
    <t>UHK10-0098</t>
  </si>
  <si>
    <t>Urban Habitat Kids</t>
  </si>
  <si>
    <t>Laila</t>
  </si>
  <si>
    <t>Unicorn Cotton Comforter Set</t>
  </si>
  <si>
    <t>PP000904;PF004525</t>
  </si>
  <si>
    <t>1/11/2019</t>
  </si>
  <si>
    <t>AMAZON,AMAZONDS,CSNSTORES,HDDS,JCPENNEY01,KOHLDSN,MACY02,OLLIIX,TGTDVS</t>
  </si>
  <si>
    <t>23228922-000-002</t>
  </si>
  <si>
    <t>1/13/2019</t>
  </si>
  <si>
    <t>UHK13-0102</t>
  </si>
  <si>
    <t>Coverlet &amp; Bedspread</t>
  </si>
  <si>
    <t xml:space="preserve">Unicorn Reversible Cotton  Quilt Set with Throw Pillows</t>
  </si>
  <si>
    <t>1/15/2019</t>
  </si>
  <si>
    <t>23228920-000-003</t>
  </si>
  <si>
    <t>ID31-2034</t>
  </si>
  <si>
    <t>CUSHION/POUF</t>
  </si>
  <si>
    <t>Cube/Cylinder</t>
  </si>
  <si>
    <t>Loretta</t>
  </si>
  <si>
    <t>Lara</t>
  </si>
  <si>
    <t>Lorissa</t>
  </si>
  <si>
    <t>Poly Chenille Round Floor Pillow Cushion</t>
  </si>
  <si>
    <t>Dia 22"x6"</t>
  </si>
  <si>
    <t>PF004189;PP000936</t>
  </si>
  <si>
    <t>5/8/2021</t>
  </si>
  <si>
    <t>AMAZONDS,CSNSTORES,HOUZZ,KOHLDSN,MACY02,TGTDVS</t>
  </si>
  <si>
    <t>38241495-000-000</t>
  </si>
  <si>
    <t>7/23/2021</t>
  </si>
  <si>
    <t>MP100-0955</t>
  </si>
  <si>
    <t>Lucas</t>
  </si>
  <si>
    <t>Britton</t>
  </si>
  <si>
    <t>Santos</t>
  </si>
  <si>
    <t>Button Tufted Captain Accent Chair</t>
  </si>
  <si>
    <t>PF001079</t>
  </si>
  <si>
    <t>1/17/2020</t>
  </si>
  <si>
    <t>ASHFURNDS,CSNSTORES,MACY02F,OLLIIX,TGTDVS</t>
  </si>
  <si>
    <t>35430606-000-000</t>
  </si>
  <si>
    <t>3/20/2020</t>
  </si>
  <si>
    <t>ID10-2369</t>
  </si>
  <si>
    <t>Lucy</t>
  </si>
  <si>
    <t>Vera</t>
  </si>
  <si>
    <t>Elise</t>
  </si>
  <si>
    <t>Clip Jacquard Comforter Set</t>
  </si>
  <si>
    <t>PP001813;PF006254</t>
  </si>
  <si>
    <t>6/1/2024</t>
  </si>
  <si>
    <t>AMAZON,BLK01,HDDS,JCPENNEY01,KOHLDSN,TGTDVS</t>
  </si>
  <si>
    <t>40850769-000-015</t>
  </si>
  <si>
    <t>6/5/2024</t>
  </si>
  <si>
    <t>7/12/2024</t>
  </si>
  <si>
    <t>ID10-2371</t>
  </si>
  <si>
    <t>AMAZON,BLK01,HDDS,JCPENNEY01,KOHLDSN,OLLIIX,TGTDVS</t>
  </si>
  <si>
    <t>40850769-000-019</t>
  </si>
  <si>
    <t>7/19/2024</t>
  </si>
  <si>
    <t>ID10-2376</t>
  </si>
  <si>
    <t>PP001813;PF006255</t>
  </si>
  <si>
    <t>40850769-000-016</t>
  </si>
  <si>
    <t>6/9/2024</t>
  </si>
  <si>
    <t>ID10-2282</t>
  </si>
  <si>
    <t>PP001813;PF006085</t>
  </si>
  <si>
    <t>40850769-000-014</t>
  </si>
  <si>
    <t>3/14/2024</t>
  </si>
  <si>
    <t>ID12-2285</t>
  </si>
  <si>
    <t>Clip Jacquard Duvet Cover Set</t>
  </si>
  <si>
    <t>40850749-000-006</t>
  </si>
  <si>
    <t>ID10-2283</t>
  </si>
  <si>
    <t>40850769-000-013</t>
  </si>
  <si>
    <t>ID10-2277</t>
  </si>
  <si>
    <t>PP001813;PF006084</t>
  </si>
  <si>
    <t>AMAZON,AMAZONDS,CSNSTORES,HDDS,JCPENNEY01,KOHLDSN,MACY02,TGTDVS</t>
  </si>
  <si>
    <t>40850769-000-006</t>
  </si>
  <si>
    <t>ID12-2280</t>
  </si>
  <si>
    <t>10/19/2023</t>
  </si>
  <si>
    <t>40850749-000-004</t>
  </si>
  <si>
    <t>ID12-2281</t>
  </si>
  <si>
    <t>40850749-000-005</t>
  </si>
  <si>
    <t>ID10-2287</t>
  </si>
  <si>
    <t>PP001813;PF005819</t>
  </si>
  <si>
    <t>40850769-000-008</t>
  </si>
  <si>
    <t>ID12-2275</t>
  </si>
  <si>
    <t>PP001813;PF006083</t>
  </si>
  <si>
    <t>40850749-000-008</t>
  </si>
  <si>
    <t>5/15/2024</t>
  </si>
  <si>
    <t>ID12-2276</t>
  </si>
  <si>
    <t>CSNSTORES,KOHLDSN,NRTPORT,TGTDVS</t>
  </si>
  <si>
    <t>40850749-000-009</t>
  </si>
  <si>
    <t>MP95C-0155</t>
  </si>
  <si>
    <t>Luminous</t>
  </si>
  <si>
    <t>Heavily Embellished 3-piece Canvas Wall Art Set</t>
  </si>
  <si>
    <t>PF004270</t>
  </si>
  <si>
    <t>3/18/2018</t>
  </si>
  <si>
    <t>AMAZON,AMERSIGNDS,CSNSTORES,DESINC,KIRKLANDDS,KOHLDSN,LAMPDS,OLLIIX,ROOMECOM,TGTDVS</t>
  </si>
  <si>
    <t>26922711-000-000</t>
  </si>
  <si>
    <t>4/26/2018</t>
  </si>
  <si>
    <t>4/16/2019</t>
  </si>
  <si>
    <t>MP95C-0269</t>
  </si>
  <si>
    <t>AMAZON,AMAZONDS,CSNSTORES,DESINC,JCPENNEY01,KIRKLANDDS,KOHLDSN,OLLIIX,ROOMECOM</t>
  </si>
  <si>
    <t>26922711-000-001</t>
  </si>
  <si>
    <t>5/18/2021</t>
  </si>
  <si>
    <t>MP95C-0208</t>
  </si>
  <si>
    <t>Luminous Bloom</t>
  </si>
  <si>
    <t>Gold Foil and Hand Embellished Floral Canvas Wall Art</t>
  </si>
  <si>
    <t>4/17/2019</t>
  </si>
  <si>
    <t>AMAZON,AMERSIGNDS,BLK01,CSNSTORES,KIRKLANDDS,KOHLDSN,MACY02,OLLIIX</t>
  </si>
  <si>
    <t>33246977-000-000</t>
  </si>
  <si>
    <t>5/6/2019</t>
  </si>
  <si>
    <t>2/3/2020</t>
  </si>
  <si>
    <t>CCS20-015</t>
  </si>
  <si>
    <t>Croscill</t>
  </si>
  <si>
    <t>Luxury Egyptian</t>
  </si>
  <si>
    <t>500TC Cotton Pillowcases</t>
  </si>
  <si>
    <t>AMAZONDS,JCPENNEY01</t>
  </si>
  <si>
    <t>42024797-000-000</t>
  </si>
  <si>
    <t>7/25/2023</t>
  </si>
  <si>
    <t>11/26/2023</t>
  </si>
  <si>
    <t>CCS20-038</t>
  </si>
  <si>
    <t>500TC Cotton Sheet Set</t>
  </si>
  <si>
    <t>1/1/2025</t>
  </si>
  <si>
    <t>42025513-000-006</t>
  </si>
  <si>
    <t>CCS20-014</t>
  </si>
  <si>
    <t>Standard</t>
  </si>
  <si>
    <t>42024797-000-003</t>
  </si>
  <si>
    <t>CCS20-010</t>
  </si>
  <si>
    <t>AMAZON,BLK01,CSNSTORES,JCPENNEY01,KOHLDSN,OLLIIX</t>
  </si>
  <si>
    <t>42024797-000-001</t>
  </si>
  <si>
    <t>CCS20-037</t>
  </si>
  <si>
    <t>42025513-000-000</t>
  </si>
  <si>
    <t>CCS20-005</t>
  </si>
  <si>
    <t>42024797-000-005</t>
  </si>
  <si>
    <t>4/29/2024</t>
  </si>
  <si>
    <t>CCS20-004</t>
  </si>
  <si>
    <t>BLK01,DLCROSCILL,HDDS,JCPENNEY01,MACY02,OLLIIX</t>
  </si>
  <si>
    <t>42024797-000-004</t>
  </si>
  <si>
    <t>II100-0291</t>
  </si>
  <si>
    <t>Madden</t>
  </si>
  <si>
    <t>1/27/2018</t>
  </si>
  <si>
    <t>ASHFURNDS,CSNSTORES,LAMPDS,OLLIIX</t>
  </si>
  <si>
    <t>26106887-000-000</t>
  </si>
  <si>
    <t>5/23/2018</t>
  </si>
  <si>
    <t>ID10-2234</t>
  </si>
  <si>
    <t>Malea</t>
  </si>
  <si>
    <t>Leena</t>
  </si>
  <si>
    <t>Shaggy Long Fur Comforter Mini Set</t>
  </si>
  <si>
    <t>PP001109;PF006032</t>
  </si>
  <si>
    <t>32517355-000-017</t>
  </si>
  <si>
    <t>ST54-0150</t>
  </si>
  <si>
    <t>Malea Heated</t>
  </si>
  <si>
    <t>Leena Heated</t>
  </si>
  <si>
    <t>Shaggy Faux Fur Heated Throw</t>
  </si>
  <si>
    <t>6/28/2021</t>
  </si>
  <si>
    <t>CSNSTORES,FINGERHUTDS,HSNDS,JCPENNEY01,KOHLDSN,MACY02,OLLIIX,TGTDVS,WALMARTDS</t>
  </si>
  <si>
    <t>38580938-000-002</t>
  </si>
  <si>
    <t>8/4/2021</t>
  </si>
  <si>
    <t>IIF18-0046</t>
  </si>
  <si>
    <t>Malibu</t>
  </si>
  <si>
    <t>PF000204;PP000035</t>
  </si>
  <si>
    <t>CSNSTORES,HDDS,KIRKLANDDS,OLLIIX</t>
  </si>
  <si>
    <t>19889612-000-000</t>
  </si>
  <si>
    <t>11/10/2016</t>
  </si>
  <si>
    <t>TN54-0507</t>
  </si>
  <si>
    <t>Marbled Sherpa</t>
  </si>
  <si>
    <t>PP001894;PF006042</t>
  </si>
  <si>
    <t>9/9/2023</t>
  </si>
  <si>
    <t>42618276-000-000</t>
  </si>
  <si>
    <t>11/17/2023</t>
  </si>
  <si>
    <t>TN54-0508</t>
  </si>
  <si>
    <t>PP001894;PF006043</t>
  </si>
  <si>
    <t>42618276-000-002</t>
  </si>
  <si>
    <t>MP104-1127</t>
  </si>
  <si>
    <t>Marian</t>
  </si>
  <si>
    <t>Misha</t>
  </si>
  <si>
    <t>Khloe</t>
  </si>
  <si>
    <t>Tufted Counter Stool</t>
  </si>
  <si>
    <t>3/17/2022</t>
  </si>
  <si>
    <t>CASTLEGATE,CSNSTORES,HOUZZ,KIRKLANDDS,MACY02F,OLLIIX</t>
  </si>
  <si>
    <t>21851040-000-001</t>
  </si>
  <si>
    <t>3/19/2022</t>
  </si>
  <si>
    <t>2/21/2023</t>
  </si>
  <si>
    <t>FPF20-0395</t>
  </si>
  <si>
    <t>PF000048;PP000205</t>
  </si>
  <si>
    <t>CASTLEGATE,CSNSTORES,KOHLDSN,OLLIIX,ROOMECOM</t>
  </si>
  <si>
    <t>18078886-000-000</t>
  </si>
  <si>
    <t>1/27/2016</t>
  </si>
  <si>
    <t>MP10-7942</t>
  </si>
  <si>
    <t>Marina</t>
  </si>
  <si>
    <t>Anchorage</t>
  </si>
  <si>
    <t>Fairbanks</t>
  </si>
  <si>
    <t>8 Piece Printed Seersucker Comforter and Quilt Set Collection</t>
  </si>
  <si>
    <t>PP001782;PF005730</t>
  </si>
  <si>
    <t>8/16/2022</t>
  </si>
  <si>
    <t>AMAZONDS,CSNSTORES,KOHLDSN,MACY02,OLLIIX,TGTDVS</t>
  </si>
  <si>
    <t>32192434-000-003</t>
  </si>
  <si>
    <t>10/9/2022</t>
  </si>
  <si>
    <t>MP13-7944</t>
  </si>
  <si>
    <t>6 Piece Printed Quilt Set with Throw Pillows</t>
  </si>
  <si>
    <t>PP001782;PF005732</t>
  </si>
  <si>
    <t>8/19/2022</t>
  </si>
  <si>
    <t>AMAZONDS,JCPENNEY01,KOHLDSN,MACY02,TGTDVS</t>
  </si>
  <si>
    <t>18146410-000-004</t>
  </si>
  <si>
    <t>9/13/2022</t>
  </si>
  <si>
    <t>MPS95F-0041</t>
  </si>
  <si>
    <t>Marlowe</t>
  </si>
  <si>
    <t>Gold Beaded Round Wall Mirror 3-piece set</t>
  </si>
  <si>
    <t>3-Piece</t>
  </si>
  <si>
    <t>PP001618</t>
  </si>
  <si>
    <t>9/5/2022</t>
  </si>
  <si>
    <t>AMAZONDS,CSNSTORES,KOHLDSN,MACY02,OLLIIX</t>
  </si>
  <si>
    <t>24185324-000-008</t>
  </si>
  <si>
    <t>9/19/2022</t>
  </si>
  <si>
    <t>11/10/2022</t>
  </si>
  <si>
    <t>MPS95F-0034</t>
  </si>
  <si>
    <t>27" Medium Decorative Round Wall Mirror with Beaded Metal Frame</t>
  </si>
  <si>
    <t>27" Dia</t>
  </si>
  <si>
    <t>9/5/2020</t>
  </si>
  <si>
    <t>AMAZON,AMAZONDS,CSNSTORES,HOUZZ,KIRKLANDDS,KOHLDSN,LAMPDS,OLLIIX,TGTDVS</t>
  </si>
  <si>
    <t>24185324-000-002</t>
  </si>
  <si>
    <t>Tier S</t>
  </si>
  <si>
    <t>10/10/2020</t>
  </si>
  <si>
    <t>10/21/2020</t>
  </si>
  <si>
    <t>MPS160-279</t>
  </si>
  <si>
    <t>36" Large Decorative Round Wall Mirror with Beaded Metal Frame</t>
  </si>
  <si>
    <t>36" Dia</t>
  </si>
  <si>
    <t>AMAZON,AMAZONDS,AMERSIGNDS,ASHFURNDS,CSNSTORES,HOUZZ,KIRKLANDDS,KOHLDSN,LAMPDS,OLLIIX,ROOMECOM,TGTDVS</t>
  </si>
  <si>
    <t>24185324-000-000</t>
  </si>
  <si>
    <t>9/30/2017</t>
  </si>
  <si>
    <t>MPS95F-0035</t>
  </si>
  <si>
    <t>AMAZON,CSNSTORES,HDDS,KIRKLANDDS,ROOMECOM</t>
  </si>
  <si>
    <t>24185324-000-003</t>
  </si>
  <si>
    <t>10/22/2020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</si>
  <si>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</si>
  <si>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</si>
  <si>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</si>
  <si>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</si>
  <si>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</si>
  <si>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</si>
  <si>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</si>
  <si>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</si>
  <si>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AMAZON,AMERSIGNDS,ASHFURNDS,CSNSTORES,HDDS,JCPENNEY01,KIRKLANDDS,KOHLDSN,LAMPDS,MACY02,OLLIIX,ZOLA</t>
  </si>
  <si>
    <t>35292488-000-000</t>
  </si>
  <si>
    <t>12/10/2019</t>
  </si>
  <si>
    <t>3/5/2020</t>
  </si>
  <si>
    <t>BASI10-0297</t>
  </si>
  <si>
    <t>Maximum Warmth</t>
  </si>
  <si>
    <t>Cotton Down Alternative Featherless Comforter</t>
  </si>
  <si>
    <t>PF002093</t>
  </si>
  <si>
    <t>AMAZON,JCPENNEY01,KOHLDSN,MACY02,OLLIIX,TGTDVS</t>
  </si>
  <si>
    <t>17651641-000-001</t>
  </si>
  <si>
    <t>10/25/2015</t>
  </si>
  <si>
    <t>SS40-0034</t>
  </si>
  <si>
    <t>Maya</t>
  </si>
  <si>
    <t>Arlie</t>
  </si>
  <si>
    <t>Rune</t>
  </si>
  <si>
    <t>Printed Heathered Blackout Grommet Top Curtain Panel</t>
  </si>
  <si>
    <t>50x54"</t>
  </si>
  <si>
    <t>Dusty Seafoam</t>
  </si>
  <si>
    <t>PF003954</t>
  </si>
  <si>
    <t>CSNSTORES,DESINC,JCPENNEY01,KOHLDSN,TGTDVS</t>
  </si>
  <si>
    <t>23998010-000-008</t>
  </si>
  <si>
    <t>SS40-0108</t>
  </si>
  <si>
    <t>Printed Heathered Blackout Window Patio Panel</t>
  </si>
  <si>
    <t>100x84" Blackout</t>
  </si>
  <si>
    <t>PF003955</t>
  </si>
  <si>
    <t>3/8/2019</t>
  </si>
  <si>
    <t>AMAZONDS,ASHFURNDS,BEALLSDS,CSNSTORES,JCPENNEY01,KOHLDSN,TGTDVS</t>
  </si>
  <si>
    <t>32790641-000-000</t>
  </si>
  <si>
    <t>4/2/2019</t>
  </si>
  <si>
    <t>SS40-0030</t>
  </si>
  <si>
    <t>PF003956</t>
  </si>
  <si>
    <t>23998010-000-004</t>
  </si>
  <si>
    <t>II121-0417</t>
  </si>
  <si>
    <t>DINING TABLE</t>
  </si>
  <si>
    <t>Dining Table</t>
  </si>
  <si>
    <t>Mercer</t>
  </si>
  <si>
    <t>Oval Dining Table</t>
  </si>
  <si>
    <t>1/21/2022</t>
  </si>
  <si>
    <t>8/14/2024</t>
  </si>
  <si>
    <t>19134574-000-001</t>
  </si>
  <si>
    <t>2/18/2022</t>
  </si>
  <si>
    <t>IIF17-0082</t>
  </si>
  <si>
    <t>ACCENT TABLE</t>
  </si>
  <si>
    <t>Occasional Table|Pedestal</t>
  </si>
  <si>
    <t>30" Pedestal</t>
  </si>
  <si>
    <t>PP000039</t>
  </si>
  <si>
    <t>CSNSTORES,HOUZZ,KOHLDSN,LAMPDS,MACY02F</t>
  </si>
  <si>
    <t>20421977-000-000</t>
  </si>
  <si>
    <t>12/6/2016</t>
  </si>
  <si>
    <t>UH13-2321</t>
  </si>
  <si>
    <t>Camden</t>
  </si>
  <si>
    <t>Ronan</t>
  </si>
  <si>
    <t>3 Piece Cotton Quilt Set with Chenille Trims</t>
  </si>
  <si>
    <t>PP001460;PF005049</t>
  </si>
  <si>
    <t>Casual|Transitional</t>
  </si>
  <si>
    <t>4/24/2020</t>
  </si>
  <si>
    <t>35761410-000-002</t>
  </si>
  <si>
    <t>UH12-2319</t>
  </si>
  <si>
    <t>3 Piece Cotton Chenille Duvet Cover Set</t>
  </si>
  <si>
    <t>9/15/2024</t>
  </si>
  <si>
    <t>BLK01,CSNSTORES,HDDS,JCPENNEY01,KOHLDSN,MACY02,OLLIIX,TGTDVS</t>
  </si>
  <si>
    <t>35761411-000-000</t>
  </si>
  <si>
    <t>ID20-1740</t>
  </si>
  <si>
    <t>Metallic Dot</t>
  </si>
  <si>
    <t>Grey/Silver</t>
  </si>
  <si>
    <t>PP000922;PF004702</t>
  </si>
  <si>
    <t>AMAZONDS,CSNSTORES,JCPENNEY01,KOHLDSN,MACY02,NRTPORT,TGTDVS,WALMARTDS</t>
  </si>
  <si>
    <t>27266912-000-009</t>
  </si>
  <si>
    <t>6/18/2019</t>
  </si>
  <si>
    <t>7/3/2019</t>
  </si>
  <si>
    <t>TN20-0460</t>
  </si>
  <si>
    <t>Micro Fleece</t>
  </si>
  <si>
    <t>PP001622;PF005448</t>
  </si>
  <si>
    <t>5/27/2021</t>
  </si>
  <si>
    <t>13709532-000-130</t>
  </si>
  <si>
    <t>5/26/2021</t>
  </si>
  <si>
    <t>4/5/2023</t>
  </si>
  <si>
    <t>TN20-0461</t>
  </si>
  <si>
    <t>13709532-000-132</t>
  </si>
  <si>
    <t>TN20-0463</t>
  </si>
  <si>
    <t>13709532-000-134</t>
  </si>
  <si>
    <t>5/24/2021</t>
  </si>
  <si>
    <t>8/30/2021</t>
  </si>
  <si>
    <t>TN20-0465</t>
  </si>
  <si>
    <t>13709532-000-135</t>
  </si>
  <si>
    <t>11/15/2021</t>
  </si>
  <si>
    <t>SHET20-745</t>
  </si>
  <si>
    <t>PF001563</t>
  </si>
  <si>
    <t>AMAZON,AMAZONDS,CSNSTORES,JCPENNEY01,KOHLDSN,MACY02</t>
  </si>
  <si>
    <t>13709532-000-051</t>
  </si>
  <si>
    <t>3/23/2016</t>
  </si>
  <si>
    <t>PC20-012</t>
  </si>
  <si>
    <t>AMAZON,CSNSTORES,JCPENNEY01,KOHLDSN,MACY02</t>
  </si>
  <si>
    <t>13709532-000-011</t>
  </si>
  <si>
    <t>1/26/2015</t>
  </si>
  <si>
    <t>TN20-0522</t>
  </si>
  <si>
    <t>PP001622;PF006086</t>
  </si>
  <si>
    <t>10/26/2023</t>
  </si>
  <si>
    <t>AMAZON,AMAZONDS,JCPENNEY01,KOHLDSN,TGTDVS</t>
  </si>
  <si>
    <t>13709532-000-145</t>
  </si>
  <si>
    <t>TN20-0523</t>
  </si>
  <si>
    <t>13709532-000-144</t>
  </si>
  <si>
    <t>TN20-0524</t>
  </si>
  <si>
    <t>13709532-000-147</t>
  </si>
  <si>
    <t>TN20-0526</t>
  </si>
  <si>
    <t>AMAZON,CSNSTORES,KOHLDSN,OLLIIX,TGTDVS</t>
  </si>
  <si>
    <t>13709532-000-149</t>
  </si>
  <si>
    <t>TN20-0527</t>
  </si>
  <si>
    <t>13709532-000-148</t>
  </si>
  <si>
    <t>SHET20-530</t>
  </si>
  <si>
    <t>PF001775</t>
  </si>
  <si>
    <t>13709532-000-020</t>
  </si>
  <si>
    <t>SHET20-531</t>
  </si>
  <si>
    <t>AMAZON,AMAZONDS,FINGERHUTDS,JCPENNEY01,KOHLDSN,OLLIIX</t>
  </si>
  <si>
    <t>13709532-000-021</t>
  </si>
  <si>
    <t>1/13/2015</t>
  </si>
  <si>
    <t>SHET20-532</t>
  </si>
  <si>
    <t>AMAZON,AMAZONDS,CSNSTORES,FINGERHUTDS,HSNDS,JCPENNEY01,KOHLDSN,MACY02</t>
  </si>
  <si>
    <t>13709532-000-022</t>
  </si>
  <si>
    <t>SHET20-738</t>
  </si>
  <si>
    <t>AMAZONDS,KOHLDSN,MACY02</t>
  </si>
  <si>
    <t>13709532-000-044</t>
  </si>
  <si>
    <t>11/9/2016</t>
  </si>
  <si>
    <t>PC20-005</t>
  </si>
  <si>
    <t>PF001735</t>
  </si>
  <si>
    <t>AMAZON,AMAZONDS,MACY02</t>
  </si>
  <si>
    <t>13709532-000-001</t>
  </si>
  <si>
    <t>4/8/2015</t>
  </si>
  <si>
    <t>SHET20-743</t>
  </si>
  <si>
    <t>13709532-000-049</t>
  </si>
  <si>
    <t>PC20-006</t>
  </si>
  <si>
    <t>13709532-000-006</t>
  </si>
  <si>
    <t>SHET20-744</t>
  </si>
  <si>
    <t>AMAZON,AMAZONDS,JCPENNEY01,KOHLDSN,MACY02,NRTPORT</t>
  </si>
  <si>
    <t>13709532-000-050</t>
  </si>
  <si>
    <t>1/22/2016</t>
  </si>
  <si>
    <t>SHET20-526</t>
  </si>
  <si>
    <t>PF001774</t>
  </si>
  <si>
    <t>13709532-000-016</t>
  </si>
  <si>
    <t>5/14/2015</t>
  </si>
  <si>
    <t>SHET20-529</t>
  </si>
  <si>
    <t>AMAZON,FINGERHUTDS,KOHLDSN,MACY02</t>
  </si>
  <si>
    <t>13709532-000-019</t>
  </si>
  <si>
    <t>SHET20-736</t>
  </si>
  <si>
    <t>13709532-000-042</t>
  </si>
  <si>
    <t>1/21/2016</t>
  </si>
  <si>
    <t>TN20-0528</t>
  </si>
  <si>
    <t>PP001622;PF006087</t>
  </si>
  <si>
    <t>13709532-000-137</t>
  </si>
  <si>
    <t>TN20-0529</t>
  </si>
  <si>
    <t>13709532-000-136</t>
  </si>
  <si>
    <t>TN20-0530</t>
  </si>
  <si>
    <t>13709532-000-138</t>
  </si>
  <si>
    <t>TN20-0531</t>
  </si>
  <si>
    <t>13709532-000-140</t>
  </si>
  <si>
    <t>11/22/2023</t>
  </si>
  <si>
    <t>SHET20-997</t>
  </si>
  <si>
    <t>PF002215</t>
  </si>
  <si>
    <t>13709532-000-085</t>
  </si>
  <si>
    <t>12/1/2016</t>
  </si>
  <si>
    <t>SHET20-998</t>
  </si>
  <si>
    <t>13709532-000-086</t>
  </si>
  <si>
    <t>SHET20-999</t>
  </si>
  <si>
    <t>13709532-000-087</t>
  </si>
  <si>
    <t>12/12/2016</t>
  </si>
  <si>
    <t>TN20-0532</t>
  </si>
  <si>
    <t>Grey Snowflake</t>
  </si>
  <si>
    <t>PP001622;PF006088</t>
  </si>
  <si>
    <t>13709532-000-139</t>
  </si>
  <si>
    <t>TN20-0533</t>
  </si>
  <si>
    <t>13709532-000-142</t>
  </si>
  <si>
    <t>12/1/2023</t>
  </si>
  <si>
    <t>TN20-0534</t>
  </si>
  <si>
    <t>13709532-000-141</t>
  </si>
  <si>
    <t>TN20-0535</t>
  </si>
  <si>
    <t>13709532-000-143</t>
  </si>
  <si>
    <t>11/14/2023</t>
  </si>
  <si>
    <t>SHET20-747</t>
  </si>
  <si>
    <t>PF001746</t>
  </si>
  <si>
    <t>AMAZON,HSNDS,KOHLDSN,MACY02</t>
  </si>
  <si>
    <t>13709532-000-053</t>
  </si>
  <si>
    <t>7/19/2016</t>
  </si>
  <si>
    <t>PC20-125</t>
  </si>
  <si>
    <t>AMAZON,AMAZONDS,HSNDS,KOHLDSN,MACY02,TGTDVS</t>
  </si>
  <si>
    <t>13709532-000-013</t>
  </si>
  <si>
    <t>SHET20-748</t>
  </si>
  <si>
    <t>13709532-000-054</t>
  </si>
  <si>
    <t>2/10/2016</t>
  </si>
  <si>
    <t>PC20-001</t>
  </si>
  <si>
    <t>PF001674</t>
  </si>
  <si>
    <t>13709532-000-000</t>
  </si>
  <si>
    <t>8/30/2015</t>
  </si>
  <si>
    <t>PC20-002</t>
  </si>
  <si>
    <t>13709532-000-003</t>
  </si>
  <si>
    <t>4/29/2015</t>
  </si>
  <si>
    <t>PC20-003</t>
  </si>
  <si>
    <t>AMAZON,CSNSTORES,FINGERHUTDS,HSNDS,KOHLDSN,MACY02</t>
  </si>
  <si>
    <t>13709532-000-004</t>
  </si>
  <si>
    <t>3/18/2015</t>
  </si>
  <si>
    <t>PC20-004</t>
  </si>
  <si>
    <t>13709532-000-005</t>
  </si>
  <si>
    <t>1/22/2015</t>
  </si>
  <si>
    <t>SHET20-742</t>
  </si>
  <si>
    <t>13709532-000-048</t>
  </si>
  <si>
    <t>11/29/2016</t>
  </si>
  <si>
    <t>TN20-0448</t>
  </si>
  <si>
    <t>PP001622;PF005446</t>
  </si>
  <si>
    <t>13709532-000-118</t>
  </si>
  <si>
    <t>12/7/2021</t>
  </si>
  <si>
    <t>TN20-0450</t>
  </si>
  <si>
    <t>5/28/2021</t>
  </si>
  <si>
    <t>13709532-000-121</t>
  </si>
  <si>
    <t>5/29/2021</t>
  </si>
  <si>
    <t>10/14/2021</t>
  </si>
  <si>
    <t>TN20-0451</t>
  </si>
  <si>
    <t>13709532-000-120</t>
  </si>
  <si>
    <t>8/16/2021</t>
  </si>
  <si>
    <t>TN20-0453</t>
  </si>
  <si>
    <t>13709532-000-122</t>
  </si>
  <si>
    <t>12/3/2021</t>
  </si>
  <si>
    <t>SHET20-534</t>
  </si>
  <si>
    <t>PF001776</t>
  </si>
  <si>
    <t>AMAZON,BLK01,KOHLDSN,MACY02,OLLIIX</t>
  </si>
  <si>
    <t>13709532-000-024</t>
  </si>
  <si>
    <t>3/31/2015</t>
  </si>
  <si>
    <t>SHET20-739</t>
  </si>
  <si>
    <t>13709532-000-045</t>
  </si>
  <si>
    <t>4/18/2016</t>
  </si>
  <si>
    <t>SHET20-535</t>
  </si>
  <si>
    <t>13709532-000-025</t>
  </si>
  <si>
    <t>SHET20-537</t>
  </si>
  <si>
    <t>13709532-000-027</t>
  </si>
  <si>
    <t>1/15/2015</t>
  </si>
  <si>
    <t>SHET20-740</t>
  </si>
  <si>
    <t>13709532-000-046</t>
  </si>
  <si>
    <t>8/7/2016</t>
  </si>
  <si>
    <t>ID20-2208</t>
  </si>
  <si>
    <t>All Season Soft Touch Sheet Set</t>
  </si>
  <si>
    <t>PP001853;PF005933</t>
  </si>
  <si>
    <t>6/23/2023</t>
  </si>
  <si>
    <t>AMAZON,AMAZONDS,KOHLDSN,OLLIIX,TGTDVS</t>
  </si>
  <si>
    <t>16342274-000-046</t>
  </si>
  <si>
    <t>ID20-2212</t>
  </si>
  <si>
    <t>16342274-000-051</t>
  </si>
  <si>
    <t>ID20-2204</t>
  </si>
  <si>
    <t>PP001853;PF005932</t>
  </si>
  <si>
    <t>16342274-000-048</t>
  </si>
  <si>
    <t>ID20-2206</t>
  </si>
  <si>
    <t>AMAZON,BEALLSDS,JCPENNEY01,KOHLDSN,OLLIIX,TGTDVS</t>
  </si>
  <si>
    <t>16342274-000-050</t>
  </si>
  <si>
    <t>11/3/2023</t>
  </si>
  <si>
    <t>ID20-1914</t>
  </si>
  <si>
    <t>Sheet Set with Side Storage Pockets</t>
  </si>
  <si>
    <t>PF001772</t>
  </si>
  <si>
    <t>5/13/2020</t>
  </si>
  <si>
    <t>27441431-000-021</t>
  </si>
  <si>
    <t>5/14/2020</t>
  </si>
  <si>
    <t>ID20-1915</t>
  </si>
  <si>
    <t>DESINC,JCPENNEY01,KOHLDSN,MACY02,OLLIIX,TGTDVS,WALMARTDS</t>
  </si>
  <si>
    <t>27441431-000-017</t>
  </si>
  <si>
    <t>5/25/2020</t>
  </si>
  <si>
    <t>ID20-1076</t>
  </si>
  <si>
    <t>AMAZON,HSNDS,JCPENNEY01,KOHLDSN,MACY02,OLLIIX,TGTDVS</t>
  </si>
  <si>
    <t>16342274-000-035</t>
  </si>
  <si>
    <t>1/9/2017</t>
  </si>
  <si>
    <t>ID20-1916</t>
  </si>
  <si>
    <t>HDDS,JCPENNEY01,KOHLDSN,MACY02,TGTDVS</t>
  </si>
  <si>
    <t>27441431-000-016</t>
  </si>
  <si>
    <t>12/28/2020</t>
  </si>
  <si>
    <t>ID20-1077</t>
  </si>
  <si>
    <t>AMAZONDS,CSNSTORES,FINGERHUTDS,HSNDS,JCPENNEY01,KOHLDSN,MACY02,OLLIIX,TGTDVS,WALMARTDS</t>
  </si>
  <si>
    <t>16342274-000-036</t>
  </si>
  <si>
    <t>1/24/2017</t>
  </si>
  <si>
    <t>ID20-1454</t>
  </si>
  <si>
    <t>PF001767</t>
  </si>
  <si>
    <t>27441431-000-000</t>
  </si>
  <si>
    <t>11/22/2019</t>
  </si>
  <si>
    <t>ID20-133</t>
  </si>
  <si>
    <t>AMAZONDS,FINGERHUTDS,HSNDS,JCPENNEY01,KOHLDSN,MACY02,TGTDVS,WALMARTDS</t>
  </si>
  <si>
    <t>16342274-000-011</t>
  </si>
  <si>
    <t>ID20-1455</t>
  </si>
  <si>
    <t>AMAZON,AMAZONDS,BLK01,DESINC,HDDS,JCPENNEY01,KOHLDSN,MACY02,TGTDVS,WALMARTDS</t>
  </si>
  <si>
    <t>27441431-000-007</t>
  </si>
  <si>
    <t>ID20-134</t>
  </si>
  <si>
    <t>AMAZONDS,HSNDS,KOHLDSN,MACY02,TGTDVS</t>
  </si>
  <si>
    <t>16342274-000-012</t>
  </si>
  <si>
    <t>2/9/2015</t>
  </si>
  <si>
    <t>ID20-2213</t>
  </si>
  <si>
    <t>PP001853;PF005934</t>
  </si>
  <si>
    <t>AMAZON,JCPENNEY01,KOHLDSN,TGTDVS</t>
  </si>
  <si>
    <t>16342274-000-054</t>
  </si>
  <si>
    <t>ID20-2214</t>
  </si>
  <si>
    <t>JCPENNEY01,KOHLDSN,TGTDVS</t>
  </si>
  <si>
    <t>16342274-000-053</t>
  </si>
  <si>
    <t>ID20-2216</t>
  </si>
  <si>
    <t>AMAZON,BEALLSDS,CSNSTORES,JCPENNEY01,KOHLDSN,TGTDVS</t>
  </si>
  <si>
    <t>16342274-000-056</t>
  </si>
  <si>
    <t>ID20-137</t>
  </si>
  <si>
    <t>PF001769</t>
  </si>
  <si>
    <t>JCPENNEY01,KOHLDSN,MACY02,TGTDVS,WALMARTDS</t>
  </si>
  <si>
    <t>16342274-000-015</t>
  </si>
  <si>
    <t>ID20-1083</t>
  </si>
  <si>
    <t>PF001773</t>
  </si>
  <si>
    <t>AMAZON,BEALLSDS,BLK01,FINGERHUTDS,HSNDS,JCPENNEY01,KOHLDSN,MACY02,OLLIIX,TGTDVS,WALMARTDS</t>
  </si>
  <si>
    <t>16342274-000-042</t>
  </si>
  <si>
    <t>ID20-1084</t>
  </si>
  <si>
    <t>AMAZON,BEALLSDS,BLK01,FINGERHUTDS,HSNDS,JCPENNEY01,KOHLDSN,MACY02,TGTDVS,WALMARTDS</t>
  </si>
  <si>
    <t>16342274-000-043</t>
  </si>
  <si>
    <t>1/12/2017</t>
  </si>
  <si>
    <t>ID20-142</t>
  </si>
  <si>
    <t>PF001770</t>
  </si>
  <si>
    <t>16342274-000-020</t>
  </si>
  <si>
    <t>ID20-1910</t>
  </si>
  <si>
    <t>AMAZONDS,JCPENNEY01,KOHLDSN,MACY02,OLLIIX,TGTDVS,WALMARTDS</t>
  </si>
  <si>
    <t>27441431-000-023</t>
  </si>
  <si>
    <t>4/5/2021</t>
  </si>
  <si>
    <t>ID20-143</t>
  </si>
  <si>
    <t>AMAZONDS,FINGERHUTDS,HSNDS,KOHLDSN,MACY02,OLLIIX,TGTDVS,WALMARTDS,Zulily</t>
  </si>
  <si>
    <t>16342274-000-021</t>
  </si>
  <si>
    <t>ID20-1911</t>
  </si>
  <si>
    <t>27441431-000-020</t>
  </si>
  <si>
    <t>ID20-144</t>
  </si>
  <si>
    <t>AMAZON,AMAZONDS,JCPENNEY01,KOHLDSN,MACY02,OLLIIX,TGTDVS,WALMARTDS</t>
  </si>
  <si>
    <t>16342274-000-022</t>
  </si>
  <si>
    <t>ID20-146</t>
  </si>
  <si>
    <t>AMAZON,BLK01,CSNSTORES,FINGERHUTDS,KOHLDSN,MACY02,OLLIIX,TGTDVS</t>
  </si>
  <si>
    <t>16342274-000-024</t>
  </si>
  <si>
    <t>ST55-0266</t>
  </si>
  <si>
    <t>Microfiber Heated</t>
  </si>
  <si>
    <t>Mattress Pad</t>
  </si>
  <si>
    <t>PP001880;PF005997</t>
  </si>
  <si>
    <t>JCPENNEY01,KOHLDSN,Zulily</t>
  </si>
  <si>
    <t>41947745-000-000</t>
  </si>
  <si>
    <t>9/17/2023</t>
  </si>
  <si>
    <t>BR54-4128</t>
  </si>
  <si>
    <t>Microplush</t>
  </si>
  <si>
    <t>Heated Blanket with Wifi Technology</t>
  </si>
  <si>
    <t>PP001882;PF006002</t>
  </si>
  <si>
    <t>42618483-000-005</t>
  </si>
  <si>
    <t>BR54-4129</t>
  </si>
  <si>
    <t>42618483-000-000</t>
  </si>
  <si>
    <t>BR54-4127</t>
  </si>
  <si>
    <t>PP001882;PF006001</t>
  </si>
  <si>
    <t>42618483-000-001</t>
  </si>
  <si>
    <t>BR54-4130</t>
  </si>
  <si>
    <t>PP001882;PF006003</t>
  </si>
  <si>
    <t>JCPENNEY01,KOHLDSN,OLLIIX</t>
  </si>
  <si>
    <t>42618483-000-002</t>
  </si>
  <si>
    <t>BR54-4131</t>
  </si>
  <si>
    <t>42618483-000-003</t>
  </si>
  <si>
    <t>II152-0142</t>
  </si>
  <si>
    <t>LGT-FLUSHMOUNTS</t>
  </si>
  <si>
    <t>Flushmounts</t>
  </si>
  <si>
    <t>Mililani</t>
  </si>
  <si>
    <t>Boho Bamboo Flush Mount Ceiling Light</t>
  </si>
  <si>
    <t>40806221-000-000</t>
  </si>
  <si>
    <t>1/6/2023</t>
  </si>
  <si>
    <t>ID10-2267</t>
  </si>
  <si>
    <t>Mira</t>
  </si>
  <si>
    <t>Gemma</t>
  </si>
  <si>
    <t>Arabella</t>
  </si>
  <si>
    <t>Crushed Velvet Sherpa Reversible Comforter Set</t>
  </si>
  <si>
    <t>PP001907;PF006081</t>
  </si>
  <si>
    <t>42733819-000-008</t>
  </si>
  <si>
    <t>ID10-2268</t>
  </si>
  <si>
    <t>KOHLDSN,NRTPORT</t>
  </si>
  <si>
    <t>42733819-000-002</t>
  </si>
  <si>
    <t>ID10-2269</t>
  </si>
  <si>
    <t>PP001907;PF006082</t>
  </si>
  <si>
    <t>AMAZON,JCPENNEY01,NRTPORT,OLLIIX,TGTDVS</t>
  </si>
  <si>
    <t>42733819-000-006</t>
  </si>
  <si>
    <t>ID10-2270</t>
  </si>
  <si>
    <t>42733819-000-000</t>
  </si>
  <si>
    <t>ID10-2271</t>
  </si>
  <si>
    <t>HDDS,JCPENNEY01,KOHLDSN,MACY02,NRTPORT</t>
  </si>
  <si>
    <t>42733819-000-004</t>
  </si>
  <si>
    <t>1/29/2024</t>
  </si>
  <si>
    <t>ID10-2263</t>
  </si>
  <si>
    <t>PP001907;PF006080</t>
  </si>
  <si>
    <t>AMAZON,CSNSTORES,TGTDVS</t>
  </si>
  <si>
    <t>42733819-000-005</t>
  </si>
  <si>
    <t>1/10/2024</t>
  </si>
  <si>
    <t>ID10-2265</t>
  </si>
  <si>
    <t>AMAZON,JCPENNEY01,KOHLDSN,MACY02,NRTPORT,TGTDVS</t>
  </si>
  <si>
    <t>42733819-000-007</t>
  </si>
  <si>
    <t>SS40-0021</t>
  </si>
  <si>
    <t>Mirage</t>
  </si>
  <si>
    <t>Elysia</t>
  </si>
  <si>
    <t>Azalea</t>
  </si>
  <si>
    <t>Knitted Jacquard Damask Total Blackout Grommet Top Curtain Panel</t>
  </si>
  <si>
    <t>PP001653;PF005528</t>
  </si>
  <si>
    <t>AMAZONDS,CSNSTORES,HDDS,KOHLDSN,OLLIIX,TGTDVS</t>
  </si>
  <si>
    <t>23909103-000-008</t>
  </si>
  <si>
    <t>SS40-0016</t>
  </si>
  <si>
    <t>AMAZON,AMAZONDS,AMERSIGNDS,CSNSTORES,JCPENNEY01,KOHLDSN,OLLIIX,TGTDVS</t>
  </si>
  <si>
    <t>23909103-000-003</t>
  </si>
  <si>
    <t>9/18/2017</t>
  </si>
  <si>
    <t>II101-0545</t>
  </si>
  <si>
    <t>SECTIONAL SOFA</t>
  </si>
  <si>
    <t>Molly</t>
  </si>
  <si>
    <t>Modular Ottoman</t>
  </si>
  <si>
    <t>1/4/2024</t>
  </si>
  <si>
    <t>41053312-000-005</t>
  </si>
  <si>
    <t>2/28/2024</t>
  </si>
  <si>
    <t>MP95C-0284</t>
  </si>
  <si>
    <t>Moving Midas</t>
  </si>
  <si>
    <t>Gold Foil Abstract 2-piece Framed Canvas Wall Art Set</t>
  </si>
  <si>
    <t>PP001663</t>
  </si>
  <si>
    <t>AMAZON,AMERSIGNDS,JCPENNEY01,KIRKLANDDS,KOHLDSN,MACY02,OLLIIX,ROOMECOM,Zulily</t>
  </si>
  <si>
    <t>38513310-000-000</t>
  </si>
  <si>
    <t>8/22/2021</t>
  </si>
  <si>
    <t>ID73-2061</t>
  </si>
  <si>
    <t>Nadia AZ</t>
  </si>
  <si>
    <t>Chevron</t>
  </si>
  <si>
    <t>43976170-000-001</t>
  </si>
  <si>
    <t>PET63HM6012</t>
  </si>
  <si>
    <t>Nala</t>
  </si>
  <si>
    <t>Hide Mat SM</t>
  </si>
  <si>
    <t>43826956-000-000</t>
  </si>
  <si>
    <t>6/19/2024</t>
  </si>
  <si>
    <t>PET63HM6013</t>
  </si>
  <si>
    <t>Hide Mat LG</t>
  </si>
  <si>
    <t>30x40"</t>
  </si>
  <si>
    <t>43826956-000-001</t>
  </si>
  <si>
    <t>II10-1130</t>
  </si>
  <si>
    <t>Nea</t>
  </si>
  <si>
    <t>Cotton Printed Comforter Set with Trims</t>
  </si>
  <si>
    <t>PP001095;PF005261</t>
  </si>
  <si>
    <t>Boho</t>
  </si>
  <si>
    <t>12/17/2020</t>
  </si>
  <si>
    <t>AMAZON,CSNSTORES,HOUZZ,JCPENNEY01,KOHLDSN,MACY02,OLLIIX,TGTDVS</t>
  </si>
  <si>
    <t>32118196-000-003</t>
  </si>
  <si>
    <t>12/22/2020</t>
  </si>
  <si>
    <t>II95C-0160</t>
  </si>
  <si>
    <t>Neutral Stones</t>
  </si>
  <si>
    <t>Figural 2-piece Framed Canvas Wall Art Set</t>
  </si>
  <si>
    <t>Figurative</t>
  </si>
  <si>
    <t>10/21/2023</t>
  </si>
  <si>
    <t>42794030-000-000</t>
  </si>
  <si>
    <t>II110-0391</t>
  </si>
  <si>
    <t>Newport</t>
  </si>
  <si>
    <t>Newport Wide Mid-Century Modern Lounge Chair</t>
  </si>
  <si>
    <t>10/7/2019</t>
  </si>
  <si>
    <t>ASHFURNDS,CASTLEGATE,CSNSTORES,KOHLDSN,MACY02F,OLLIIX</t>
  </si>
  <si>
    <t>20675185-000-002</t>
  </si>
  <si>
    <t>11/18/2019</t>
  </si>
  <si>
    <t>11/25/2019</t>
  </si>
  <si>
    <t>II100-0382</t>
  </si>
  <si>
    <t>7/31/2018</t>
  </si>
  <si>
    <t>20675185-000-001</t>
  </si>
  <si>
    <t>8/8/2018</t>
  </si>
  <si>
    <t>5DS153-0037</t>
  </si>
  <si>
    <t>Nicolo</t>
  </si>
  <si>
    <t>Textured Ceramic Table Lamp</t>
  </si>
  <si>
    <t>AMERSIGNDS,CSNSTORES,JCPENNEY01,KOHLDSN,OLLIIX,ROOMECOM,Zulily</t>
  </si>
  <si>
    <t>39467327-000-000</t>
  </si>
  <si>
    <t>5DS153-0036</t>
  </si>
  <si>
    <t>AMERSIGNDS,CSNSTORES,JCPENNEY01,KOHLDSN,OLLIIX,ROOMECOM</t>
  </si>
  <si>
    <t>39467327-000-001</t>
  </si>
  <si>
    <t>5/17/2022</t>
  </si>
  <si>
    <t>II103-0355</t>
  </si>
  <si>
    <t>Nina</t>
  </si>
  <si>
    <t>Swivel Lounge Chair, Star Based Swivel</t>
  </si>
  <si>
    <t>Brown Multi</t>
  </si>
  <si>
    <t>6/1/2018</t>
  </si>
  <si>
    <t>ASHFURNDS,CSNSTORES</t>
  </si>
  <si>
    <t>27498950-000-000</t>
  </si>
  <si>
    <t>5/30/2018</t>
  </si>
  <si>
    <t>6/26/2018</t>
  </si>
  <si>
    <t>ID10-727</t>
  </si>
  <si>
    <t>Mona</t>
  </si>
  <si>
    <t>Eva</t>
  </si>
  <si>
    <t>Comforter Set</t>
  </si>
  <si>
    <t>PF001666;PP000470</t>
  </si>
  <si>
    <t>AMAZONDS,CSNSTORES,DESINC,HDDS,JCPENNEY01,KOHLDSN,MACY02,TGTDVS</t>
  </si>
  <si>
    <t>18412664-000-000</t>
  </si>
  <si>
    <t>3/27/2016</t>
  </si>
  <si>
    <t>II100-0357</t>
  </si>
  <si>
    <t>Noe</t>
  </si>
  <si>
    <t>ASHFURNDS,CSNSTORES,HDDS,KOHLDSN,LAMPDS,MACY02F,OLLIIX,ZOLA</t>
  </si>
  <si>
    <t>27457674-000-000</t>
  </si>
  <si>
    <t>6/12/2018</t>
  </si>
  <si>
    <t>PET63CM6018</t>
  </si>
  <si>
    <t>Back Printed Microberber Bumper Crate Mat</t>
  </si>
  <si>
    <t>43827513-000-000</t>
  </si>
  <si>
    <t>PET63CM6019</t>
  </si>
  <si>
    <t>43827513-000-001</t>
  </si>
  <si>
    <t>PET63CM6020</t>
  </si>
  <si>
    <t>AMAZON,CSNSTORES,DESINC</t>
  </si>
  <si>
    <t>43827513-000-003</t>
  </si>
  <si>
    <t>PET63CM6021</t>
  </si>
  <si>
    <t>43827513-000-002</t>
  </si>
  <si>
    <t>II95F-0155</t>
  </si>
  <si>
    <t>Natural Rattan Rectangle Wall Mirror</t>
  </si>
  <si>
    <t>LAMPDS,OLLIIX,TGTDVS</t>
  </si>
  <si>
    <t>42180559-000-000</t>
  </si>
  <si>
    <t>PET63CM6014</t>
  </si>
  <si>
    <t>Oxford Bumper Crate Mat</t>
  </si>
  <si>
    <t>Olive Green</t>
  </si>
  <si>
    <t>4/11/2023</t>
  </si>
  <si>
    <t>43827514-000-003</t>
  </si>
  <si>
    <t>PET63CM6015</t>
  </si>
  <si>
    <t>43827514-000-000</t>
  </si>
  <si>
    <t>PET63CM6016</t>
  </si>
  <si>
    <t>AMAZON,AMAZONDS,OLLIIX</t>
  </si>
  <si>
    <t>43827514-000-002</t>
  </si>
  <si>
    <t>PET63CM6017</t>
  </si>
  <si>
    <t>AMAZON,AMAZONDS,CSNSTORES,DESINC</t>
  </si>
  <si>
    <t>43827514-000-001</t>
  </si>
  <si>
    <t>II100-0435</t>
  </si>
  <si>
    <t>Novak</t>
  </si>
  <si>
    <t>Novak Mid-Century Modern Accent Armchair</t>
  </si>
  <si>
    <t>12/1/2020</t>
  </si>
  <si>
    <t>10/7/2024</t>
  </si>
  <si>
    <t>CASTLEGATE,CSNSTORES,MACY02F,OLLIIX</t>
  </si>
  <si>
    <t>20226921-000-002</t>
  </si>
  <si>
    <t>12/7/2020</t>
  </si>
  <si>
    <t>II100-0434</t>
  </si>
  <si>
    <t>CASTLEGATE,CSNSTORES,HDDS,JCPENNEY01,LAMPDS,MACY02F,OLLIIX,TGTDVS</t>
  </si>
  <si>
    <t>20226921-000-003</t>
  </si>
  <si>
    <t>12/10/2020</t>
  </si>
  <si>
    <t>ID20-1438</t>
  </si>
  <si>
    <t>Print Sheet Set</t>
  </si>
  <si>
    <t>Aqua Dogs</t>
  </si>
  <si>
    <t>PP000909;PF004369</t>
  </si>
  <si>
    <t>26991463-000-011</t>
  </si>
  <si>
    <t>4/29/2018</t>
  </si>
  <si>
    <t>5/21/2018</t>
  </si>
  <si>
    <t>ID20-1439</t>
  </si>
  <si>
    <t>TXL</t>
  </si>
  <si>
    <t>AMAZON,AMAZONDS,BLK01,CSNSTORES,KOHLDSN,MACY02,WALMARTDS</t>
  </si>
  <si>
    <t>26991463-000-002</t>
  </si>
  <si>
    <t>ID20-1427</t>
  </si>
  <si>
    <t>Grey/Blue Road Trip</t>
  </si>
  <si>
    <t>PP000909;PF004366</t>
  </si>
  <si>
    <t>26991463-000-020</t>
  </si>
  <si>
    <t>ID20-1429</t>
  </si>
  <si>
    <t>26991463-000-021</t>
  </si>
  <si>
    <t>ID20-1433</t>
  </si>
  <si>
    <t>Pink Cats</t>
  </si>
  <si>
    <t>PP000909;PF004367</t>
  </si>
  <si>
    <t>AMAZON,BLK01,CSNSTORES,KOHLDSN,MACY02</t>
  </si>
  <si>
    <t>26991463-000-000</t>
  </si>
  <si>
    <t>BR73-3753</t>
  </si>
  <si>
    <t>Nuage</t>
  </si>
  <si>
    <t>Cotton Tencel Blend Antimicrobial 6 Piece Towel Set</t>
  </si>
  <si>
    <t>PP001792;PF005772</t>
  </si>
  <si>
    <t>11/22/2022</t>
  </si>
  <si>
    <t>40822610-000-000</t>
  </si>
  <si>
    <t>11/28/2022</t>
  </si>
  <si>
    <t>5/15/2023</t>
  </si>
  <si>
    <t>BR73-3750</t>
  </si>
  <si>
    <t>PP001792;PF005769</t>
  </si>
  <si>
    <t>AMAZONDS,CSNSTORES,HDDS,JCPENNEY01,KOHLDSN,MACY02,OLLIIX,TGTDVS,ZOLA</t>
  </si>
  <si>
    <t>40822610-000-004</t>
  </si>
  <si>
    <t>6/8/2023</t>
  </si>
  <si>
    <t>LCN73-0129</t>
  </si>
  <si>
    <t>Nurture</t>
  </si>
  <si>
    <t>Sustainable Antimicrobial Bath Towel 6 Piece Set</t>
  </si>
  <si>
    <t>PP001624;PF005450</t>
  </si>
  <si>
    <t>9/6/2021</t>
  </si>
  <si>
    <t>BLK01,JCPENNEY01,KOHLDSN,MACY02,OLLIIX,TGTDVS,ZOLA</t>
  </si>
  <si>
    <t>38820878-000-002</t>
  </si>
  <si>
    <t>9/14/2021</t>
  </si>
  <si>
    <t>5DS13-0290</t>
  </si>
  <si>
    <t>Bedspread</t>
  </si>
  <si>
    <t>Oakley</t>
  </si>
  <si>
    <t>Hayley</t>
  </si>
  <si>
    <t>Glen</t>
  </si>
  <si>
    <t>3 Piece Reversible Bedspread Set</t>
  </si>
  <si>
    <t>PP000972;PF006115</t>
  </si>
  <si>
    <t>2/6/2024</t>
  </si>
  <si>
    <t>28324813-000-006</t>
  </si>
  <si>
    <t>5DS13-0292</t>
  </si>
  <si>
    <t>PP000972;PF006116</t>
  </si>
  <si>
    <t>28324813-000-008</t>
  </si>
  <si>
    <t>5DS13-0293</t>
  </si>
  <si>
    <t>28324813-000-009</t>
  </si>
  <si>
    <t>II104-0210</t>
  </si>
  <si>
    <t>Bar Stool</t>
  </si>
  <si>
    <t>Oaktown</t>
  </si>
  <si>
    <t>Backless Bar Stool with Swivel Seat</t>
  </si>
  <si>
    <t>PP000580</t>
  </si>
  <si>
    <t>Industrial</t>
  </si>
  <si>
    <t>1/20/2018</t>
  </si>
  <si>
    <t>AMERSIGNDS,CSNSTORES,KOHLDSN,OLLIIX,ROOMECOM</t>
  </si>
  <si>
    <t>25917092-000-000</t>
  </si>
  <si>
    <t>2/7/2018</t>
  </si>
  <si>
    <t>MP95C-0062</t>
  </si>
  <si>
    <t>Ocean Seashells</t>
  </si>
  <si>
    <t>4-piece Framed Canvas Wall Art Set</t>
  </si>
  <si>
    <t>PF001950</t>
  </si>
  <si>
    <t>AMAZON,AMAZONDS,AMERSIGNDS,CSNSTORES,DESINC,KIRKLANDDS,KOHLDSN,LAMPDS,LOWESDS,OLLIIX,TGTDVS</t>
  </si>
  <si>
    <t>19308172-000-000</t>
  </si>
  <si>
    <t>MP50-3509</t>
  </si>
  <si>
    <t>Ogee</t>
  </si>
  <si>
    <t>Oversized Throw</t>
  </si>
  <si>
    <t>PF003637;PP000475</t>
  </si>
  <si>
    <t>AMAZON,AMAZONDS,CSNSTORES,FINGERHUTDS,HSNDS,JCPENNEY01,KOHLDSN,MACY02,TGTDVS</t>
  </si>
  <si>
    <t>17690739-000-006</t>
  </si>
  <si>
    <t>MP50-1728</t>
  </si>
  <si>
    <t>PF003632;PP000475</t>
  </si>
  <si>
    <t>AMAZON,AMAZONDS,ASHFURNDS,BLK01,FINGERHUTDS,JCPENNEY01,KOHLDSN,MACY02,OLLIIX,TGTDVS,Zulily</t>
  </si>
  <si>
    <t>17690739-000-000</t>
  </si>
  <si>
    <t>11/16/2015</t>
  </si>
  <si>
    <t>ID10-166</t>
  </si>
  <si>
    <t>Olivia</t>
  </si>
  <si>
    <t>Ashley</t>
  </si>
  <si>
    <t>Skye</t>
  </si>
  <si>
    <t>Floral Comforter Set</t>
  </si>
  <si>
    <t>PF001605;PP000477</t>
  </si>
  <si>
    <t>AMAZON,BLK01,DESINC,HDDS,JCPENNEY01,KIRKLANDDS,KOHLDSN,MACY02,NRTPORT,TGTDVS</t>
  </si>
  <si>
    <t>16406442-000-000</t>
  </si>
  <si>
    <t>6/26/2015</t>
  </si>
  <si>
    <t>MP73-7473</t>
  </si>
  <si>
    <t>Organic</t>
  </si>
  <si>
    <t>6 Piece Organic Cotton Towel Set</t>
  </si>
  <si>
    <t>PP001101</t>
  </si>
  <si>
    <t>6/8/2021</t>
  </si>
  <si>
    <t>9/16/2024</t>
  </si>
  <si>
    <t>24266794-000-008</t>
  </si>
  <si>
    <t>6/12/2021</t>
  </si>
  <si>
    <t>7/3/2021</t>
  </si>
  <si>
    <t>MP73-5138</t>
  </si>
  <si>
    <t>AMAZON,AMAZONDS,BEALLSDS,BLK01,CSNSTORES,HDDS,JCPENNEY01,KOHLDSN,MACY02,OLLIIX,TGTDVS,WALMARTDS,ZOLA</t>
  </si>
  <si>
    <t>24266794-000-001</t>
  </si>
  <si>
    <t>11/23/2017</t>
  </si>
  <si>
    <t>MP73-6182</t>
  </si>
  <si>
    <t>3/30/2019</t>
  </si>
  <si>
    <t>AMAZONDS,BLK01,JCPENNEY01,KOHLDSN,OLLIIX,TGTDVS</t>
  </si>
  <si>
    <t>24266794-000-006</t>
  </si>
  <si>
    <t>5/10/2019</t>
  </si>
  <si>
    <t>5/21/2019</t>
  </si>
  <si>
    <t>5DS13-0032</t>
  </si>
  <si>
    <t>Otto</t>
  </si>
  <si>
    <t>Nash</t>
  </si>
  <si>
    <t>Trace</t>
  </si>
  <si>
    <t>3 Piece Reversible Quilt Set</t>
  </si>
  <si>
    <t>PF004288;PP000894</t>
  </si>
  <si>
    <t>Farm House|Transitional</t>
  </si>
  <si>
    <t>11/8/2024</t>
  </si>
  <si>
    <t>BIGLOTSDS,BLK01,CSNSTORES,JCPENNEY01,KIRKLANDDS,KOHLDSN,MACY02,OLLIIX,TGTDVS,WALMARTDS</t>
  </si>
  <si>
    <t>26132655-000-000</t>
  </si>
  <si>
    <t>5/7/2018</t>
  </si>
  <si>
    <t>BR20-1859</t>
  </si>
  <si>
    <t>Oversized Cotton Flannel</t>
  </si>
  <si>
    <t>4 Piece Sheet Set</t>
  </si>
  <si>
    <t>Beige Windowpane</t>
  </si>
  <si>
    <t>PP001510;PF005125</t>
  </si>
  <si>
    <t>BLK01,JCPENNEY01,MACY02,OLLIIX,TGTDVS</t>
  </si>
  <si>
    <t>36614943-000-013</t>
  </si>
  <si>
    <t>BR20-4171</t>
  </si>
  <si>
    <t>Beige/White Stripes</t>
  </si>
  <si>
    <t>PP001510;PF006052</t>
  </si>
  <si>
    <t>36614943-000-025</t>
  </si>
  <si>
    <t>BR20-4172</t>
  </si>
  <si>
    <t>36614943-000-024</t>
  </si>
  <si>
    <t>BR20-4173</t>
  </si>
  <si>
    <t>36614943-000-028</t>
  </si>
  <si>
    <t>BR20-4174</t>
  </si>
  <si>
    <t>36614943-000-027</t>
  </si>
  <si>
    <t>BR20-1863</t>
  </si>
  <si>
    <t>Grey Petals</t>
  </si>
  <si>
    <t>PP001510;PF005127</t>
  </si>
  <si>
    <t>CSNSTORES,JCPENNEY01,KOHLDSN,MACY02,NORDSTRACKDS</t>
  </si>
  <si>
    <t>36614943-000-010</t>
  </si>
  <si>
    <t>2/21/2021</t>
  </si>
  <si>
    <t>BR20-1853</t>
  </si>
  <si>
    <t>Grey Windowpane</t>
  </si>
  <si>
    <t>PP001510;PF005123</t>
  </si>
  <si>
    <t>BLK01,CSNSTORES,FINGERHUTDS,JCPENNEY01,KOHLDSN,MACY02,NORDSTRACKDS,OLLIIX,TGTDVS</t>
  </si>
  <si>
    <t>36614943-000-003</t>
  </si>
  <si>
    <t>9/21/2020</t>
  </si>
  <si>
    <t>BR20-1854</t>
  </si>
  <si>
    <t>AMAZONDS,JCPENNEY01,MACY02,TGTDVS</t>
  </si>
  <si>
    <t>36614943-000-018</t>
  </si>
  <si>
    <t>10/27/2020</t>
  </si>
  <si>
    <t>BR20-1855</t>
  </si>
  <si>
    <t>36614943-000-009</t>
  </si>
  <si>
    <t>BR20-1851</t>
  </si>
  <si>
    <t>PP001510;PF005126</t>
  </si>
  <si>
    <t>AMAZONDS,KOHLDSN,MACY02,TGTDVS</t>
  </si>
  <si>
    <t>36614943-000-002</t>
  </si>
  <si>
    <t>1/18/2021</t>
  </si>
  <si>
    <t>BR20-1846</t>
  </si>
  <si>
    <t>Seafoam Solid</t>
  </si>
  <si>
    <t>PP001510;PF005124</t>
  </si>
  <si>
    <t>AMAZONDS,BLK01,KOHLDSN,MACY02,TGTDVS</t>
  </si>
  <si>
    <t>36614943-000-007</t>
  </si>
  <si>
    <t>BR20-1847</t>
  </si>
  <si>
    <t>AMAZONDS,CSNSTORES,MACY02,NORDSTRACKDS</t>
  </si>
  <si>
    <t>36614943-000-021</t>
  </si>
  <si>
    <t>12/11/2020</t>
  </si>
  <si>
    <t>BR20-4167</t>
  </si>
  <si>
    <t>White Tossed Botanical</t>
  </si>
  <si>
    <t>PP001510;PF006051</t>
  </si>
  <si>
    <t>36614943-000-031</t>
  </si>
  <si>
    <t>BR20-4168</t>
  </si>
  <si>
    <t>36614943-000-030</t>
  </si>
  <si>
    <t>BR20-4169</t>
  </si>
  <si>
    <t>36614943-000-029</t>
  </si>
  <si>
    <t>9/25/2023</t>
  </si>
  <si>
    <t>BR20-4170</t>
  </si>
  <si>
    <t>36614943-000-026</t>
  </si>
  <si>
    <t>10/4/2023</t>
  </si>
  <si>
    <t>FPF18-0219</t>
  </si>
  <si>
    <t>Oxford</t>
  </si>
  <si>
    <t>Nathan</t>
  </si>
  <si>
    <t>Mid-Century Accent Chair</t>
  </si>
  <si>
    <t>Burnt Orange</t>
  </si>
  <si>
    <t>PF000651;PP000226</t>
  </si>
  <si>
    <t>ASHFURNDS,CASTLEGATE,CSNSTORES,HDDS,LAMPDS,MACY02F,OLLIIX,ROOMECOM</t>
  </si>
  <si>
    <t>16977709-000-002</t>
  </si>
  <si>
    <t>3/11/2015</t>
  </si>
  <si>
    <t>FPF18-0217</t>
  </si>
  <si>
    <t>PF000649;PP000226</t>
  </si>
  <si>
    <t>16977709-000-000</t>
  </si>
  <si>
    <t>2/20/2015</t>
  </si>
  <si>
    <t>MP100-1048</t>
  </si>
  <si>
    <t>Sand</t>
  </si>
  <si>
    <t>10/8/2020</t>
  </si>
  <si>
    <t>20822208-000-001</t>
  </si>
  <si>
    <t>10/18/2020</t>
  </si>
  <si>
    <t>II154-0091</t>
  </si>
  <si>
    <t>Pacific</t>
  </si>
  <si>
    <t>Metal Tripod Floor Lamp with Glass Shade</t>
  </si>
  <si>
    <t>CSNSTORES,HOUZZ,KIRKLANDDS,KOHLDSN,OLLIIX,TGTDVS</t>
  </si>
  <si>
    <t>17626799-000-001</t>
  </si>
  <si>
    <t>9/7/2018</t>
  </si>
  <si>
    <t>MP100-0441</t>
  </si>
  <si>
    <t>Palmer</t>
  </si>
  <si>
    <t>Nicoli</t>
  </si>
  <si>
    <t>Flint</t>
  </si>
  <si>
    <t>PF001083</t>
  </si>
  <si>
    <t>7/26/2017</t>
  </si>
  <si>
    <t>23224680-000-000</t>
  </si>
  <si>
    <t>7/21/2017</t>
  </si>
  <si>
    <t>BASI50-0426</t>
  </si>
  <si>
    <t>Parker</t>
  </si>
  <si>
    <t>Williams</t>
  </si>
  <si>
    <t>Oversized Plush Down Alternative Filled Throw</t>
  </si>
  <si>
    <t>PF002129;PP000483</t>
  </si>
  <si>
    <t>BLK01,CSNSTORES,JCPENNEY01,KOHLDSN,MACY02,OLLIIX,TGTDVS,WALMARTDS</t>
  </si>
  <si>
    <t>19195715-000-000</t>
  </si>
  <si>
    <t>8/9/2016</t>
  </si>
  <si>
    <t>BASI50-0429</t>
  </si>
  <si>
    <t>PF002132</t>
  </si>
  <si>
    <t>19195715-000-003</t>
  </si>
  <si>
    <t>8/23/2016</t>
  </si>
  <si>
    <t>BASI50-0428</t>
  </si>
  <si>
    <t>PF002131;PP000483</t>
  </si>
  <si>
    <t>19195715-000-002</t>
  </si>
  <si>
    <t>12/7/2016</t>
  </si>
  <si>
    <t>MP120-1065</t>
  </si>
  <si>
    <t>Console Table</t>
  </si>
  <si>
    <t>Avalon</t>
  </si>
  <si>
    <t>Avenu</t>
  </si>
  <si>
    <t>Console</t>
  </si>
  <si>
    <t>Off-White/Natural</t>
  </si>
  <si>
    <t>AMAZONDS,ASHFURNDS,CSNSTORES,OLLIIX,ROOMECOM,Zulily</t>
  </si>
  <si>
    <t>31023983-000-001</t>
  </si>
  <si>
    <t>12/29/2020</t>
  </si>
  <si>
    <t>MPE10-826</t>
  </si>
  <si>
    <t>Parkston</t>
  </si>
  <si>
    <t>Hartford</t>
  </si>
  <si>
    <t>3M Scotchgard Down Alternative All Season Comforter Set</t>
  </si>
  <si>
    <t>PF004814;PP001340</t>
  </si>
  <si>
    <t>16339273-000-005</t>
  </si>
  <si>
    <t>10/24/2019</t>
  </si>
  <si>
    <t>MPE10-599</t>
  </si>
  <si>
    <t>PF002084</t>
  </si>
  <si>
    <t>8/25/2017</t>
  </si>
  <si>
    <t>AMAZON,AMAZONDS,BLK01,CSNSTORES,FINGERHUTDS,HSNDS,JCPENNEY01,KOHLDSN,MACY02,NRTPORT,TGTDVS</t>
  </si>
  <si>
    <t>23718199-000-001</t>
  </si>
  <si>
    <t>MPE10-600</t>
  </si>
  <si>
    <t>AMAZON,AMAZONDS,BLK01,CSNSTORES,HSNDS,JCPENNEY01,KOHLDSN,MACY02,TGTDVS</t>
  </si>
  <si>
    <t>23718199-000-002</t>
  </si>
  <si>
    <t>II95B-0159</t>
  </si>
  <si>
    <t>Paths Collide</t>
  </si>
  <si>
    <t>Textured Framed Carved Resin Dimensional Wall Décor</t>
  </si>
  <si>
    <t>43051392-000-000</t>
  </si>
  <si>
    <t>5DS100-0035</t>
  </si>
  <si>
    <t>Chair</t>
  </si>
  <si>
    <t>Paula</t>
  </si>
  <si>
    <t>Slipcover Accent Armchair</t>
  </si>
  <si>
    <t>Declined</t>
  </si>
  <si>
    <t>MP20-5390</t>
  </si>
  <si>
    <t>Peached Percale</t>
  </si>
  <si>
    <t>200 Thread Count Relaxed Cotton Percale Sheet Set</t>
  </si>
  <si>
    <t>PF004090</t>
  </si>
  <si>
    <t>3/23/2018</t>
  </si>
  <si>
    <t>BLK01,CSNSTORES,FINGERHUTDS,JCPENNEY01,KOHLDSN,MACY02,OLLIIX,TGTDVS,Zulily</t>
  </si>
  <si>
    <t>26575275-000-016</t>
  </si>
  <si>
    <t>4/9/2018</t>
  </si>
  <si>
    <t>MP20-5380</t>
  </si>
  <si>
    <t>PF004088</t>
  </si>
  <si>
    <t>BLK01,JCPENNEY01,KOHLDSN,MACY02,OLLIIX,Zulily</t>
  </si>
  <si>
    <t>26575275-000-026</t>
  </si>
  <si>
    <t>MP20-5398</t>
  </si>
  <si>
    <t>PF004091</t>
  </si>
  <si>
    <t>26575275-000-003</t>
  </si>
  <si>
    <t>6/11/2018</t>
  </si>
  <si>
    <t>MP20-5382</t>
  </si>
  <si>
    <t>PF004089</t>
  </si>
  <si>
    <t>26575275-000-005</t>
  </si>
  <si>
    <t>MP20-5386</t>
  </si>
  <si>
    <t>26575275-000-012</t>
  </si>
  <si>
    <t>MP20-5399</t>
  </si>
  <si>
    <t>PF004092</t>
  </si>
  <si>
    <t>JCPENNEY01,KOHLDSN,MACY02,OLLIIX,TGTDVS,Zulily</t>
  </si>
  <si>
    <t>26575275-000-022</t>
  </si>
  <si>
    <t>MP20-5404</t>
  </si>
  <si>
    <t>26575275-000-015</t>
  </si>
  <si>
    <t>MP10-2706</t>
  </si>
  <si>
    <t>Pebble Beach</t>
  </si>
  <si>
    <t>Pacific Grove</t>
  </si>
  <si>
    <t>Ocean View</t>
  </si>
  <si>
    <t>7 Piece Cotton Sateen Comforter Set</t>
  </si>
  <si>
    <t>PF002758;PP000484</t>
  </si>
  <si>
    <t>Transitional|Casual</t>
  </si>
  <si>
    <t>AMAZON,AMAZONDS,BEALLSDS,BLK01,CSNSTORES,JCPENNEY01,KOHLDSN,MACY02,OLLIIX</t>
  </si>
  <si>
    <t>18524319-000-002</t>
  </si>
  <si>
    <t>ID95C-0045</t>
  </si>
  <si>
    <t>Pet Portrait</t>
  </si>
  <si>
    <t>Captain's Guard Pug Framed Canvas Wall Art</t>
  </si>
  <si>
    <t>Captain Pug</t>
  </si>
  <si>
    <t>42721568-000-006</t>
  </si>
  <si>
    <t>ID95C-0047</t>
  </si>
  <si>
    <t>King Charles Spaniel III Framed Canvas Wall Art</t>
  </si>
  <si>
    <t>King Charles Spaniel III</t>
  </si>
  <si>
    <t>42721568-000-002</t>
  </si>
  <si>
    <t>ID95C-0046</t>
  </si>
  <si>
    <t>Kitty Queen Charlotte Framed Canvas Wall Art</t>
  </si>
  <si>
    <t>Kitty Queen Charlotte</t>
  </si>
  <si>
    <t>42721568-000-003</t>
  </si>
  <si>
    <t>ID95C-0042</t>
  </si>
  <si>
    <t>Kitty Queen Belle Framed Canvas Wall Art</t>
  </si>
  <si>
    <t>Queen Belle</t>
  </si>
  <si>
    <t>42721568-000-005</t>
  </si>
  <si>
    <t>ID95C-0044</t>
  </si>
  <si>
    <t>Bridger Kitty Framed Canvas Wall Art</t>
  </si>
  <si>
    <t>Queen Bridger</t>
  </si>
  <si>
    <t>AMAZON,OLLIIX,TGTDVS</t>
  </si>
  <si>
    <t>42721568-000-000</t>
  </si>
  <si>
    <t>ID95C-0043</t>
  </si>
  <si>
    <t>Rosie the Feline Framed Canvas Wall Art</t>
  </si>
  <si>
    <t>Rosie Feline</t>
  </si>
  <si>
    <t>CSNSTORES,MACY02,OLLIIX,TGTDVS</t>
  </si>
  <si>
    <t>42721568-000-004</t>
  </si>
  <si>
    <t>ID10-2201</t>
  </si>
  <si>
    <t>Pike</t>
  </si>
  <si>
    <t>Carter</t>
  </si>
  <si>
    <t>Plaid Reversible Comforter Set</t>
  </si>
  <si>
    <t>White/Gray</t>
  </si>
  <si>
    <t>PF005618</t>
  </si>
  <si>
    <t>12/19/2022</t>
  </si>
  <si>
    <t>AMAZON,AMAZONDS,CSNSTORES,DESINC,JCPENNEY01,KOHLDSN,OLLIIX,TGTDVS</t>
  </si>
  <si>
    <t>39297866-000-002</t>
  </si>
  <si>
    <t>1/4/2023</t>
  </si>
  <si>
    <t>7/4/2023</t>
  </si>
  <si>
    <t>CSP10-1485</t>
  </si>
  <si>
    <t>6/9/2021</t>
  </si>
  <si>
    <t>AMAZON,CSNSTORES,DESINC,JCPENNEY01,KIRKLANDDS,KOHLDSN,TGTDVS</t>
  </si>
  <si>
    <t>39297866-000-000</t>
  </si>
  <si>
    <t>11/30/2021</t>
  </si>
  <si>
    <t>3/14/2022</t>
  </si>
  <si>
    <t>BR73-2439</t>
  </si>
  <si>
    <t>Plume</t>
  </si>
  <si>
    <t>100% Cotton Feather Touch Antimicrobial Towel 6 Piece Set</t>
  </si>
  <si>
    <t>PP001590;PF005340</t>
  </si>
  <si>
    <t>AMAZONDS,DESINC,JCPENNEY01,MACY02,NORDSTRACKDS,TGTDVS,ZOLA</t>
  </si>
  <si>
    <t>37965788-000-004</t>
  </si>
  <si>
    <t>BR73-2436</t>
  </si>
  <si>
    <t>PP001590;PF005337</t>
  </si>
  <si>
    <t>AMAZON,CSNSTORES,JCPENNEY01,KOHLDSN,MACY02,TGTDVS,ZOLA</t>
  </si>
  <si>
    <t>37965788-000-005</t>
  </si>
  <si>
    <t>2/1/2022</t>
  </si>
  <si>
    <t>BR73-4070</t>
  </si>
  <si>
    <t>PP001590;PF005957</t>
  </si>
  <si>
    <t>6/27/2023</t>
  </si>
  <si>
    <t>AMAZON,CSNSTORES,KOHLDSN,MACY02,TGTDVS,ZOLA</t>
  </si>
  <si>
    <t>Unproductive</t>
  </si>
  <si>
    <t>ST54-0126</t>
  </si>
  <si>
    <t>Plush Heated</t>
  </si>
  <si>
    <t>6/25/2021</t>
  </si>
  <si>
    <t>37390124-000-021</t>
  </si>
  <si>
    <t>8/11/2021</t>
  </si>
  <si>
    <t>ST54-0091</t>
  </si>
  <si>
    <t>FINGERHUTDS,JCPENNEY01,KOHLDSN,MACY02,WALMARTDS</t>
  </si>
  <si>
    <t>37390124-000-003</t>
  </si>
  <si>
    <t>MZ20-500</t>
  </si>
  <si>
    <t>Polka Dot</t>
  </si>
  <si>
    <t>Printed 100% Cotton Sheet Set</t>
  </si>
  <si>
    <t>Dark Pink</t>
  </si>
  <si>
    <t>PF001573</t>
  </si>
  <si>
    <t>AMAZON,AMAZONDS,CSNSTORES,KOHLDSN,MACY02,TGTDVS</t>
  </si>
  <si>
    <t>18525726-000-016</t>
  </si>
  <si>
    <t>10/7/2016</t>
  </si>
  <si>
    <t>MZ20-417</t>
  </si>
  <si>
    <t>PF001570</t>
  </si>
  <si>
    <t>AMAZON,CSNSTORES,HSNDS,KOHLDSN,MACY02,TGTDVS</t>
  </si>
  <si>
    <t>18525726-000-008</t>
  </si>
  <si>
    <t>MZ20-496</t>
  </si>
  <si>
    <t>PF001572</t>
  </si>
  <si>
    <t>18525726-000-012</t>
  </si>
  <si>
    <t>11/11/2016</t>
  </si>
  <si>
    <t>MZ20-497</t>
  </si>
  <si>
    <t>AMAZON,BLK01,CSNSTORES,HDDS,KOHLDSN,MACY02</t>
  </si>
  <si>
    <t>18525726-000-013</t>
  </si>
  <si>
    <t>11/16/2016</t>
  </si>
  <si>
    <t>MZ20-498</t>
  </si>
  <si>
    <t>AMAZON,CSNSTORES,HSNDS,KOHLDSN,MACY02,OLLIIX,TGTDVS,Zulily</t>
  </si>
  <si>
    <t>18525726-000-014</t>
  </si>
  <si>
    <t>11/18/2016</t>
  </si>
  <si>
    <t>5DS10-0282</t>
  </si>
  <si>
    <t>Powell</t>
  </si>
  <si>
    <t>Kingwood</t>
  </si>
  <si>
    <t>Elmore</t>
  </si>
  <si>
    <t>8 Piece Embroidered Comforter Set</t>
  </si>
  <si>
    <t>PP001776;PF005724</t>
  </si>
  <si>
    <t>7/12/2022</t>
  </si>
  <si>
    <t>AMAZONDS,CSNSTORES,FINGERHUTDS,JCPENNEY01,KOHLDSN,MACY02,NRTPORT,OLLIIX,TGTDVS,Zulily</t>
  </si>
  <si>
    <t>40161063-000-005</t>
  </si>
  <si>
    <t>7/15/2022</t>
  </si>
  <si>
    <t>10/27/2022</t>
  </si>
  <si>
    <t>MP10-8359</t>
  </si>
  <si>
    <t>Prairie</t>
  </si>
  <si>
    <t>Pampa</t>
  </si>
  <si>
    <t>Savanna</t>
  </si>
  <si>
    <t>PP001918;PF006128</t>
  </si>
  <si>
    <t>BLK01,CSNSTORES,JCPENNEY01,OLLIIX</t>
  </si>
  <si>
    <t>43474617-000-000</t>
  </si>
  <si>
    <t>MP10-8360</t>
  </si>
  <si>
    <t>43474617-000-001</t>
  </si>
  <si>
    <t>2/19/2024</t>
  </si>
  <si>
    <t>MZ12-0646</t>
  </si>
  <si>
    <t>Primrose</t>
  </si>
  <si>
    <t>Talia</t>
  </si>
  <si>
    <t>Evie</t>
  </si>
  <si>
    <t>Ombre Shaggy Faux Fur Duvet Cover Set</t>
  </si>
  <si>
    <t>Purple Multi</t>
  </si>
  <si>
    <t>PF005829</t>
  </si>
  <si>
    <t>1/11/2024</t>
  </si>
  <si>
    <t>43642762-000-000</t>
  </si>
  <si>
    <t>3/3/2024</t>
  </si>
  <si>
    <t>MZ12-0647</t>
  </si>
  <si>
    <t>43642762-000-001</t>
  </si>
  <si>
    <t>MP13-4341</t>
  </si>
  <si>
    <t>Princeton</t>
  </si>
  <si>
    <t>Dartmouth</t>
  </si>
  <si>
    <t>Cambridge</t>
  </si>
  <si>
    <t>5 Piece Reversible Jacquard Bedspread Set</t>
  </si>
  <si>
    <t>PF003392</t>
  </si>
  <si>
    <t>AMAZON,AMAZONDS,BLK01,CSNSTORES,JCPENNEY01,KOHLDSN,MACY02,OLLIIX,TGTDVS,WALMARTDS,Zulily</t>
  </si>
  <si>
    <t>22267846-000-001</t>
  </si>
  <si>
    <t>5/15/2017</t>
  </si>
  <si>
    <t>ID20-2218</t>
  </si>
  <si>
    <t>Printed Microfiber</t>
  </si>
  <si>
    <t>Black Floral</t>
  </si>
  <si>
    <t>PP001852;PF005930</t>
  </si>
  <si>
    <t>3/2/2023</t>
  </si>
  <si>
    <t>42128527-000-006</t>
  </si>
  <si>
    <t>ID20-2220</t>
  </si>
  <si>
    <t>AMAZON,AMAZONDS,CSNSTORES,JCPENNEY01,KOHLDSN,MACY02,NRTPORT,TGTDVS</t>
  </si>
  <si>
    <t>42128527-000-002</t>
  </si>
  <si>
    <t>ID20-2222</t>
  </si>
  <si>
    <t>Blue Chevron</t>
  </si>
  <si>
    <t>PP001852;PF005931</t>
  </si>
  <si>
    <t>42128527-000-004</t>
  </si>
  <si>
    <t>ID20-2223</t>
  </si>
  <si>
    <t>42128527-000-000</t>
  </si>
  <si>
    <t>ID20-2224</t>
  </si>
  <si>
    <t>42128527-000-007</t>
  </si>
  <si>
    <t>4/30/2024</t>
  </si>
  <si>
    <t>ID20-2225</t>
  </si>
  <si>
    <t>42128527-000-001</t>
  </si>
  <si>
    <t>1/30/2024</t>
  </si>
  <si>
    <t>MPE20-1025</t>
  </si>
  <si>
    <t>Printed Satin</t>
  </si>
  <si>
    <t>Blue Marble</t>
  </si>
  <si>
    <t>PP001851;PF006096</t>
  </si>
  <si>
    <t>Satin</t>
  </si>
  <si>
    <t>42672831-000-008</t>
  </si>
  <si>
    <t>MPE20-1027</t>
  </si>
  <si>
    <t>AMAZON,JCPENNEY01,KOHLDSN,OLLIIX,TGTDVS</t>
  </si>
  <si>
    <t>42672831-000-010</t>
  </si>
  <si>
    <t>MPE20-1028</t>
  </si>
  <si>
    <t>42672831-000-011</t>
  </si>
  <si>
    <t>MPE20-999</t>
  </si>
  <si>
    <t>Gray Leopard</t>
  </si>
  <si>
    <t>PP001851;PF005928</t>
  </si>
  <si>
    <t>3/1/2023</t>
  </si>
  <si>
    <t>42672831-000-004</t>
  </si>
  <si>
    <t>9/26/2023</t>
  </si>
  <si>
    <t>MPE20-1000</t>
  </si>
  <si>
    <t>AMAZON,AMAZONDS,CSNSTORES,JCPENNEY01,KIRKLANDDS,KOHLDSN,MACY02,NRTPORT,TGTDVS</t>
  </si>
  <si>
    <t>42672831-000-006</t>
  </si>
  <si>
    <t>MPE20-1001</t>
  </si>
  <si>
    <t>AMAZON,AMAZONDS,BLK01,CSNSTORES,HDDS,JCPENNEY01,KIRKLANDDS,KOHLDSN,MACY02,NRTPORT,TGTDVS</t>
  </si>
  <si>
    <t>42672831-000-007</t>
  </si>
  <si>
    <t>MPE20-992</t>
  </si>
  <si>
    <t>Taupe Leopard</t>
  </si>
  <si>
    <t>PP001851;PF005927</t>
  </si>
  <si>
    <t>42672831-000-002</t>
  </si>
  <si>
    <t>MPE20-993</t>
  </si>
  <si>
    <t>42672831-000-000</t>
  </si>
  <si>
    <t>MPE20-994</t>
  </si>
  <si>
    <t>42672831-000-003</t>
  </si>
  <si>
    <t>MP13-367</t>
  </si>
  <si>
    <t>Quebec</t>
  </si>
  <si>
    <t>Mansfield</t>
  </si>
  <si>
    <t>Vancouver</t>
  </si>
  <si>
    <t>Reversible Quilt Set</t>
  </si>
  <si>
    <t>PF002475;PP000488</t>
  </si>
  <si>
    <t>AMAZON,AMAZONDS,BLK01,CSNSTORES,HDDS,JCPENNEY01,KOHLDSN,MACY02,NRTPORT,OLLIIX,TGTDVS</t>
  </si>
  <si>
    <t>13673545-000-011</t>
  </si>
  <si>
    <t>MP13-4972</t>
  </si>
  <si>
    <t>PF002402</t>
  </si>
  <si>
    <t>8/23/2017</t>
  </si>
  <si>
    <t>AMAZON,AMAZONDS,BLK01,CSNSTORES,HDDS,JCPENNEY01,KOHLDSN,MACY02,OLLIIX,TGTDVS</t>
  </si>
  <si>
    <t>13673545-000-026</t>
  </si>
  <si>
    <t>MP100-1054</t>
  </si>
  <si>
    <t>Qwen</t>
  </si>
  <si>
    <t>Elle</t>
  </si>
  <si>
    <t>Cassie</t>
  </si>
  <si>
    <t>Button Tufted Accent Chair</t>
  </si>
  <si>
    <t>Spice</t>
  </si>
  <si>
    <t>10/29/2020</t>
  </si>
  <si>
    <t>ASHFURNDS,CSNSTORES,KOHLDSN,MACY02F,OLLIIX</t>
  </si>
  <si>
    <t>18677251-000-002</t>
  </si>
  <si>
    <t>11/16/2020</t>
  </si>
  <si>
    <t>ID70-1291</t>
  </si>
  <si>
    <t>Raina</t>
  </si>
  <si>
    <t>Arielle</t>
  </si>
  <si>
    <t>Printed Metallic Shower Curtain</t>
  </si>
  <si>
    <t>Aqua/Silver</t>
  </si>
  <si>
    <t>PF001694;PP000896</t>
  </si>
  <si>
    <t>7/19/2017</t>
  </si>
  <si>
    <t>CSNSTORES,HDDS,HOUZZ,JCPENNEY01,KOHLDSN,MACY02,OLLIIX,TGTDVS,WALMARTDS</t>
  </si>
  <si>
    <t>23394858-000-000</t>
  </si>
  <si>
    <t>8/7/2017</t>
  </si>
  <si>
    <t>ID12-1393</t>
  </si>
  <si>
    <t>Metallic Printed Duvet Cover Set</t>
  </si>
  <si>
    <t>PF004172</t>
  </si>
  <si>
    <t>26059446-000-012</t>
  </si>
  <si>
    <t>2/13/2018</t>
  </si>
  <si>
    <t>3/2/2018</t>
  </si>
  <si>
    <t>ID40-1807</t>
  </si>
  <si>
    <t>Total Blackout Metallic Print Grommet Top Curtain Panel</t>
  </si>
  <si>
    <t>White/Silver</t>
  </si>
  <si>
    <t>PP000896;PF004928</t>
  </si>
  <si>
    <t>9/19/2019</t>
  </si>
  <si>
    <t>AMAZON,CSNSTORES,DESINC,HDDS,JCPENNEY01,KOHLDSN,TGTDVS</t>
  </si>
  <si>
    <t>26317608-000-009</t>
  </si>
  <si>
    <t>BASI30-0526</t>
  </si>
  <si>
    <t>Pillow Insert</t>
  </si>
  <si>
    <t>Rayon from Bamboo</t>
  </si>
  <si>
    <t>Shredded Memory Foam Pillow with Rayon from Bamboo Blend Cover</t>
  </si>
  <si>
    <t>Body Pillow</t>
  </si>
  <si>
    <t>PP000941</t>
  </si>
  <si>
    <t>Classic</t>
  </si>
  <si>
    <t>4/13/2018</t>
  </si>
  <si>
    <t>BLK01,JCPENNEY01,KOHLDSN,MACY02,NRTPORT,OLLIIX,TGTDVS,ZOLA</t>
  </si>
  <si>
    <t>26942078-000-000</t>
  </si>
  <si>
    <t>3/26/2019</t>
  </si>
  <si>
    <t>MP12-8373</t>
  </si>
  <si>
    <t>Nico</t>
  </si>
  <si>
    <t>Toby</t>
  </si>
  <si>
    <t>3 Piece Stripe Duvet Cover Set</t>
  </si>
  <si>
    <t>Grey/Multi</t>
  </si>
  <si>
    <t>PP001920;PF006135</t>
  </si>
  <si>
    <t>2/16/2024</t>
  </si>
  <si>
    <t>43642763-000-001</t>
  </si>
  <si>
    <t>MP10-8372</t>
  </si>
  <si>
    <t>4 Piece Stripe Comforter Set with Throw Pillow</t>
  </si>
  <si>
    <t>2/17/2024</t>
  </si>
  <si>
    <t>AMAZON,AMAZONDS,JCPENNEY01,KOHLDSN,OLLIIX,TGTDVS</t>
  </si>
  <si>
    <t>43626574-000-000</t>
  </si>
  <si>
    <t>MP12-8374</t>
  </si>
  <si>
    <t>43642763-000-000</t>
  </si>
  <si>
    <t>MP12-4672</t>
  </si>
  <si>
    <t>Ridge</t>
  </si>
  <si>
    <t>Pioneer</t>
  </si>
  <si>
    <t>Warren</t>
  </si>
  <si>
    <t>6 Piece Herringbone Duvet Cover Set</t>
  </si>
  <si>
    <t>9/6/2017</t>
  </si>
  <si>
    <t>23443926-000-000</t>
  </si>
  <si>
    <t>8/10/2017</t>
  </si>
  <si>
    <t>ID10-2430</t>
  </si>
  <si>
    <t>Robbie</t>
  </si>
  <si>
    <t>Roger</t>
  </si>
  <si>
    <t>Rick</t>
  </si>
  <si>
    <t>Plaid Comforter Set with Bed Sheets</t>
  </si>
  <si>
    <t>Teal/Black</t>
  </si>
  <si>
    <t>PP001972;PF006282</t>
  </si>
  <si>
    <t>AMAZON,TGTDVS</t>
  </si>
  <si>
    <t>22967950-000-007</t>
  </si>
  <si>
    <t>ID10-2431</t>
  </si>
  <si>
    <t>AMAZON,AMAZONDS,TGTDVS</t>
  </si>
  <si>
    <t>22967950-000-006</t>
  </si>
  <si>
    <t>II95C-0061</t>
  </si>
  <si>
    <t>Rolling Waves</t>
  </si>
  <si>
    <t>Triptych 3-piece Canvas Wall Art Set</t>
  </si>
  <si>
    <t>PF001917</t>
  </si>
  <si>
    <t>AMERSIGNDS,ASHFURNDS,HDDS,KIRKLANDDS,MACY02,OLLIIX,ROOMECOM,TGTDVS</t>
  </si>
  <si>
    <t>18800513-000-000</t>
  </si>
  <si>
    <t>6/6/2016</t>
  </si>
  <si>
    <t>MZ10-0653</t>
  </si>
  <si>
    <t>Rosalie</t>
  </si>
  <si>
    <t>Jenna</t>
  </si>
  <si>
    <t>Audrey</t>
  </si>
  <si>
    <t>Metallic Printed Plush Comforter Set with Throw Pillow</t>
  </si>
  <si>
    <t>Black/Gold</t>
  </si>
  <si>
    <t>PP000980;PF006273</t>
  </si>
  <si>
    <t>7/4/2024</t>
  </si>
  <si>
    <t>28695320-000-008</t>
  </si>
  <si>
    <t>7/13/2024</t>
  </si>
  <si>
    <t>MZ10-0650</t>
  </si>
  <si>
    <t>White/Gold</t>
  </si>
  <si>
    <t>PP000980;PF006272</t>
  </si>
  <si>
    <t>7/2/2024</t>
  </si>
  <si>
    <t>28695320-000-007</t>
  </si>
  <si>
    <t>MZ10-0651</t>
  </si>
  <si>
    <t>28695320-000-006</t>
  </si>
  <si>
    <t>MP40-5647</t>
  </si>
  <si>
    <t>Rosette</t>
  </si>
  <si>
    <t>Florah</t>
  </si>
  <si>
    <t>Bloom</t>
  </si>
  <si>
    <t>Floral Embellished Cuff Tab Top Solid Curtain Panel</t>
  </si>
  <si>
    <t>PP000857;PF004200</t>
  </si>
  <si>
    <t>AMAZON,BLK01,JCPENNEY01,KOHLDSN,OLLIIX</t>
  </si>
  <si>
    <t>26441688-000-003</t>
  </si>
  <si>
    <t>3/16/2018</t>
  </si>
  <si>
    <t>3/26/2018</t>
  </si>
  <si>
    <t>MP40-5652</t>
  </si>
  <si>
    <t>PP000857;PF004201</t>
  </si>
  <si>
    <t>3/20/2018</t>
  </si>
  <si>
    <t>AMAZON,ASHFURNDS,BLK01,CSNSTORES,HDDS,JCPENNEY01,KOHLDSN,MACY02,TGTDVS</t>
  </si>
  <si>
    <t>26441688-000-008</t>
  </si>
  <si>
    <t>MP40-6831</t>
  </si>
  <si>
    <t>PP000857;PF004966</t>
  </si>
  <si>
    <t>AMAZONDS,ASHFURNDS,CSNSTORES,JCPENNEY01,KOHLDSN,OLLIIX,TGTDVS,Zulily</t>
  </si>
  <si>
    <t>26441688-000-010</t>
  </si>
  <si>
    <t>11/29/2019</t>
  </si>
  <si>
    <t>1/14/2020</t>
  </si>
  <si>
    <t>MP40-5644</t>
  </si>
  <si>
    <t>PP000857;PF004199</t>
  </si>
  <si>
    <t>26441688-000-000</t>
  </si>
  <si>
    <t>MP95B-0296</t>
  </si>
  <si>
    <t>Rossi</t>
  </si>
  <si>
    <t>Jax</t>
  </si>
  <si>
    <t>Textured Feather 3-piece Metal Disc Wall Decor Set</t>
  </si>
  <si>
    <t>PP001773</t>
  </si>
  <si>
    <t>11/3/2024</t>
  </si>
  <si>
    <t>AMAZONDS,CSNSTORES,JCPENNEY01,KIRKLANDDS,KOHLDSN,LAMPDS,OLLIIX,TGTDVS,Zulily</t>
  </si>
  <si>
    <t>22457691-000-002</t>
  </si>
  <si>
    <t>6/9/2022</t>
  </si>
  <si>
    <t>UH10-2480</t>
  </si>
  <si>
    <t>Rowan</t>
  </si>
  <si>
    <t>Cillian</t>
  </si>
  <si>
    <t>Kylar</t>
  </si>
  <si>
    <t>Striped Clipped Jacquard Comforter Set</t>
  </si>
  <si>
    <t>PP001906;PF006077</t>
  </si>
  <si>
    <t>43251733-000-000</t>
  </si>
  <si>
    <t>12/24/2023</t>
  </si>
  <si>
    <t>UH12-2483</t>
  </si>
  <si>
    <t>Striped Clipped Jacquard Duvet Cover Set</t>
  </si>
  <si>
    <t>43251734-000-002</t>
  </si>
  <si>
    <t>6/25/2024</t>
  </si>
  <si>
    <t>UH12-2484</t>
  </si>
  <si>
    <t>43251734-000-001</t>
  </si>
  <si>
    <t>MP50-8272</t>
  </si>
  <si>
    <t>Waffle Knit Chenille Throw</t>
  </si>
  <si>
    <t>PP001876;PF005987</t>
  </si>
  <si>
    <t>BLK01,KOHLDSN,OLLIIX,TGTDVS</t>
  </si>
  <si>
    <t>42657468-000-000</t>
  </si>
  <si>
    <t>9/18/2023</t>
  </si>
  <si>
    <t>UH10-2485</t>
  </si>
  <si>
    <t>PP001906;PF006078</t>
  </si>
  <si>
    <t>43251733-000-005</t>
  </si>
  <si>
    <t>7/7/2024</t>
  </si>
  <si>
    <t>UH12-2488</t>
  </si>
  <si>
    <t>43251734-000-000</t>
  </si>
  <si>
    <t>1/17/2024</t>
  </si>
  <si>
    <t>UH10-2487</t>
  </si>
  <si>
    <t>CSNSTORES,JCPENNEY01,KOHLDSN,MACY02,NRTPORT,OLLIIX,TGTDVS</t>
  </si>
  <si>
    <t>43251733-000-002</t>
  </si>
  <si>
    <t>MP50-8269</t>
  </si>
  <si>
    <t>PP001876;PF005984</t>
  </si>
  <si>
    <t>9/13/2023</t>
  </si>
  <si>
    <t>42657468-000-001</t>
  </si>
  <si>
    <t>MPE10-167</t>
  </si>
  <si>
    <t>Saben</t>
  </si>
  <si>
    <t>Barret</t>
  </si>
  <si>
    <t>Seth</t>
  </si>
  <si>
    <t>9 Piece Comforter Set with Cotton Bed Sheets</t>
  </si>
  <si>
    <t>PF003676;PP000497</t>
  </si>
  <si>
    <t>AMAZON,CSNSTORES,FINGERHUTDS,KOHLDSN</t>
  </si>
  <si>
    <t>18100355-000-004</t>
  </si>
  <si>
    <t>1/13/2016</t>
  </si>
  <si>
    <t>MP40-1284</t>
  </si>
  <si>
    <t>Saratoga</t>
  </si>
  <si>
    <t>Westmont</t>
  </si>
  <si>
    <t>Sereno</t>
  </si>
  <si>
    <t>Fretwork Print Grommet Top Window Curtain Panel</t>
  </si>
  <si>
    <t>PF003997;PP000501</t>
  </si>
  <si>
    <t>AMAZON,AMAZONDS,CSNSTORES,DESINC,JCPENNEY01,KOHLDSN,WALMARTDS</t>
  </si>
  <si>
    <t>16667967-000-002</t>
  </si>
  <si>
    <t>MP40-2404</t>
  </si>
  <si>
    <t>Seafoam/White</t>
  </si>
  <si>
    <t>PF004002;PP000501</t>
  </si>
  <si>
    <t>16667967-000-031</t>
  </si>
  <si>
    <t>6/29/2016</t>
  </si>
  <si>
    <t>II100-0078</t>
  </si>
  <si>
    <t>Scott</t>
  </si>
  <si>
    <t>Cream/Morrocco</t>
  </si>
  <si>
    <t>PF000836</t>
  </si>
  <si>
    <t>ASHFURNDS,CSNSTORES,MACY02F,OLLIIX</t>
  </si>
  <si>
    <t>21236710-000-000</t>
  </si>
  <si>
    <t>3/23/2017</t>
  </si>
  <si>
    <t>MP95C-0146A</t>
  </si>
  <si>
    <t>Seascape</t>
  </si>
  <si>
    <t>PP000790</t>
  </si>
  <si>
    <t>AMAZON,AMAZONDS,BEALLSDS,DESINC,KIRKLANDDS,KOHLDSN,LAMPDS,OLLIIX,ROOMECOM,TGTDVS</t>
  </si>
  <si>
    <t>25658387-000-000</t>
  </si>
  <si>
    <t>1/12/2018</t>
  </si>
  <si>
    <t>MP10-3451</t>
  </si>
  <si>
    <t>Serene</t>
  </si>
  <si>
    <t>Belle</t>
  </si>
  <si>
    <t>Monroe</t>
  </si>
  <si>
    <t>Embroidered 7 Piece Comforter Set</t>
  </si>
  <si>
    <t>PF003404;PP000505</t>
  </si>
  <si>
    <t>Traditional|Casual</t>
  </si>
  <si>
    <t>AMAZON,AMAZONDS,BLK01,CSNSTORES,JCPENNEY01,KOHLDSN,MACY02,NRTPORT</t>
  </si>
  <si>
    <t>19461714-000-002</t>
  </si>
  <si>
    <t>MP10-309</t>
  </si>
  <si>
    <t>PF003399;PP000505</t>
  </si>
  <si>
    <t>AMAZON,BLK01,CSNSTORES,JCPENNEY01,KOHLDSN,MACY02,TGTDVS</t>
  </si>
  <si>
    <t>14605961-000-002</t>
  </si>
  <si>
    <t>MP40-5478</t>
  </si>
  <si>
    <t>Embroidered Curtain Panel</t>
  </si>
  <si>
    <t>PF003405;PP000505</t>
  </si>
  <si>
    <t>1/3/2018</t>
  </si>
  <si>
    <t>AMAZON,AMAZONDS,BIGLOTSDS,BLK01,CSNSTORES,JCPENNEY01,KOHLDSN,OLLIIX,TGTDVS,WALMARTDS</t>
  </si>
  <si>
    <t>17226346-000-006</t>
  </si>
  <si>
    <t>FUR105-0052</t>
  </si>
  <si>
    <t>Shandra</t>
  </si>
  <si>
    <t>Sasha</t>
  </si>
  <si>
    <t>Selah</t>
  </si>
  <si>
    <t>Tufted Top Soft Close Storage Bench</t>
  </si>
  <si>
    <t>PF000819;PP000259</t>
  </si>
  <si>
    <t>5/9/2017</t>
  </si>
  <si>
    <t>AMERSIGNDS,ASHFURNDS,BLK01,CSNSTORES,HDDS,KIRKLANDDS,KOHLDSN,MACY02F,OLLIIX,ROOMECOM</t>
  </si>
  <si>
    <t>16689616-000-003</t>
  </si>
  <si>
    <t>12/20/2018</t>
  </si>
  <si>
    <t>1/7/2019</t>
  </si>
  <si>
    <t>II100-0267</t>
  </si>
  <si>
    <t>Shasta</t>
  </si>
  <si>
    <t>PP000646</t>
  </si>
  <si>
    <t>1/11/2018</t>
  </si>
  <si>
    <t>ASHFURNDS,CSNSTORES,HOUZZ,MACY02F,OLLIIX</t>
  </si>
  <si>
    <t>26315655-000-000</t>
  </si>
  <si>
    <t>3/5/2018</t>
  </si>
  <si>
    <t>4/3/2018</t>
  </si>
  <si>
    <t>TN54-0495</t>
  </si>
  <si>
    <t>Sherpa</t>
  </si>
  <si>
    <t>PP001893;PF006038</t>
  </si>
  <si>
    <t>42738933-000-011</t>
  </si>
  <si>
    <t>TN54-0498</t>
  </si>
  <si>
    <t>42738933-000-005</t>
  </si>
  <si>
    <t>11/9/2023</t>
  </si>
  <si>
    <t>TN54-0503</t>
  </si>
  <si>
    <t>PP001893;PF006040</t>
  </si>
  <si>
    <t>42738933-000-012</t>
  </si>
  <si>
    <t>TN54-0504</t>
  </si>
  <si>
    <t>BLK01,KOHLDSN,MACY02</t>
  </si>
  <si>
    <t>42738933-000-008</t>
  </si>
  <si>
    <t>TN54-0505</t>
  </si>
  <si>
    <t>KOHLDSN,MACY02</t>
  </si>
  <si>
    <t>42738933-000-007</t>
  </si>
  <si>
    <t>TN54-0506</t>
  </si>
  <si>
    <t>42738933-000-009</t>
  </si>
  <si>
    <t>TN54-0499</t>
  </si>
  <si>
    <t>PP001893;PF006039</t>
  </si>
  <si>
    <t>42738933-000-010</t>
  </si>
  <si>
    <t>TN54-0500</t>
  </si>
  <si>
    <t>42738933-000-000</t>
  </si>
  <si>
    <t>TN54-0492</t>
  </si>
  <si>
    <t>PP001893;PF006037</t>
  </si>
  <si>
    <t>CSNSTORES,KOHLDSN,MACY02</t>
  </si>
  <si>
    <t>42738933-000-013</t>
  </si>
  <si>
    <t>TN54-0493</t>
  </si>
  <si>
    <t>42738933-000-001</t>
  </si>
  <si>
    <t>TN54-0494</t>
  </si>
  <si>
    <t>BLK01,JCPENNEY01,KOHLDSN,MACY02</t>
  </si>
  <si>
    <t>42738933-000-003</t>
  </si>
  <si>
    <t>CC10-0017</t>
  </si>
  <si>
    <t>Signature</t>
  </si>
  <si>
    <t>Dobby Cotton Down Alternative Comforter</t>
  </si>
  <si>
    <t>42078396-000-001</t>
  </si>
  <si>
    <t>8/7/2023</t>
  </si>
  <si>
    <t>CC10-0018</t>
  </si>
  <si>
    <t>AMAZON,HDDS,JCPENNEY01,KOHLDSN,MACY02,OLLIIX</t>
  </si>
  <si>
    <t>42078396-000-000</t>
  </si>
  <si>
    <t>MP21-7480</t>
  </si>
  <si>
    <t>Silk</t>
  </si>
  <si>
    <t>100% Mulberry Single Pillowcase</t>
  </si>
  <si>
    <t>PP001555;PF005229</t>
  </si>
  <si>
    <t>6/21/2021</t>
  </si>
  <si>
    <t>36796333-000-010</t>
  </si>
  <si>
    <t>8/10/2021</t>
  </si>
  <si>
    <t>II120-0566</t>
  </si>
  <si>
    <t>Round Coffee Table with Shelf</t>
  </si>
  <si>
    <t>4/20/2024</t>
  </si>
  <si>
    <t>43921503-000-000</t>
  </si>
  <si>
    <t>SHET20-970</t>
  </si>
  <si>
    <t>Smart Cool Microfiber</t>
  </si>
  <si>
    <t>PF002218</t>
  </si>
  <si>
    <t>Coolmax</t>
  </si>
  <si>
    <t>4/13/2017</t>
  </si>
  <si>
    <t>BLK01,HDDS,JCPENNEY01,KOHLDSN,MACY02,NRTPORT,TGTDVS,WALMARTDS</t>
  </si>
  <si>
    <t>19599624-000-010</t>
  </si>
  <si>
    <t>9/25/2016</t>
  </si>
  <si>
    <t>5/16/2017</t>
  </si>
  <si>
    <t>SHET20-971</t>
  </si>
  <si>
    <t>BLK01,CSNSTORES,JCPENNEY01,KOHLDSN,MACY02,OLLIIX,TGTDVS,Zulily</t>
  </si>
  <si>
    <t>19599624-000-011</t>
  </si>
  <si>
    <t>2/24/2017</t>
  </si>
  <si>
    <t>SHET20-960</t>
  </si>
  <si>
    <t>PF002216</t>
  </si>
  <si>
    <t>AMAZON,AMAZONDS,BLK01,KOHLDSN,MACY02,TGTDVS,WALMARTDS</t>
  </si>
  <si>
    <t>19599624-000-000</t>
  </si>
  <si>
    <t>SHET20-961</t>
  </si>
  <si>
    <t>AMAZON,BLK01,CSNSTORES,HDDS,JCPENNEY01,KOHLDSN,MACY02,NRTPORT,TGTDVS,ZOLA</t>
  </si>
  <si>
    <t>19599624-000-001</t>
  </si>
  <si>
    <t>SHET20-962</t>
  </si>
  <si>
    <t>AMAZON,BLK01,HDDS,JCPENNEY01,KOHLDSN,MACY02,NRTPORT,OLLIIX,TGTDVS,ZOLA</t>
  </si>
  <si>
    <t>19599624-000-002</t>
  </si>
  <si>
    <t>SHET20-976</t>
  </si>
  <si>
    <t>PF002219</t>
  </si>
  <si>
    <t>19599624-000-016</t>
  </si>
  <si>
    <t>11/14/2016</t>
  </si>
  <si>
    <t>SHET20-965</t>
  </si>
  <si>
    <t>PF002217</t>
  </si>
  <si>
    <t>KOHLDSN,MACY02,TGTDVS,Zulily</t>
  </si>
  <si>
    <t>19599624-000-005</t>
  </si>
  <si>
    <t>BL20-0604</t>
  </si>
  <si>
    <t>Soloft Plush</t>
  </si>
  <si>
    <t>Micro Plush Sheet Set</t>
  </si>
  <si>
    <t>PF001708</t>
  </si>
  <si>
    <t>13709538-000-014</t>
  </si>
  <si>
    <t>9/30/2015</t>
  </si>
  <si>
    <t>BL20-0453</t>
  </si>
  <si>
    <t>PF001697</t>
  </si>
  <si>
    <t>13709538-000-010</t>
  </si>
  <si>
    <t>BL20-0456</t>
  </si>
  <si>
    <t>AMAZON,AMAZONDS,CSNSTORES,DESINC,KOHLDSN,MACY02,NRTPORT,OLLIIX</t>
  </si>
  <si>
    <t>13709538-000-016</t>
  </si>
  <si>
    <t>BL20-0451</t>
  </si>
  <si>
    <t>PF001675</t>
  </si>
  <si>
    <t>4/6/2017</t>
  </si>
  <si>
    <t>8/22/2024</t>
  </si>
  <si>
    <t>AMAZON,AMAZONDS,BLK01,CSNSTORES,KOHLDSN,MACY02,NRTPORT,OLLIIX</t>
  </si>
  <si>
    <t>13709538-000-001</t>
  </si>
  <si>
    <t>2/11/2015</t>
  </si>
  <si>
    <t>BL20-0870</t>
  </si>
  <si>
    <t>PF001719</t>
  </si>
  <si>
    <t>13709538-000-019</t>
  </si>
  <si>
    <t>9/28/2016</t>
  </si>
  <si>
    <t>10/20/2016</t>
  </si>
  <si>
    <t>BL20-0445</t>
  </si>
  <si>
    <t>PF001663</t>
  </si>
  <si>
    <t>13709538-000-012</t>
  </si>
  <si>
    <t>II100-0324</t>
  </si>
  <si>
    <t>Sonia</t>
  </si>
  <si>
    <t>Camel</t>
  </si>
  <si>
    <t>ASHFURNDS,CSNSTORES,HDDS,HOUZZ,KOHLDSN,MACY02F,OLLIIX,ROOMECOM</t>
  </si>
  <si>
    <t>27118735-000-000</t>
  </si>
  <si>
    <t>II121-0311</t>
  </si>
  <si>
    <t>Sonoma</t>
  </si>
  <si>
    <t>Rectangle Dining Table</t>
  </si>
  <si>
    <t>AMERSIGNDS,CASTLEGATE,CSNSTORES,KIRKLANDDS,KOHLDSN,LAMPDS,OLLIIX,TGTDVS</t>
  </si>
  <si>
    <t>26801769-000-000</t>
  </si>
  <si>
    <t>7/20/2018</t>
  </si>
  <si>
    <t>II112-0447</t>
  </si>
  <si>
    <t>Reclaimed White</t>
  </si>
  <si>
    <t>CSNSTORES,KIRKLANDDS,OLLIIX</t>
  </si>
  <si>
    <t>26778501-000-001</t>
  </si>
  <si>
    <t>II108-0449</t>
  </si>
  <si>
    <t xml:space="preserve">Dining  Side Chair(Set of 2pcs)</t>
  </si>
  <si>
    <t>5/3/2021</t>
  </si>
  <si>
    <t>CSNSTORES,HDDS,KIRKLANDDS</t>
  </si>
  <si>
    <t>26779704-000-001</t>
  </si>
  <si>
    <t>7/16/2021</t>
  </si>
  <si>
    <t>ID40-1797</t>
  </si>
  <si>
    <t>Sophie</t>
  </si>
  <si>
    <t>Pom Pom Embellished Curtain Panel</t>
  </si>
  <si>
    <t>PF001530;PP001619</t>
  </si>
  <si>
    <t>9/10/2019</t>
  </si>
  <si>
    <t>AMAZON,AMAZONDS,HDDS,KIRKLANDDS,TGTDVS</t>
  </si>
  <si>
    <t>34389959-000-005</t>
  </si>
  <si>
    <t>11/5/2019</t>
  </si>
  <si>
    <t>ID40-1798</t>
  </si>
  <si>
    <t>AMAZON,AMAZONDS,ASHFURNDS,CSNSTORES,HDDS,KOHLDSN,MACY02,OLLIIX,TGTDVS</t>
  </si>
  <si>
    <t>34389959-000-004</t>
  </si>
  <si>
    <t>MP72-2490</t>
  </si>
  <si>
    <t>Spa Cotton</t>
  </si>
  <si>
    <t>Reversible Bath Rug</t>
  </si>
  <si>
    <t>24x72"</t>
  </si>
  <si>
    <t>PF001448;PP000510</t>
  </si>
  <si>
    <t>AMAZON,AMAZONDS,CSNSTORES,HDDS,JCPENNEY01,KIRKLANDDS,KOHLDSN,MACY02,TGTDVS</t>
  </si>
  <si>
    <t>17404250-000-008</t>
  </si>
  <si>
    <t>11/2/2016</t>
  </si>
  <si>
    <t>MP73-7179</t>
  </si>
  <si>
    <t>Spa Waffle</t>
  </si>
  <si>
    <t>Cotton Waffle Jacquard Antimicrobial Bath Towel 6 Piece Set</t>
  </si>
  <si>
    <t>PP000511</t>
  </si>
  <si>
    <t>8/20/2020</t>
  </si>
  <si>
    <t>AMAZON,AMAZONDS,BLK01,CSNSTORES,HDDS,JCPENNEY01,KIRKLANDDS,KOHLDSN,MACY02,OLLIIX,TGTDVS,ZOLA</t>
  </si>
  <si>
    <t>27555573-000-007</t>
  </si>
  <si>
    <t>9/9/2020</t>
  </si>
  <si>
    <t>MP73-5915</t>
  </si>
  <si>
    <t>AMAZON,BLK01,CSNSTORES,DESINC,HDDS,JCPENNEY01,KOHLDSN,MACY02,OLLIIX,TGTDVS,ZOLA</t>
  </si>
  <si>
    <t>27555573-000-002</t>
  </si>
  <si>
    <t>MP73-6220</t>
  </si>
  <si>
    <t>9/24/2024</t>
  </si>
  <si>
    <t>AMAZON,AMAZONDS,BLK01,CSNSTORES,JCPENNEY01,KOHLDSN,MACY02,TGTDVS,WALMARTDS,ZOLA</t>
  </si>
  <si>
    <t>27555573-000-005</t>
  </si>
  <si>
    <t>3/31/2019</t>
  </si>
  <si>
    <t>MP73-5912</t>
  </si>
  <si>
    <t>27555573-000-001</t>
  </si>
  <si>
    <t>MP73-5974</t>
  </si>
  <si>
    <t>AMAZON,AMAZONDS,BLK01,CSNSTORES,DESINC,HDDS,JCPENNEY01,KOHLDSN,MACY02,OLLIIX,TGTDVS,ZOLA</t>
  </si>
  <si>
    <t>27555573-000-003</t>
  </si>
  <si>
    <t>10/29/2018</t>
  </si>
  <si>
    <t>MP95G-0324</t>
  </si>
  <si>
    <t>Sparkling Sea</t>
  </si>
  <si>
    <t>Framed Glass and Single Matted Abstract Landscape Coastal Wall Art</t>
  </si>
  <si>
    <t>AMAZON,AMAZONDS,KOHLDSN,MACY02,OLLIIX,TGTDVS</t>
  </si>
  <si>
    <t>42762477-000-000</t>
  </si>
  <si>
    <t>MP21-8301</t>
  </si>
  <si>
    <t>Stay Puffed</t>
  </si>
  <si>
    <t>Overfilled Pillow Protector Single Piece</t>
  </si>
  <si>
    <t>PP001903;PF006070</t>
  </si>
  <si>
    <t>42656856-000-000</t>
  </si>
  <si>
    <t>MP21-8300</t>
  </si>
  <si>
    <t>42656856-000-001</t>
  </si>
  <si>
    <t>MP104-1212</t>
  </si>
  <si>
    <t>Stewart</t>
  </si>
  <si>
    <t>Monica</t>
  </si>
  <si>
    <t>Rachel</t>
  </si>
  <si>
    <t>Upholstered 360 Degree Swivel Counter Stool 25" H</t>
  </si>
  <si>
    <t>40968535-000-000</t>
  </si>
  <si>
    <t>II50-1031</t>
  </si>
  <si>
    <t>Stockholm</t>
  </si>
  <si>
    <t>Halmstad</t>
  </si>
  <si>
    <t>Color Block Faux Cashmere Throw</t>
  </si>
  <si>
    <t>PP000943</t>
  </si>
  <si>
    <t>6/27/2018</t>
  </si>
  <si>
    <t>17161563-000-003</t>
  </si>
  <si>
    <t>7/11/2018</t>
  </si>
  <si>
    <t>MPS95A-0023</t>
  </si>
  <si>
    <t>Alt. Graphics</t>
  </si>
  <si>
    <t>Sunburst</t>
  </si>
  <si>
    <t>Hand Painted Dimensional Resin Wall Art</t>
  </si>
  <si>
    <t>30x30"</t>
  </si>
  <si>
    <t>PF002029</t>
  </si>
  <si>
    <t>AMAZON,AMAZONDS,AMERSIGNDS,BLK01,CSNSTORES,HDDS,KIRKLANDDS,KOHLDSN,LAMPDS,OLLIIX,ROOMECOM,TGTDVS</t>
  </si>
  <si>
    <t>25582544-000-000</t>
  </si>
  <si>
    <t>1/26/2018</t>
  </si>
  <si>
    <t>MPS95B-0045</t>
  </si>
  <si>
    <t>Hand Painted Triptych 3-piece Dimensional Resin Wall Art Set</t>
  </si>
  <si>
    <t>40050368-000-001</t>
  </si>
  <si>
    <t>2/12/2024</t>
  </si>
  <si>
    <t>II136-0503</t>
  </si>
  <si>
    <t>Sunset Cliff</t>
  </si>
  <si>
    <t>1-Drawer Nightstand with Shelf</t>
  </si>
  <si>
    <t>MACY02F,OLLIIX</t>
  </si>
  <si>
    <t>41825221-000-000</t>
  </si>
  <si>
    <t>6/25/2023</t>
  </si>
  <si>
    <t>ID95C-0049</t>
  </si>
  <si>
    <t>Sunshine Animals</t>
  </si>
  <si>
    <t>Lamb Canvas Wall Art</t>
  </si>
  <si>
    <t>Lamb/Green Multi</t>
  </si>
  <si>
    <t>42721560-000-005</t>
  </si>
  <si>
    <t>HH12-1347</t>
  </si>
  <si>
    <t>Suzanna</t>
  </si>
  <si>
    <t>PF003327</t>
  </si>
  <si>
    <t>AMAZON,NRTPORT</t>
  </si>
  <si>
    <t>17626824-000-000</t>
  </si>
  <si>
    <t>11/13/2015</t>
  </si>
  <si>
    <t>II104-0251</t>
  </si>
  <si>
    <t>Tacoma</t>
  </si>
  <si>
    <t>24" Counter stool</t>
  </si>
  <si>
    <t>PP000055</t>
  </si>
  <si>
    <t>CSNSTORES,HDDS,OLLIIX,ROOMECOM</t>
  </si>
  <si>
    <t>26568496-000-000</t>
  </si>
  <si>
    <t>4/2/2018</t>
  </si>
  <si>
    <t>FPF20-0337</t>
  </si>
  <si>
    <t>PF000793;PP000055</t>
  </si>
  <si>
    <t>19902861-000-000</t>
  </si>
  <si>
    <t>MP100-1187</t>
  </si>
  <si>
    <t>Tage</t>
  </si>
  <si>
    <t>Bianca</t>
  </si>
  <si>
    <t>Marlee</t>
  </si>
  <si>
    <t>Upholstered Accent Armchair</t>
  </si>
  <si>
    <t>4/7/2023</t>
  </si>
  <si>
    <t>41353964-000-000</t>
  </si>
  <si>
    <t>5/26/2023</t>
  </si>
  <si>
    <t>II12-1314</t>
  </si>
  <si>
    <t>Tahli</t>
  </si>
  <si>
    <t>3 Piece Cotton Blend Chenille Duvet Cover Set</t>
  </si>
  <si>
    <t>PF006075</t>
  </si>
  <si>
    <t>43080747-000-001</t>
  </si>
  <si>
    <t>FPF18-0253</t>
  </si>
  <si>
    <t>Taylor</t>
  </si>
  <si>
    <t>Elsa</t>
  </si>
  <si>
    <t>Faith</t>
  </si>
  <si>
    <t>PF000677;PP000270</t>
  </si>
  <si>
    <t>CSNSTORES,HDDS,OLLIIX,ROOMECOM,ZOLA</t>
  </si>
  <si>
    <t>17880200-000-000</t>
  </si>
  <si>
    <t>12/1/2015</t>
  </si>
  <si>
    <t>IIF22-0039</t>
  </si>
  <si>
    <t>Topi</t>
  </si>
  <si>
    <t>Natural Wood Slice Mosaic Wall Decor</t>
  </si>
  <si>
    <t>PF000990;PP000059</t>
  </si>
  <si>
    <t>5/11/2017</t>
  </si>
  <si>
    <t>CSNSTORES,KOHLDSN,OLLIIX,ROOMECOM,TGTDVS</t>
  </si>
  <si>
    <t>19247050-000-000</t>
  </si>
  <si>
    <t>9/11/2016</t>
  </si>
  <si>
    <t>PET63CC6031</t>
  </si>
  <si>
    <t>Trucker</t>
  </si>
  <si>
    <t>Crate Cover</t>
  </si>
  <si>
    <t>43827766-000-001</t>
  </si>
  <si>
    <t>PET63CC6032</t>
  </si>
  <si>
    <t>43827766-000-002</t>
  </si>
  <si>
    <t>PET63CC6033</t>
  </si>
  <si>
    <t>43827766-000-000</t>
  </si>
  <si>
    <t>PET63CC6034</t>
  </si>
  <si>
    <t>43827766-000-003</t>
  </si>
  <si>
    <t>MP50-4302</t>
  </si>
  <si>
    <t>Tuscany</t>
  </si>
  <si>
    <t>Marino</t>
  </si>
  <si>
    <t>Genoa</t>
  </si>
  <si>
    <t>Oversized Quilted Throw with Scalloped Edges</t>
  </si>
  <si>
    <t>60x72"</t>
  </si>
  <si>
    <t>PF003553</t>
  </si>
  <si>
    <t>AMAZON,AMAZONDS,BLK01,CSNSTORES,HSNDS,KOHLDSN,MACY02,OLLIIX,TGTDVS,Zulily</t>
  </si>
  <si>
    <t>16643550-000-003</t>
  </si>
  <si>
    <t>3/7/2017</t>
  </si>
  <si>
    <t>3/27/2017</t>
  </si>
  <si>
    <t>MP103-0481</t>
  </si>
  <si>
    <t>Tyler</t>
  </si>
  <si>
    <t>Memo</t>
  </si>
  <si>
    <t>ASHFURNDS,CASTLEGATE,CSNSTORES,HDDS,KOHLDSN,MACY02F,OLLIIX</t>
  </si>
  <si>
    <t>22701114-000-005</t>
  </si>
  <si>
    <t>11/15/2017</t>
  </si>
  <si>
    <t>11/22/2017</t>
  </si>
  <si>
    <t>ID10-2339</t>
  </si>
  <si>
    <t>Velvet Dream Puff</t>
  </si>
  <si>
    <t>2 Piece Comforter Set</t>
  </si>
  <si>
    <t>PP001942;PF006190</t>
  </si>
  <si>
    <t>43800402-000-004</t>
  </si>
  <si>
    <t>4/7/2024</t>
  </si>
  <si>
    <t>ID10-2340</t>
  </si>
  <si>
    <t>3 Piece Comforter Set</t>
  </si>
  <si>
    <t>43800402-000-002</t>
  </si>
  <si>
    <t>ID10-2341</t>
  </si>
  <si>
    <t>43800402-000-003</t>
  </si>
  <si>
    <t>ID10-2336</t>
  </si>
  <si>
    <t>PP001942;PF006189</t>
  </si>
  <si>
    <t>43800402-000-007</t>
  </si>
  <si>
    <t>4/21/2024</t>
  </si>
  <si>
    <t>ID10-2338</t>
  </si>
  <si>
    <t>43800402-000-005</t>
  </si>
  <si>
    <t>ID10-2343</t>
  </si>
  <si>
    <t>PP001942;PF006191</t>
  </si>
  <si>
    <t>AMAZON,CSNSTORES,HDDS,JCPENNEY01,KOHLDSN,MACY02,TGTDVS</t>
  </si>
  <si>
    <t>43800402-000-000</t>
  </si>
  <si>
    <t>ID10-2344</t>
  </si>
  <si>
    <t>43800402-000-008</t>
  </si>
  <si>
    <t>SS40-0091</t>
  </si>
  <si>
    <t>Victorio</t>
  </si>
  <si>
    <t>Alastair</t>
  </si>
  <si>
    <t>Laurent</t>
  </si>
  <si>
    <t>Printed Jacquard Grommet Top Total Blackout Curtain Panel</t>
  </si>
  <si>
    <t>PP000999;PF004468</t>
  </si>
  <si>
    <t>29074578-000-003</t>
  </si>
  <si>
    <t>12/3/2018</t>
  </si>
  <si>
    <t>SS40-0092</t>
  </si>
  <si>
    <t>29074578-000-000</t>
  </si>
  <si>
    <t>1/29/2019</t>
  </si>
  <si>
    <t>MP13-7959</t>
  </si>
  <si>
    <t>Vienna</t>
  </si>
  <si>
    <t>Marcella</t>
  </si>
  <si>
    <t>Adela</t>
  </si>
  <si>
    <t>PP001783;PF005736</t>
  </si>
  <si>
    <t>Casual|Traditional</t>
  </si>
  <si>
    <t>8/15/2022</t>
  </si>
  <si>
    <t>BLK01,JCPENNEY01,KOHLDSN,MACY02,TGTDVS</t>
  </si>
  <si>
    <t>26144025-000-002</t>
  </si>
  <si>
    <t>8/24/2022</t>
  </si>
  <si>
    <t>10/2/2022</t>
  </si>
  <si>
    <t>MT95C-0035</t>
  </si>
  <si>
    <t>Vista</t>
  </si>
  <si>
    <t>Abstract Landscape 5-piece Gallery Canvas Wall Art Set</t>
  </si>
  <si>
    <t>PF005278</t>
  </si>
  <si>
    <t>11/20/2020</t>
  </si>
  <si>
    <t>AMAZON,AMAZONDS,CSNSTORES,JCPENNEY01,KIRKLANDDS,KOHLDSN,OLLIIX,ROOMECOM,TGTDVS,ZOLA</t>
  </si>
  <si>
    <t>37047531-000-000</t>
  </si>
  <si>
    <t>11/28/2020</t>
  </si>
  <si>
    <t>MP50-8255</t>
  </si>
  <si>
    <t>Vivienne</t>
  </si>
  <si>
    <t>Camille</t>
  </si>
  <si>
    <t>Faux Fur Throw</t>
  </si>
  <si>
    <t>PP001889;PF006020</t>
  </si>
  <si>
    <t>8/1/2023</t>
  </si>
  <si>
    <t>43349208-000-001</t>
  </si>
  <si>
    <t>MP10-7087</t>
  </si>
  <si>
    <t>Walter</t>
  </si>
  <si>
    <t>Clayton</t>
  </si>
  <si>
    <t>Kelan</t>
  </si>
  <si>
    <t>7 Piece Printed Seersucker Comforter Set</t>
  </si>
  <si>
    <t>PP001162;PF005033</t>
  </si>
  <si>
    <t>Transitional|Farm House</t>
  </si>
  <si>
    <t>1/15/2020</t>
  </si>
  <si>
    <t>AMAZONDS,BLK01,CSNSTORES,HOUZZ,JCPENNEY01,KOHLDSN,MACY02,NRTPORT,TGTDVS</t>
  </si>
  <si>
    <t>33195402-000-004</t>
  </si>
  <si>
    <t>1/27/2020</t>
  </si>
  <si>
    <t>MP13-3240</t>
  </si>
  <si>
    <t>Willa</t>
  </si>
  <si>
    <t>Felicity</t>
  </si>
  <si>
    <t>Loraine</t>
  </si>
  <si>
    <t>6 Piece Cotton Quilt Set with Throw Pillows</t>
  </si>
  <si>
    <t>PF002608;PP000533</t>
  </si>
  <si>
    <t>AMAZON,AMAZONDS,BEALLSDS,BLK01,CASTLEGATE,CSNSTORES,HDDS,JCPENNEY01,KOHLDSN,LAMPDS,MACY02,TGTDVS,WALMARTDS</t>
  </si>
  <si>
    <t>19156152-000-000</t>
  </si>
  <si>
    <t>MP13-3241</t>
  </si>
  <si>
    <t>AMAZON,BEALLSDS,BLK01,CASTLEGATE,CSNSTORES,JCPENNEY01,KOHLDSN,MACY02,OLLIIX,ROOMECOM,TGTDVS</t>
  </si>
  <si>
    <t>19156152-000-001</t>
  </si>
  <si>
    <t>CCL30-0036</t>
  </si>
  <si>
    <t>Winchester</t>
  </si>
  <si>
    <t>AMAZON,CSNSTORES,DLCROSCILL,JCPENNEY01,KOHLDSN,MACY02</t>
  </si>
  <si>
    <t>42067841-000-002</t>
  </si>
  <si>
    <t>CCL30-0035</t>
  </si>
  <si>
    <t>42067841-000-000</t>
  </si>
  <si>
    <t>MP51-5156</t>
  </si>
  <si>
    <t>Windom</t>
  </si>
  <si>
    <t>Prospect</t>
  </si>
  <si>
    <t>Lightweight Down Alternative Blanket with Satin Trim</t>
  </si>
  <si>
    <t>AMAZON,AMAZONDS,CSNSTORES,HDDS,JCPENNEY01,KOHLDSN,MACY02,OLLIIX,TGTDVS,WALMARTDS</t>
  </si>
  <si>
    <t>15910786-000-023</t>
  </si>
  <si>
    <t>11/17/2017</t>
  </si>
  <si>
    <t>CHM40-0025</t>
  </si>
  <si>
    <t>Croscill Home</t>
  </si>
  <si>
    <t>Winslow</t>
  </si>
  <si>
    <t>Floral Curtain Panel (Single)</t>
  </si>
  <si>
    <t>9/28/2022</t>
  </si>
  <si>
    <t>42036993-000-001</t>
  </si>
  <si>
    <t>CHM40-0023</t>
  </si>
  <si>
    <t>42036993-000-003</t>
  </si>
  <si>
    <t>CHM40-0022</t>
  </si>
  <si>
    <t>52x84"</t>
  </si>
  <si>
    <t>42036993-000-002</t>
  </si>
  <si>
    <t>WR10-1511</t>
  </si>
  <si>
    <t>Woodsman</t>
  </si>
  <si>
    <t>Softspun Down Alternative Comforter Mini Set</t>
  </si>
  <si>
    <t>PF002052</t>
  </si>
  <si>
    <t>Softspun</t>
  </si>
  <si>
    <t>17639206-000-000</t>
  </si>
  <si>
    <t>11/9/2015</t>
  </si>
  <si>
    <t>WR10-1512</t>
  </si>
  <si>
    <t>AMAZON,AMAZONDS,BLK01,CSNSTORES,KOHLDSN,MACY02,TGTDVS</t>
  </si>
  <si>
    <t>17639206-000-001</t>
  </si>
  <si>
    <t>BASI10-0291</t>
  </si>
  <si>
    <t>Year Round Warmth</t>
  </si>
  <si>
    <t>17651643-000-001</t>
  </si>
  <si>
    <t>11/12/2015</t>
  </si>
  <si>
    <t>BR54-0853</t>
  </si>
  <si>
    <t>Zuri</t>
  </si>
  <si>
    <t>Marselle</t>
  </si>
  <si>
    <t>Oversized Faux Fur Heated Throw</t>
  </si>
  <si>
    <t>50x70"</t>
  </si>
  <si>
    <t>PF003516</t>
  </si>
  <si>
    <t>AMAZON,ASHFURNDS,BIGLOTSDS,BLK01,CSNSTORES,FINGERHUTDS,JCPENNEY01,KOHLDSN,MACY02,OLLIIX,TGTDVS</t>
  </si>
  <si>
    <t>24157350-000-000</t>
  </si>
  <si>
    <t>10/3/2017</t>
  </si>
  <si>
    <t>MP30-1914</t>
  </si>
  <si>
    <t>PF002117;PP000539</t>
  </si>
  <si>
    <t>AMAZON,AMAZONDS,ASHFURNDS,FINGERHUTDS,JCPENNEY01,KOHLDSN,MACY02,OLLIIX,TGTDVS,WALMARTDS</t>
  </si>
  <si>
    <t>17690757-000-001</t>
  </si>
  <si>
    <t>11/3/2015</t>
  </si>
  <si>
    <t>MP50-1912</t>
  </si>
  <si>
    <t>Oversized Faux Fur Throw</t>
  </si>
  <si>
    <t>AMAZON,AMAZONDS,ASHFURNDS,BLK01,CSNSTORES,FINGERHUTDS,HSNDS,JCPENNEY01,KIRKLANDDS,KOHLDSN,MACY02,OLLIIX,TGTDVS,ZOLA</t>
  </si>
  <si>
    <t>17690761-000-001</t>
  </si>
  <si>
    <t>10/13/2015</t>
  </si>
  <si>
    <t>MP30-2831</t>
  </si>
  <si>
    <t>PF002118;PP000539</t>
  </si>
  <si>
    <t>AMAZON,AMAZONDS,BLK01,CSNSTORES,FINGERHUTDS,HOUZZ,JCPENNEY01,KIRKLANDDS,KOHLDSN,MACY02,OLLIIX,TGTDVS</t>
  </si>
  <si>
    <t>17690757-000-002</t>
  </si>
  <si>
    <t>MP50-2830</t>
  </si>
  <si>
    <t>AMAZON,AMAZONDS,BLK01,CSNSTORES,FINGERHUTDS,HOUZZ,HSNDS,JCPENNEY01,KIRKLANDDS,KOHLDSN,MACY02,OLLIIX,TGTDVS,ZOLA</t>
  </si>
  <si>
    <t>17690761-000-002</t>
  </si>
  <si>
    <t>MP50-6675</t>
  </si>
  <si>
    <t>Leopard</t>
  </si>
  <si>
    <t>PP000539;PF004889</t>
  </si>
  <si>
    <t>AMAZON,AMAZONDS,ASHFURNDS,BIGLOTSDS,BLK01,CSNSTORES,DESINC,FINGERHUTDS,HSNDS,JCPENNEY01,KIRKLANDDS,KOHLDSN,MACY02,NRTPORT,OLLIIX,TGTDVS</t>
  </si>
  <si>
    <t>17690761-000-006</t>
  </si>
  <si>
    <t>MP30-4814</t>
  </si>
  <si>
    <t>PF002119</t>
  </si>
  <si>
    <t>AMAZON,AMAZONDS,ASHFURNDS,FINGERHUTDS,JCPENNEY01,KIRKLANDDS,KOHLDSN,MACY02,TGTDVS,Zulily</t>
  </si>
  <si>
    <t>17690757-000-003</t>
  </si>
  <si>
    <t>MP30-6234</t>
  </si>
  <si>
    <t>Snow Leopard</t>
  </si>
  <si>
    <t>PP000539;PF004399</t>
  </si>
  <si>
    <t>6/17/2019</t>
  </si>
  <si>
    <t>AMAZONDS,ASHFURNDS,BLK01,JCPENNEY01,KIRKLANDDS,KOHLDSN,MACY02,OLLIIX,TGTDVS</t>
  </si>
  <si>
    <t>17690757-000-005</t>
  </si>
  <si>
    <t>7/26/2019</t>
  </si>
  <si>
    <t>8/15/2019</t>
  </si>
  <si>
    <t>MP50-6233</t>
  </si>
  <si>
    <t>6/16/2019</t>
  </si>
  <si>
    <t>AMAZON,AMAZONDS,ASHFURNDS,BIGLOTSDS,BLK01,CSNSTORES,FINGERHUTDS,JCPENNEY01,KOHLDSN,MACY02,NEBFUR01,OLLIIX,TGTDVS,ZOLA</t>
  </si>
  <si>
    <t>17690761-000-005</t>
  </si>
  <si>
    <t>7/10/2019</t>
  </si>
  <si>
    <t>8/2/2019</t>
  </si>
  <si>
    <t>MP50-1911</t>
  </si>
  <si>
    <t>PF002116;PP000539</t>
  </si>
  <si>
    <t>AMAZON,AMAZONDS,ASHFURNDS,CSNSTORES,FINGERHUTDS,JCPENNEY01,KIRKLANDDS,KOHLDSN,MACY02,OLLIIX,TGTDVS,ZOLA</t>
  </si>
  <si>
    <t>17690761-000-000</t>
  </si>
  <si>
    <t>10/14/2015</t>
  </si>
  <si>
    <t>MP50-7191</t>
  </si>
  <si>
    <t>PP000539;PF005111</t>
  </si>
  <si>
    <t>8/17/2020</t>
  </si>
  <si>
    <t>AMAZON,AMAZONDS,BLK01,CSNSTORES,HDDS,KIRKLANDDS,KOHLDSN,MACY02,OLLIIX,TGTDVS</t>
  </si>
  <si>
    <t>17690761-000-009</t>
  </si>
  <si>
    <t>8/24/2020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</si>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</sst>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GX105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18</v>
      </c>
      <c r="FA3" s="1" t="s">
        <v>18</v>
      </c>
      <c r="FB3" s="1" t="s">
        <v>18</v>
      </c>
      <c r="FC3" s="1" t="s">
        <v>18</v>
      </c>
      <c r="FD3" s="1" t="s">
        <v>18</v>
      </c>
      <c r="FE3" s="1" t="s">
        <v>18</v>
      </c>
      <c r="FF3" s="1" t="s">
        <v>18</v>
      </c>
      <c r="FG3" s="1" t="s">
        <v>18</v>
      </c>
      <c r="FH3" s="1" t="s">
        <v>18</v>
      </c>
      <c r="FI3" s="1" t="s">
        <v>18</v>
      </c>
      <c r="FJ3" s="1" t="s">
        <v>18</v>
      </c>
      <c r="FK3" s="1" t="s">
        <v>18</v>
      </c>
      <c r="FL3" s="1" t="s">
        <v>18</v>
      </c>
      <c r="FM3" s="1" t="s">
        <v>18</v>
      </c>
      <c r="FN3" s="1" t="s">
        <v>18</v>
      </c>
      <c r="FO3" s="1" t="s">
        <v>18</v>
      </c>
      <c r="FP3" s="1" t="s">
        <v>18</v>
      </c>
      <c r="FQ3" s="1" t="s">
        <v>18</v>
      </c>
      <c r="FR3" s="1" t="s">
        <v>18</v>
      </c>
      <c r="FS3" s="1" t="s">
        <v>18</v>
      </c>
      <c r="FT3" s="1" t="s">
        <v>18</v>
      </c>
      <c r="FU3" s="1" t="s">
        <v>18</v>
      </c>
      <c r="FV3" s="1" t="s">
        <v>18</v>
      </c>
      <c r="FW3" s="1" t="s">
        <v>18</v>
      </c>
      <c r="FX3" s="1" t="s">
        <v>18</v>
      </c>
      <c r="FY3" s="1" t="s">
        <v>18</v>
      </c>
      <c r="FZ3" s="1" t="s">
        <v>18</v>
      </c>
      <c r="GA3" s="1" t="s">
        <v>18</v>
      </c>
      <c r="GB3" s="1" t="s">
        <v>18</v>
      </c>
      <c r="GC3" s="1" t="s">
        <v>18</v>
      </c>
      <c r="GD3" s="1" t="s">
        <v>18</v>
      </c>
      <c r="GE3" s="1" t="s">
        <v>18</v>
      </c>
      <c r="GF3" s="1" t="s">
        <v>18</v>
      </c>
      <c r="GG3" s="1" t="s">
        <v>18</v>
      </c>
      <c r="GH3" s="1" t="s">
        <v>18</v>
      </c>
      <c r="GI3" s="1" t="s">
        <v>18</v>
      </c>
      <c r="GJ3" s="1" t="s">
        <v>18</v>
      </c>
      <c r="GK3" s="1" t="s">
        <v>18</v>
      </c>
      <c r="GL3" s="1" t="s">
        <v>18</v>
      </c>
      <c r="GM3" s="1" t="s">
        <v>18</v>
      </c>
      <c r="GN3" s="1" t="s">
        <v>18</v>
      </c>
      <c r="GO3" s="1" t="s">
        <v>18</v>
      </c>
      <c r="GP3" s="1" t="s">
        <v>18</v>
      </c>
      <c r="GQ3" s="1" t="s">
        <v>18</v>
      </c>
      <c r="GR3" s="1" t="s">
        <v>18</v>
      </c>
      <c r="GS3" s="1" t="s">
        <v>18</v>
      </c>
      <c r="GT3" s="1" t="s">
        <v>18</v>
      </c>
      <c r="GU3" s="1" t="s">
        <v>18</v>
      </c>
      <c r="GV3" s="1" t="s">
        <v>18</v>
      </c>
      <c r="GW3" s="1" t="s">
        <v>18</v>
      </c>
      <c r="GX3" s="1" t="s">
        <v>18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19</v>
      </c>
      <c r="Z4" s="1" t="s">
        <v>20</v>
      </c>
      <c r="AA4" s="1" t="s">
        <v>21</v>
      </c>
      <c r="AB4" s="1" t="s">
        <v>22</v>
      </c>
      <c r="AC4" s="1" t="s">
        <v>23</v>
      </c>
      <c r="AD4" s="1" t="s">
        <v>24</v>
      </c>
      <c r="AE4" s="1" t="s">
        <v>25</v>
      </c>
      <c r="AF4" s="1" t="s">
        <v>26</v>
      </c>
      <c r="AG4" s="1" t="s">
        <v>26</v>
      </c>
      <c r="AH4" s="1" t="s">
        <v>27</v>
      </c>
      <c r="AI4" s="1" t="s">
        <v>28</v>
      </c>
      <c r="AJ4" s="1" t="s">
        <v>29</v>
      </c>
      <c r="AK4" s="1" t="s">
        <v>30</v>
      </c>
      <c r="AL4" s="1" t="s">
        <v>31</v>
      </c>
      <c r="AM4" s="1" t="s">
        <v>32</v>
      </c>
      <c r="AN4" s="1" t="s">
        <v>33</v>
      </c>
      <c r="AO4" s="1" t="s">
        <v>34</v>
      </c>
      <c r="AP4" s="1" t="s">
        <v>35</v>
      </c>
      <c r="AQ4" s="1" t="s">
        <v>35</v>
      </c>
      <c r="AR4" s="1" t="s">
        <v>36</v>
      </c>
      <c r="AS4" s="1" t="s">
        <v>36</v>
      </c>
      <c r="AT4" s="1" t="s">
        <v>37</v>
      </c>
      <c r="AU4" s="1" t="s">
        <v>38</v>
      </c>
      <c r="AV4" s="1" t="s">
        <v>35</v>
      </c>
      <c r="AW4" s="1" t="s">
        <v>35</v>
      </c>
      <c r="AX4" s="1" t="s">
        <v>36</v>
      </c>
      <c r="AY4" s="1" t="s">
        <v>36</v>
      </c>
      <c r="AZ4" s="1" t="s">
        <v>39</v>
      </c>
      <c r="BA4" s="1" t="s">
        <v>40</v>
      </c>
      <c r="BB4" s="1" t="s">
        <v>41</v>
      </c>
      <c r="BC4" s="1" t="s">
        <v>35</v>
      </c>
      <c r="BD4" s="1" t="s">
        <v>35</v>
      </c>
      <c r="BE4" s="1" t="s">
        <v>36</v>
      </c>
      <c r="BF4" s="1" t="s">
        <v>36</v>
      </c>
      <c r="BG4" s="1" t="s">
        <v>42</v>
      </c>
      <c r="BH4" s="1" t="s">
        <v>43</v>
      </c>
      <c r="BI4" s="1" t="s">
        <v>44</v>
      </c>
      <c r="BJ4" s="1" t="s">
        <v>45</v>
      </c>
      <c r="BK4" s="1" t="s">
        <v>45</v>
      </c>
      <c r="BL4" s="1" t="s">
        <v>45</v>
      </c>
      <c r="BM4" s="1" t="s">
        <v>46</v>
      </c>
      <c r="BN4" s="1" t="s">
        <v>46</v>
      </c>
      <c r="BO4" s="1" t="s">
        <v>35</v>
      </c>
      <c r="BP4" s="1" t="s">
        <v>35</v>
      </c>
      <c r="BQ4" s="1" t="s">
        <v>36</v>
      </c>
      <c r="BR4" s="1" t="s">
        <v>36</v>
      </c>
      <c r="BS4" s="1" t="s">
        <v>37</v>
      </c>
      <c r="BT4" s="1" t="s">
        <v>38</v>
      </c>
      <c r="BU4" s="1" t="s">
        <v>47</v>
      </c>
      <c r="BV4" s="1" t="s">
        <v>48</v>
      </c>
      <c r="BW4" s="1" t="s">
        <v>49</v>
      </c>
      <c r="BX4" s="1" t="s">
        <v>50</v>
      </c>
      <c r="BY4" s="1" t="s">
        <v>51</v>
      </c>
      <c r="BZ4" s="1" t="s">
        <v>52</v>
      </c>
      <c r="CA4" s="1" t="s">
        <v>53</v>
      </c>
      <c r="CB4" s="1" t="s">
        <v>54</v>
      </c>
      <c r="CC4" s="1" t="s">
        <v>55</v>
      </c>
      <c r="CD4" s="1" t="s">
        <v>56</v>
      </c>
      <c r="CE4" s="1" t="s">
        <v>17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18</v>
      </c>
      <c r="CT4" s="1" t="s">
        <v>18</v>
      </c>
      <c r="CU4" s="1" t="s">
        <v>18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18</v>
      </c>
      <c r="FA4" s="1" t="s">
        <v>18</v>
      </c>
      <c r="FB4" s="1" t="s">
        <v>18</v>
      </c>
      <c r="FC4" s="1" t="s">
        <v>18</v>
      </c>
      <c r="FD4" s="1" t="s">
        <v>18</v>
      </c>
      <c r="FE4" s="1" t="s">
        <v>18</v>
      </c>
      <c r="FF4" s="1" t="s">
        <v>18</v>
      </c>
      <c r="FG4" s="1" t="s">
        <v>18</v>
      </c>
      <c r="FH4" s="1" t="s">
        <v>18</v>
      </c>
      <c r="FI4" s="1" t="s">
        <v>18</v>
      </c>
      <c r="FJ4" s="1" t="s">
        <v>18</v>
      </c>
      <c r="FK4" s="1" t="s">
        <v>18</v>
      </c>
      <c r="FL4" s="1" t="s">
        <v>18</v>
      </c>
      <c r="FM4" s="1" t="s">
        <v>18</v>
      </c>
      <c r="FN4" s="1" t="s">
        <v>18</v>
      </c>
      <c r="FO4" s="1" t="s">
        <v>18</v>
      </c>
      <c r="FP4" s="1" t="s">
        <v>18</v>
      </c>
      <c r="FQ4" s="1" t="s">
        <v>18</v>
      </c>
      <c r="FR4" s="1" t="s">
        <v>18</v>
      </c>
      <c r="FS4" s="1" t="s">
        <v>18</v>
      </c>
      <c r="FT4" s="1" t="s">
        <v>18</v>
      </c>
      <c r="FU4" s="1" t="s">
        <v>18</v>
      </c>
      <c r="FV4" s="1" t="s">
        <v>18</v>
      </c>
      <c r="FW4" s="1" t="s">
        <v>18</v>
      </c>
      <c r="FX4" s="1" t="s">
        <v>18</v>
      </c>
      <c r="FY4" s="1" t="s">
        <v>18</v>
      </c>
      <c r="FZ4" s="1" t="s">
        <v>18</v>
      </c>
      <c r="GA4" s="1" t="s">
        <v>18</v>
      </c>
      <c r="GB4" s="1" t="s">
        <v>18</v>
      </c>
      <c r="GC4" s="1" t="s">
        <v>18</v>
      </c>
      <c r="GD4" s="1" t="s">
        <v>18</v>
      </c>
      <c r="GE4" s="1" t="s">
        <v>18</v>
      </c>
      <c r="GF4" s="1" t="s">
        <v>18</v>
      </c>
      <c r="GG4" s="1" t="s">
        <v>18</v>
      </c>
      <c r="GH4" s="1" t="s">
        <v>18</v>
      </c>
      <c r="GI4" s="1" t="s">
        <v>18</v>
      </c>
      <c r="GJ4" s="1" t="s">
        <v>18</v>
      </c>
      <c r="GK4" s="1" t="s">
        <v>18</v>
      </c>
      <c r="GL4" s="1" t="s">
        <v>18</v>
      </c>
      <c r="GM4" s="1" t="s">
        <v>18</v>
      </c>
      <c r="GN4" s="1" t="s">
        <v>18</v>
      </c>
      <c r="GO4" s="1" t="s">
        <v>18</v>
      </c>
      <c r="GP4" s="1" t="s">
        <v>18</v>
      </c>
      <c r="GQ4" s="1" t="s">
        <v>18</v>
      </c>
      <c r="GR4" s="1" t="s">
        <v>18</v>
      </c>
      <c r="GS4" s="1" t="s">
        <v>18</v>
      </c>
      <c r="GT4" s="1" t="s">
        <v>18</v>
      </c>
      <c r="GU4" s="1" t="s">
        <v>18</v>
      </c>
      <c r="GV4" s="1" t="s">
        <v>18</v>
      </c>
      <c r="GW4" s="1" t="s">
        <v>18</v>
      </c>
      <c r="GX4" s="1" t="s">
        <v>18</v>
      </c>
    </row>
    <row r="5">
      <c r="A5" s="1" t="s">
        <v>57</v>
      </c>
      <c r="B5" s="1" t="s">
        <v>58</v>
      </c>
      <c r="C5" s="1" t="s">
        <v>59</v>
      </c>
      <c r="D5" s="1" t="s">
        <v>60</v>
      </c>
      <c r="E5" s="1" t="s">
        <v>61</v>
      </c>
      <c r="F5" s="1" t="s">
        <v>62</v>
      </c>
      <c r="G5" s="1" t="s">
        <v>63</v>
      </c>
      <c r="H5" s="1" t="s">
        <v>64</v>
      </c>
      <c r="I5" s="1" t="s">
        <v>65</v>
      </c>
      <c r="J5" s="1" t="s">
        <v>66</v>
      </c>
      <c r="K5" s="1" t="s">
        <v>67</v>
      </c>
      <c r="L5" s="1" t="s">
        <v>68</v>
      </c>
      <c r="M5" s="1" t="s">
        <v>69</v>
      </c>
      <c r="N5" s="1" t="s">
        <v>70</v>
      </c>
      <c r="O5" s="1" t="s">
        <v>71</v>
      </c>
      <c r="P5" s="1" t="s">
        <v>72</v>
      </c>
      <c r="Q5" s="1" t="s">
        <v>73</v>
      </c>
      <c r="R5" s="1" t="s">
        <v>74</v>
      </c>
      <c r="S5" s="1" t="s">
        <v>75</v>
      </c>
      <c r="T5" s="1" t="s">
        <v>76</v>
      </c>
      <c r="U5" s="1" t="s">
        <v>77</v>
      </c>
      <c r="V5" s="1" t="s">
        <v>78</v>
      </c>
      <c r="W5" s="1" t="s">
        <v>79</v>
      </c>
      <c r="X5" s="1" t="s">
        <v>80</v>
      </c>
      <c r="Y5" s="1" t="s">
        <v>19</v>
      </c>
      <c r="Z5" s="1" t="s">
        <v>20</v>
      </c>
      <c r="AA5" s="1" t="s">
        <v>21</v>
      </c>
      <c r="AB5" s="1" t="s">
        <v>22</v>
      </c>
      <c r="AC5" s="1" t="s">
        <v>23</v>
      </c>
      <c r="AD5" s="1" t="s">
        <v>24</v>
      </c>
      <c r="AE5" s="1" t="s">
        <v>25</v>
      </c>
      <c r="AF5" s="1" t="s">
        <v>81</v>
      </c>
      <c r="AG5" s="1" t="s">
        <v>82</v>
      </c>
      <c r="AH5" s="1" t="s">
        <v>27</v>
      </c>
      <c r="AI5" s="1" t="s">
        <v>28</v>
      </c>
      <c r="AJ5" s="1" t="s">
        <v>29</v>
      </c>
      <c r="AK5" s="1" t="s">
        <v>30</v>
      </c>
      <c r="AL5" s="1" t="s">
        <v>31</v>
      </c>
      <c r="AM5" s="1" t="s">
        <v>32</v>
      </c>
      <c r="AN5" s="1" t="s">
        <v>33</v>
      </c>
      <c r="AO5" s="1" t="s">
        <v>34</v>
      </c>
      <c r="AP5" s="1" t="s">
        <v>83</v>
      </c>
      <c r="AQ5" s="1" t="s">
        <v>84</v>
      </c>
      <c r="AR5" s="1" t="s">
        <v>83</v>
      </c>
      <c r="AS5" s="1" t="s">
        <v>84</v>
      </c>
      <c r="AT5" s="1" t="s">
        <v>37</v>
      </c>
      <c r="AU5" s="1" t="s">
        <v>38</v>
      </c>
      <c r="AV5" s="1" t="s">
        <v>85</v>
      </c>
      <c r="AW5" s="1" t="s">
        <v>86</v>
      </c>
      <c r="AX5" s="1" t="s">
        <v>85</v>
      </c>
      <c r="AY5" s="1" t="s">
        <v>86</v>
      </c>
      <c r="AZ5" s="1" t="s">
        <v>39</v>
      </c>
      <c r="BA5" s="1" t="s">
        <v>40</v>
      </c>
      <c r="BB5" s="1" t="s">
        <v>41</v>
      </c>
      <c r="BC5" s="1" t="s">
        <v>87</v>
      </c>
      <c r="BD5" s="1" t="s">
        <v>88</v>
      </c>
      <c r="BE5" s="1" t="s">
        <v>87</v>
      </c>
      <c r="BF5" s="1" t="s">
        <v>88</v>
      </c>
      <c r="BG5" s="1" t="s">
        <v>42</v>
      </c>
      <c r="BH5" s="1" t="s">
        <v>43</v>
      </c>
      <c r="BI5" s="1" t="s">
        <v>44</v>
      </c>
      <c r="BJ5" s="1" t="s">
        <v>83</v>
      </c>
      <c r="BK5" s="1" t="s">
        <v>84</v>
      </c>
      <c r="BL5" s="1" t="s">
        <v>89</v>
      </c>
      <c r="BM5" s="1" t="s">
        <v>83</v>
      </c>
      <c r="BN5" s="1" t="s">
        <v>84</v>
      </c>
      <c r="BO5" s="1" t="s">
        <v>90</v>
      </c>
      <c r="BP5" s="1" t="s">
        <v>91</v>
      </c>
      <c r="BQ5" s="1" t="s">
        <v>90</v>
      </c>
      <c r="BR5" s="1" t="s">
        <v>91</v>
      </c>
      <c r="BS5" s="1" t="s">
        <v>37</v>
      </c>
      <c r="BT5" s="1" t="s">
        <v>38</v>
      </c>
      <c r="BU5" s="1" t="s">
        <v>47</v>
      </c>
      <c r="BV5" s="1" t="s">
        <v>48</v>
      </c>
      <c r="BW5" s="1" t="s">
        <v>49</v>
      </c>
      <c r="BX5" s="1" t="s">
        <v>50</v>
      </c>
      <c r="BY5" s="1" t="s">
        <v>51</v>
      </c>
      <c r="BZ5" s="1" t="s">
        <v>52</v>
      </c>
      <c r="CA5" s="1" t="s">
        <v>53</v>
      </c>
      <c r="CB5" s="1" t="s">
        <v>54</v>
      </c>
      <c r="CC5" s="1" t="s">
        <v>55</v>
      </c>
      <c r="CD5" s="1" t="s">
        <v>56</v>
      </c>
      <c r="CE5" s="1" t="s">
        <v>92</v>
      </c>
      <c r="CF5" s="1" t="s">
        <v>93</v>
      </c>
      <c r="CG5" s="1" t="s">
        <v>94</v>
      </c>
      <c r="CH5" s="1" t="s">
        <v>95</v>
      </c>
      <c r="CI5" s="1" t="s">
        <v>96</v>
      </c>
      <c r="CJ5" s="1" t="s">
        <v>97</v>
      </c>
      <c r="CK5" s="1" t="s">
        <v>98</v>
      </c>
      <c r="CL5" s="1" t="s">
        <v>99</v>
      </c>
      <c r="CM5" s="1" t="s">
        <v>100</v>
      </c>
      <c r="CN5" s="1" t="s">
        <v>101</v>
      </c>
      <c r="CO5" s="1" t="s">
        <v>102</v>
      </c>
      <c r="CP5" s="1" t="s">
        <v>103</v>
      </c>
      <c r="CQ5" s="1" t="s">
        <v>104</v>
      </c>
      <c r="CR5" s="1" t="s">
        <v>105</v>
      </c>
      <c r="CS5" s="1" t="s">
        <v>106</v>
      </c>
      <c r="CT5" s="1" t="s">
        <v>107</v>
      </c>
      <c r="CU5" s="1" t="s">
        <v>108</v>
      </c>
      <c r="CV5" s="1" t="s">
        <v>109</v>
      </c>
      <c r="CW5" s="1" t="s">
        <v>110</v>
      </c>
      <c r="CX5" s="1" t="s">
        <v>111</v>
      </c>
      <c r="CY5" s="1" t="s">
        <v>112</v>
      </c>
      <c r="CZ5" s="1" t="s">
        <v>113</v>
      </c>
      <c r="DA5" s="1" t="s">
        <v>114</v>
      </c>
      <c r="DB5" s="1" t="s">
        <v>115</v>
      </c>
      <c r="DC5" s="1" t="s">
        <v>116</v>
      </c>
      <c r="DD5" s="1" t="s">
        <v>117</v>
      </c>
      <c r="DE5" s="1" t="s">
        <v>118</v>
      </c>
      <c r="DF5" s="1" t="s">
        <v>119</v>
      </c>
      <c r="DG5" s="1" t="s">
        <v>120</v>
      </c>
      <c r="DH5" s="1" t="s">
        <v>7</v>
      </c>
      <c r="DI5" s="1" t="s">
        <v>121</v>
      </c>
      <c r="DJ5" s="1" t="s">
        <v>122</v>
      </c>
      <c r="DK5" s="1" t="s">
        <v>123</v>
      </c>
      <c r="DL5" s="1" t="s">
        <v>124</v>
      </c>
      <c r="DM5" s="1" t="s">
        <v>125</v>
      </c>
      <c r="DN5" s="1" t="s">
        <v>126</v>
      </c>
      <c r="DO5" s="1" t="s">
        <v>127</v>
      </c>
      <c r="DP5" s="1" t="s">
        <v>128</v>
      </c>
      <c r="DQ5" s="1" t="s">
        <v>129</v>
      </c>
      <c r="DR5" s="1" t="s">
        <v>130</v>
      </c>
      <c r="DS5" s="1" t="s">
        <v>131</v>
      </c>
      <c r="DT5" s="1" t="s">
        <v>132</v>
      </c>
      <c r="DU5" s="1" t="s">
        <v>133</v>
      </c>
      <c r="DV5" s="1" t="s">
        <v>134</v>
      </c>
      <c r="DW5" s="1" t="s">
        <v>135</v>
      </c>
      <c r="DX5" s="1" t="s">
        <v>136</v>
      </c>
      <c r="DY5" s="1" t="s">
        <v>137</v>
      </c>
      <c r="DZ5" s="1" t="s">
        <v>138</v>
      </c>
      <c r="EA5" s="1" t="s">
        <v>139</v>
      </c>
      <c r="EB5" s="1" t="s">
        <v>140</v>
      </c>
      <c r="EC5" s="1" t="s">
        <v>141</v>
      </c>
      <c r="ED5" s="1" t="s">
        <v>142</v>
      </c>
      <c r="EE5" s="1" t="s">
        <v>143</v>
      </c>
      <c r="EF5" s="1" t="s">
        <v>144</v>
      </c>
      <c r="EG5" s="1" t="s">
        <v>145</v>
      </c>
      <c r="EH5" s="1" t="s">
        <v>146</v>
      </c>
      <c r="EI5" s="1" t="s">
        <v>147</v>
      </c>
      <c r="EJ5" s="1" t="s">
        <v>148</v>
      </c>
      <c r="EK5" s="1" t="s">
        <v>149</v>
      </c>
      <c r="EL5" s="1" t="s">
        <v>150</v>
      </c>
      <c r="EM5" s="1" t="s">
        <v>151</v>
      </c>
      <c r="EN5" s="1" t="s">
        <v>152</v>
      </c>
      <c r="EO5" s="1" t="s">
        <v>153</v>
      </c>
      <c r="EP5" s="1" t="s">
        <v>154</v>
      </c>
      <c r="EQ5" s="1" t="s">
        <v>155</v>
      </c>
      <c r="ER5" s="1" t="s">
        <v>156</v>
      </c>
      <c r="ES5" s="1" t="s">
        <v>157</v>
      </c>
      <c r="ET5" s="1" t="s">
        <v>158</v>
      </c>
      <c r="EU5" s="1" t="s">
        <v>159</v>
      </c>
      <c r="EV5" s="1" t="s">
        <v>160</v>
      </c>
      <c r="EW5" s="1" t="s">
        <v>161</v>
      </c>
      <c r="EX5" s="1" t="s">
        <v>162</v>
      </c>
      <c r="EY5" s="1" t="s">
        <v>163</v>
      </c>
      <c r="EZ5" s="1" t="s">
        <v>164</v>
      </c>
      <c r="FA5" s="1" t="s">
        <v>165</v>
      </c>
      <c r="FB5" s="1" t="s">
        <v>166</v>
      </c>
      <c r="FC5" s="1" t="s">
        <v>167</v>
      </c>
      <c r="FD5" s="1" t="s">
        <v>168</v>
      </c>
      <c r="FE5" s="1" t="s">
        <v>169</v>
      </c>
      <c r="FF5" s="1" t="s">
        <v>170</v>
      </c>
      <c r="FG5" s="1" t="s">
        <v>171</v>
      </c>
      <c r="FH5" s="1" t="s">
        <v>172</v>
      </c>
      <c r="FI5" s="1" t="s">
        <v>173</v>
      </c>
      <c r="FJ5" s="1" t="s">
        <v>174</v>
      </c>
      <c r="FK5" s="1" t="s">
        <v>175</v>
      </c>
      <c r="FL5" s="1" t="s">
        <v>176</v>
      </c>
      <c r="FM5" s="1" t="s">
        <v>177</v>
      </c>
      <c r="FN5" s="1" t="s">
        <v>178</v>
      </c>
      <c r="FO5" s="1" t="s">
        <v>179</v>
      </c>
      <c r="FP5" s="1" t="s">
        <v>180</v>
      </c>
      <c r="FQ5" s="1" t="s">
        <v>181</v>
      </c>
      <c r="FR5" s="1" t="s">
        <v>182</v>
      </c>
      <c r="FS5" s="1" t="s">
        <v>183</v>
      </c>
      <c r="FT5" s="1" t="s">
        <v>184</v>
      </c>
      <c r="FU5" s="1" t="s">
        <v>185</v>
      </c>
      <c r="FV5" s="1" t="s">
        <v>186</v>
      </c>
      <c r="FW5" s="1" t="s">
        <v>187</v>
      </c>
      <c r="FX5" s="1" t="s">
        <v>188</v>
      </c>
      <c r="FY5" s="1" t="s">
        <v>189</v>
      </c>
      <c r="FZ5" s="1" t="s">
        <v>190</v>
      </c>
      <c r="GA5" s="1" t="s">
        <v>191</v>
      </c>
      <c r="GB5" s="1" t="s">
        <v>192</v>
      </c>
      <c r="GC5" s="1" t="s">
        <v>193</v>
      </c>
      <c r="GD5" s="1" t="s">
        <v>194</v>
      </c>
      <c r="GE5" s="1" t="s">
        <v>195</v>
      </c>
      <c r="GF5" s="1" t="s">
        <v>196</v>
      </c>
      <c r="GG5" s="1" t="s">
        <v>197</v>
      </c>
      <c r="GH5" s="1" t="s">
        <v>198</v>
      </c>
      <c r="GI5" s="1" t="s">
        <v>199</v>
      </c>
      <c r="GJ5" s="1" t="s">
        <v>200</v>
      </c>
      <c r="GK5" s="1" t="s">
        <v>201</v>
      </c>
      <c r="GL5" s="1" t="s">
        <v>202</v>
      </c>
      <c r="GM5" s="1" t="s">
        <v>203</v>
      </c>
      <c r="GN5" s="1" t="s">
        <v>204</v>
      </c>
      <c r="GO5" s="1" t="s">
        <v>205</v>
      </c>
      <c r="GP5" s="1" t="s">
        <v>206</v>
      </c>
      <c r="GQ5" s="1" t="s">
        <v>207</v>
      </c>
      <c r="GR5" s="1" t="s">
        <v>208</v>
      </c>
      <c r="GS5" s="1" t="s">
        <v>209</v>
      </c>
      <c r="GT5" s="1" t="s">
        <v>210</v>
      </c>
      <c r="GU5" s="1" t="s">
        <v>211</v>
      </c>
      <c r="GV5" s="1" t="s">
        <v>212</v>
      </c>
      <c r="GW5" s="1" t="s">
        <v>213</v>
      </c>
      <c r="GX5" s="1" t="s">
        <v>214</v>
      </c>
    </row>
    <row r="6">
      <c r="A6" s="2" t="s">
        <v>215</v>
      </c>
      <c r="B6" s="2" t="s">
        <v>216</v>
      </c>
      <c r="C6" s="2" t="s">
        <v>217</v>
      </c>
      <c r="D6" s="2" t="s">
        <v>218</v>
      </c>
      <c r="E6" s="2" t="s">
        <v>219</v>
      </c>
      <c r="F6" s="2" t="s">
        <v>220</v>
      </c>
      <c r="G6" s="2" t="s">
        <v>220</v>
      </c>
      <c r="H6" s="2" t="s">
        <v>220</v>
      </c>
      <c r="I6" s="2" t="s">
        <v>221</v>
      </c>
      <c r="J6" s="2" t="s">
        <v>222</v>
      </c>
      <c r="K6" s="2" t="s">
        <v>223</v>
      </c>
      <c r="L6" s="3">
        <v>25.3</v>
      </c>
      <c r="M6" s="3">
        <v>26.56</v>
      </c>
      <c r="N6" s="3">
        <v>54.99</v>
      </c>
      <c r="O6" s="2" t="s">
        <v>224</v>
      </c>
      <c r="P6" s="2" t="s">
        <v>225</v>
      </c>
      <c r="Q6" s="2" t="s">
        <v>226</v>
      </c>
      <c r="R6" s="2" t="s">
        <v>227</v>
      </c>
      <c r="S6" s="2" t="s">
        <v>228</v>
      </c>
      <c r="T6" s="2" t="s">
        <v>229</v>
      </c>
      <c r="U6" s="2" t="s">
        <v>227</v>
      </c>
      <c r="V6" s="2" t="s">
        <v>230</v>
      </c>
      <c r="W6" s="2" t="s">
        <v>231</v>
      </c>
      <c r="X6" s="2" t="s">
        <v>227</v>
      </c>
      <c r="Y6" s="2" t="s">
        <v>232</v>
      </c>
      <c r="Z6" s="4">
        <v>135</v>
      </c>
      <c r="AA6" s="4">
        <f>=ROUNDDOWN(16.875,0)</f>
      </c>
      <c r="AB6" s="5">
        <v>8</v>
      </c>
      <c r="AC6" s="2" t="s">
        <v>152</v>
      </c>
      <c r="AD6" s="4">
        <v>170</v>
      </c>
      <c r="AE6" s="4">
        <v>170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227</v>
      </c>
      <c r="AM6" s="4"/>
      <c r="AN6" s="4"/>
      <c r="AO6" s="7"/>
      <c r="AP6" s="4"/>
      <c r="AQ6" s="8"/>
      <c r="AR6" s="4"/>
      <c r="AS6" s="8"/>
      <c r="AT6" s="7"/>
      <c r="AU6" s="7"/>
      <c r="AV6" s="4" t="s">
        <v>227</v>
      </c>
      <c r="AW6" s="8" t="s">
        <v>227</v>
      </c>
      <c r="AX6" s="4" t="s">
        <v>227</v>
      </c>
      <c r="AY6" s="8" t="s">
        <v>227</v>
      </c>
      <c r="AZ6" s="7" t="s">
        <v>227</v>
      </c>
      <c r="BA6" s="7" t="s">
        <v>227</v>
      </c>
      <c r="BB6" s="7"/>
      <c r="BC6" s="4" t="s">
        <v>227</v>
      </c>
      <c r="BD6" s="8" t="s">
        <v>227</v>
      </c>
      <c r="BE6" s="4" t="s">
        <v>227</v>
      </c>
      <c r="BF6" s="8" t="s">
        <v>227</v>
      </c>
      <c r="BG6" s="7" t="s">
        <v>227</v>
      </c>
      <c r="BH6" s="7" t="s">
        <v>227</v>
      </c>
      <c r="BI6" s="7"/>
      <c r="BJ6" s="4">
        <v>75</v>
      </c>
      <c r="BK6" s="8">
        <v>1990.33</v>
      </c>
      <c r="BL6" s="2" t="s">
        <v>233</v>
      </c>
      <c r="BM6" s="7"/>
      <c r="BN6" s="7"/>
      <c r="BO6" s="4"/>
      <c r="BP6" s="8"/>
      <c r="BQ6" s="4"/>
      <c r="BR6" s="8"/>
      <c r="BS6" s="7"/>
      <c r="BT6" s="7"/>
      <c r="BU6" s="2" t="s">
        <v>234</v>
      </c>
      <c r="BV6" s="2" t="s">
        <v>227</v>
      </c>
      <c r="BW6" s="2" t="s">
        <v>227</v>
      </c>
      <c r="BX6" s="2" t="s">
        <v>235</v>
      </c>
      <c r="BY6" s="2" t="s">
        <v>236</v>
      </c>
      <c r="BZ6" s="2" t="s">
        <v>224</v>
      </c>
      <c r="CA6" s="2" t="s">
        <v>237</v>
      </c>
      <c r="CB6" s="2" t="s">
        <v>238</v>
      </c>
      <c r="CC6" s="2" t="s">
        <v>239</v>
      </c>
      <c r="CD6" s="2" t="s">
        <v>227</v>
      </c>
      <c r="CE6" s="4">
        <v>135</v>
      </c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>
        <v>170</v>
      </c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</row>
    <row r="7">
      <c r="A7" s="2" t="s">
        <v>240</v>
      </c>
      <c r="B7" s="2" t="s">
        <v>216</v>
      </c>
      <c r="C7" s="2" t="s">
        <v>217</v>
      </c>
      <c r="D7" s="2" t="s">
        <v>218</v>
      </c>
      <c r="E7" s="2" t="s">
        <v>219</v>
      </c>
      <c r="F7" s="2" t="s">
        <v>220</v>
      </c>
      <c r="G7" s="2" t="s">
        <v>220</v>
      </c>
      <c r="H7" s="2" t="s">
        <v>220</v>
      </c>
      <c r="I7" s="2" t="s">
        <v>221</v>
      </c>
      <c r="J7" s="2" t="s">
        <v>241</v>
      </c>
      <c r="K7" s="2" t="s">
        <v>223</v>
      </c>
      <c r="L7" s="3">
        <v>27.6</v>
      </c>
      <c r="M7" s="3">
        <v>28.98</v>
      </c>
      <c r="N7" s="3">
        <v>59.99</v>
      </c>
      <c r="O7" s="2" t="s">
        <v>224</v>
      </c>
      <c r="P7" s="2" t="s">
        <v>225</v>
      </c>
      <c r="Q7" s="2" t="s">
        <v>226</v>
      </c>
      <c r="R7" s="2" t="s">
        <v>227</v>
      </c>
      <c r="S7" s="2" t="s">
        <v>228</v>
      </c>
      <c r="T7" s="2" t="s">
        <v>229</v>
      </c>
      <c r="U7" s="2" t="s">
        <v>227</v>
      </c>
      <c r="V7" s="2" t="s">
        <v>230</v>
      </c>
      <c r="W7" s="2" t="s">
        <v>231</v>
      </c>
      <c r="X7" s="2" t="s">
        <v>227</v>
      </c>
      <c r="Y7" s="2" t="s">
        <v>232</v>
      </c>
      <c r="Z7" s="4">
        <v>598</v>
      </c>
      <c r="AA7" s="4">
        <f>=ROUNDDOWN(59.8,0)</f>
      </c>
      <c r="AB7" s="5">
        <v>10</v>
      </c>
      <c r="AC7" s="2" t="s">
        <v>227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227</v>
      </c>
      <c r="AM7" s="4"/>
      <c r="AN7" s="4"/>
      <c r="AO7" s="7"/>
      <c r="AP7" s="4"/>
      <c r="AQ7" s="8"/>
      <c r="AR7" s="4"/>
      <c r="AS7" s="8"/>
      <c r="AT7" s="7"/>
      <c r="AU7" s="7"/>
      <c r="AV7" s="4" t="s">
        <v>227</v>
      </c>
      <c r="AW7" s="8" t="s">
        <v>227</v>
      </c>
      <c r="AX7" s="4" t="s">
        <v>227</v>
      </c>
      <c r="AY7" s="8" t="s">
        <v>227</v>
      </c>
      <c r="AZ7" s="7" t="s">
        <v>227</v>
      </c>
      <c r="BA7" s="7" t="s">
        <v>227</v>
      </c>
      <c r="BB7" s="7"/>
      <c r="BC7" s="4" t="s">
        <v>227</v>
      </c>
      <c r="BD7" s="8" t="s">
        <v>227</v>
      </c>
      <c r="BE7" s="4" t="s">
        <v>227</v>
      </c>
      <c r="BF7" s="8" t="s">
        <v>227</v>
      </c>
      <c r="BG7" s="7" t="s">
        <v>227</v>
      </c>
      <c r="BH7" s="7" t="s">
        <v>227</v>
      </c>
      <c r="BI7" s="7"/>
      <c r="BJ7" s="4">
        <v>227</v>
      </c>
      <c r="BK7" s="8">
        <v>6197.99</v>
      </c>
      <c r="BL7" s="2" t="s">
        <v>242</v>
      </c>
      <c r="BM7" s="7"/>
      <c r="BN7" s="7"/>
      <c r="BO7" s="4"/>
      <c r="BP7" s="8"/>
      <c r="BQ7" s="4"/>
      <c r="BR7" s="8"/>
      <c r="BS7" s="7"/>
      <c r="BT7" s="7"/>
      <c r="BU7" s="2" t="s">
        <v>243</v>
      </c>
      <c r="BV7" s="2" t="s">
        <v>227</v>
      </c>
      <c r="BW7" s="2" t="s">
        <v>227</v>
      </c>
      <c r="BX7" s="2" t="s">
        <v>235</v>
      </c>
      <c r="BY7" s="2" t="s">
        <v>236</v>
      </c>
      <c r="BZ7" s="2" t="s">
        <v>224</v>
      </c>
      <c r="CA7" s="2" t="s">
        <v>244</v>
      </c>
      <c r="CB7" s="2" t="s">
        <v>245</v>
      </c>
      <c r="CC7" s="2" t="s">
        <v>239</v>
      </c>
      <c r="CD7" s="2" t="s">
        <v>227</v>
      </c>
      <c r="CE7" s="4">
        <v>598</v>
      </c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</row>
    <row r="8">
      <c r="A8" s="2" t="s">
        <v>246</v>
      </c>
      <c r="B8" s="2" t="s">
        <v>216</v>
      </c>
      <c r="C8" s="2" t="s">
        <v>217</v>
      </c>
      <c r="D8" s="2" t="s">
        <v>218</v>
      </c>
      <c r="E8" s="2" t="s">
        <v>219</v>
      </c>
      <c r="F8" s="2" t="s">
        <v>220</v>
      </c>
      <c r="G8" s="2" t="s">
        <v>220</v>
      </c>
      <c r="H8" s="2" t="s">
        <v>220</v>
      </c>
      <c r="I8" s="2" t="s">
        <v>221</v>
      </c>
      <c r="J8" s="2" t="s">
        <v>247</v>
      </c>
      <c r="K8" s="2" t="s">
        <v>223</v>
      </c>
      <c r="L8" s="3">
        <v>32.2</v>
      </c>
      <c r="M8" s="3">
        <v>33.81</v>
      </c>
      <c r="N8" s="3">
        <v>69.99</v>
      </c>
      <c r="O8" s="2" t="s">
        <v>224</v>
      </c>
      <c r="P8" s="2" t="s">
        <v>225</v>
      </c>
      <c r="Q8" s="2" t="s">
        <v>226</v>
      </c>
      <c r="R8" s="2" t="s">
        <v>227</v>
      </c>
      <c r="S8" s="2" t="s">
        <v>228</v>
      </c>
      <c r="T8" s="2" t="s">
        <v>229</v>
      </c>
      <c r="U8" s="2" t="s">
        <v>227</v>
      </c>
      <c r="V8" s="2" t="s">
        <v>230</v>
      </c>
      <c r="W8" s="2" t="s">
        <v>231</v>
      </c>
      <c r="X8" s="2" t="s">
        <v>227</v>
      </c>
      <c r="Y8" s="2" t="s">
        <v>232</v>
      </c>
      <c r="Z8" s="4">
        <v>185</v>
      </c>
      <c r="AA8" s="4">
        <f>=ROUNDDOWN(26.4285714285714,0)</f>
      </c>
      <c r="AB8" s="5">
        <v>7</v>
      </c>
      <c r="AC8" s="2" t="s">
        <v>152</v>
      </c>
      <c r="AD8" s="4">
        <v>100</v>
      </c>
      <c r="AE8" s="4">
        <v>100</v>
      </c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227</v>
      </c>
      <c r="AM8" s="4"/>
      <c r="AN8" s="4"/>
      <c r="AO8" s="7"/>
      <c r="AP8" s="4"/>
      <c r="AQ8" s="8"/>
      <c r="AR8" s="4"/>
      <c r="AS8" s="8"/>
      <c r="AT8" s="7"/>
      <c r="AU8" s="7"/>
      <c r="AV8" s="4" t="s">
        <v>227</v>
      </c>
      <c r="AW8" s="8" t="s">
        <v>227</v>
      </c>
      <c r="AX8" s="4" t="s">
        <v>227</v>
      </c>
      <c r="AY8" s="8" t="s">
        <v>227</v>
      </c>
      <c r="AZ8" s="7" t="s">
        <v>227</v>
      </c>
      <c r="BA8" s="7" t="s">
        <v>227</v>
      </c>
      <c r="BB8" s="7"/>
      <c r="BC8" s="4" t="s">
        <v>227</v>
      </c>
      <c r="BD8" s="8" t="s">
        <v>227</v>
      </c>
      <c r="BE8" s="4" t="s">
        <v>227</v>
      </c>
      <c r="BF8" s="8" t="s">
        <v>227</v>
      </c>
      <c r="BG8" s="7" t="s">
        <v>227</v>
      </c>
      <c r="BH8" s="7" t="s">
        <v>227</v>
      </c>
      <c r="BI8" s="7"/>
      <c r="BJ8" s="4">
        <v>33</v>
      </c>
      <c r="BK8" s="8">
        <v>1152.81</v>
      </c>
      <c r="BL8" s="2" t="s">
        <v>248</v>
      </c>
      <c r="BM8" s="7"/>
      <c r="BN8" s="7"/>
      <c r="BO8" s="4"/>
      <c r="BP8" s="8"/>
      <c r="BQ8" s="4"/>
      <c r="BR8" s="8"/>
      <c r="BS8" s="7"/>
      <c r="BT8" s="7"/>
      <c r="BU8" s="2" t="s">
        <v>249</v>
      </c>
      <c r="BV8" s="2" t="s">
        <v>227</v>
      </c>
      <c r="BW8" s="2" t="s">
        <v>227</v>
      </c>
      <c r="BX8" s="2" t="s">
        <v>235</v>
      </c>
      <c r="BY8" s="2" t="s">
        <v>236</v>
      </c>
      <c r="BZ8" s="2" t="s">
        <v>224</v>
      </c>
      <c r="CA8" s="2" t="s">
        <v>237</v>
      </c>
      <c r="CB8" s="2" t="s">
        <v>250</v>
      </c>
      <c r="CC8" s="2" t="s">
        <v>239</v>
      </c>
      <c r="CD8" s="2" t="s">
        <v>227</v>
      </c>
      <c r="CE8" s="4">
        <v>185</v>
      </c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>
        <v>100</v>
      </c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</row>
    <row r="9">
      <c r="A9" s="2" t="s">
        <v>251</v>
      </c>
      <c r="B9" s="2" t="s">
        <v>216</v>
      </c>
      <c r="C9" s="2" t="s">
        <v>217</v>
      </c>
      <c r="D9" s="2" t="s">
        <v>218</v>
      </c>
      <c r="E9" s="2" t="s">
        <v>219</v>
      </c>
      <c r="F9" s="2" t="s">
        <v>220</v>
      </c>
      <c r="G9" s="2" t="s">
        <v>220</v>
      </c>
      <c r="H9" s="2" t="s">
        <v>220</v>
      </c>
      <c r="I9" s="2" t="s">
        <v>221</v>
      </c>
      <c r="J9" s="2" t="s">
        <v>252</v>
      </c>
      <c r="K9" s="2" t="s">
        <v>223</v>
      </c>
      <c r="L9" s="3">
        <v>36.8</v>
      </c>
      <c r="M9" s="3">
        <v>38.64</v>
      </c>
      <c r="N9" s="3">
        <v>79.99</v>
      </c>
      <c r="O9" s="2" t="s">
        <v>224</v>
      </c>
      <c r="P9" s="2" t="s">
        <v>225</v>
      </c>
      <c r="Q9" s="2" t="s">
        <v>226</v>
      </c>
      <c r="R9" s="2" t="s">
        <v>227</v>
      </c>
      <c r="S9" s="2" t="s">
        <v>228</v>
      </c>
      <c r="T9" s="2" t="s">
        <v>229</v>
      </c>
      <c r="U9" s="2" t="s">
        <v>227</v>
      </c>
      <c r="V9" s="2" t="s">
        <v>230</v>
      </c>
      <c r="W9" s="2" t="s">
        <v>231</v>
      </c>
      <c r="X9" s="2" t="s">
        <v>227</v>
      </c>
      <c r="Y9" s="2" t="s">
        <v>232</v>
      </c>
      <c r="Z9" s="4">
        <v>376</v>
      </c>
      <c r="AA9" s="4">
        <f>=ROUNDDOWN(31.3333333333333,0)</f>
      </c>
      <c r="AB9" s="5">
        <v>12</v>
      </c>
      <c r="AC9" s="2" t="s">
        <v>227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227</v>
      </c>
      <c r="AM9" s="4"/>
      <c r="AN9" s="4"/>
      <c r="AO9" s="7"/>
      <c r="AP9" s="4"/>
      <c r="AQ9" s="8"/>
      <c r="AR9" s="4"/>
      <c r="AS9" s="8"/>
      <c r="AT9" s="7"/>
      <c r="AU9" s="7"/>
      <c r="AV9" s="4" t="s">
        <v>227</v>
      </c>
      <c r="AW9" s="8" t="s">
        <v>227</v>
      </c>
      <c r="AX9" s="4" t="s">
        <v>227</v>
      </c>
      <c r="AY9" s="8" t="s">
        <v>227</v>
      </c>
      <c r="AZ9" s="7" t="s">
        <v>227</v>
      </c>
      <c r="BA9" s="7" t="s">
        <v>227</v>
      </c>
      <c r="BB9" s="7"/>
      <c r="BC9" s="4" t="s">
        <v>227</v>
      </c>
      <c r="BD9" s="8" t="s">
        <v>227</v>
      </c>
      <c r="BE9" s="4" t="s">
        <v>227</v>
      </c>
      <c r="BF9" s="8" t="s">
        <v>227</v>
      </c>
      <c r="BG9" s="7" t="s">
        <v>227</v>
      </c>
      <c r="BH9" s="7" t="s">
        <v>227</v>
      </c>
      <c r="BI9" s="7"/>
      <c r="BJ9" s="4">
        <v>45</v>
      </c>
      <c r="BK9" s="8">
        <v>1823.59</v>
      </c>
      <c r="BL9" s="2" t="s">
        <v>253</v>
      </c>
      <c r="BM9" s="7"/>
      <c r="BN9" s="7"/>
      <c r="BO9" s="4"/>
      <c r="BP9" s="8"/>
      <c r="BQ9" s="4"/>
      <c r="BR9" s="8"/>
      <c r="BS9" s="7"/>
      <c r="BT9" s="7"/>
      <c r="BU9" s="2" t="s">
        <v>254</v>
      </c>
      <c r="BV9" s="2" t="s">
        <v>227</v>
      </c>
      <c r="BW9" s="2" t="s">
        <v>227</v>
      </c>
      <c r="BX9" s="2" t="s">
        <v>235</v>
      </c>
      <c r="BY9" s="2" t="s">
        <v>236</v>
      </c>
      <c r="BZ9" s="2" t="s">
        <v>224</v>
      </c>
      <c r="CA9" s="2" t="s">
        <v>237</v>
      </c>
      <c r="CB9" s="2" t="s">
        <v>255</v>
      </c>
      <c r="CC9" s="2" t="s">
        <v>239</v>
      </c>
      <c r="CD9" s="2" t="s">
        <v>227</v>
      </c>
      <c r="CE9" s="4">
        <v>376</v>
      </c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</row>
    <row r="10">
      <c r="A10" s="2" t="s">
        <v>256</v>
      </c>
      <c r="B10" s="2" t="s">
        <v>216</v>
      </c>
      <c r="C10" s="2" t="s">
        <v>217</v>
      </c>
      <c r="D10" s="2" t="s">
        <v>218</v>
      </c>
      <c r="E10" s="2" t="s">
        <v>219</v>
      </c>
      <c r="F10" s="2" t="s">
        <v>220</v>
      </c>
      <c r="G10" s="2" t="s">
        <v>220</v>
      </c>
      <c r="H10" s="2" t="s">
        <v>220</v>
      </c>
      <c r="I10" s="2" t="s">
        <v>221</v>
      </c>
      <c r="J10" s="2" t="s">
        <v>257</v>
      </c>
      <c r="K10" s="2" t="s">
        <v>223</v>
      </c>
      <c r="L10" s="3">
        <v>46</v>
      </c>
      <c r="M10" s="3">
        <v>48.3</v>
      </c>
      <c r="N10" s="3">
        <v>99.99</v>
      </c>
      <c r="O10" s="2" t="s">
        <v>224</v>
      </c>
      <c r="P10" s="2" t="s">
        <v>225</v>
      </c>
      <c r="Q10" s="2" t="s">
        <v>226</v>
      </c>
      <c r="R10" s="2" t="s">
        <v>227</v>
      </c>
      <c r="S10" s="2" t="s">
        <v>228</v>
      </c>
      <c r="T10" s="2" t="s">
        <v>229</v>
      </c>
      <c r="U10" s="2" t="s">
        <v>227</v>
      </c>
      <c r="V10" s="2" t="s">
        <v>230</v>
      </c>
      <c r="W10" s="2" t="s">
        <v>231</v>
      </c>
      <c r="X10" s="2" t="s">
        <v>227</v>
      </c>
      <c r="Y10" s="2" t="s">
        <v>232</v>
      </c>
      <c r="Z10" s="4">
        <v>272</v>
      </c>
      <c r="AA10" s="4">
        <f>=ROUNDDOWN(38.8571428571429,0)</f>
      </c>
      <c r="AB10" s="5">
        <v>7</v>
      </c>
      <c r="AC10" s="2" t="s">
        <v>227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227</v>
      </c>
      <c r="AM10" s="4"/>
      <c r="AN10" s="4"/>
      <c r="AO10" s="7"/>
      <c r="AP10" s="4"/>
      <c r="AQ10" s="8"/>
      <c r="AR10" s="4"/>
      <c r="AS10" s="8"/>
      <c r="AT10" s="7"/>
      <c r="AU10" s="7"/>
      <c r="AV10" s="4" t="s">
        <v>227</v>
      </c>
      <c r="AW10" s="8" t="s">
        <v>227</v>
      </c>
      <c r="AX10" s="4" t="s">
        <v>227</v>
      </c>
      <c r="AY10" s="8" t="s">
        <v>227</v>
      </c>
      <c r="AZ10" s="7" t="s">
        <v>227</v>
      </c>
      <c r="BA10" s="7" t="s">
        <v>227</v>
      </c>
      <c r="BB10" s="7"/>
      <c r="BC10" s="4" t="s">
        <v>227</v>
      </c>
      <c r="BD10" s="8" t="s">
        <v>227</v>
      </c>
      <c r="BE10" s="4" t="s">
        <v>227</v>
      </c>
      <c r="BF10" s="8" t="s">
        <v>227</v>
      </c>
      <c r="BG10" s="7" t="s">
        <v>227</v>
      </c>
      <c r="BH10" s="7" t="s">
        <v>227</v>
      </c>
      <c r="BI10" s="7"/>
      <c r="BJ10" s="4">
        <v>13</v>
      </c>
      <c r="BK10" s="8">
        <v>674.88</v>
      </c>
      <c r="BL10" s="2" t="s">
        <v>258</v>
      </c>
      <c r="BM10" s="7"/>
      <c r="BN10" s="7"/>
      <c r="BO10" s="4"/>
      <c r="BP10" s="8"/>
      <c r="BQ10" s="4"/>
      <c r="BR10" s="8"/>
      <c r="BS10" s="7"/>
      <c r="BT10" s="7"/>
      <c r="BU10" s="2" t="s">
        <v>259</v>
      </c>
      <c r="BV10" s="2" t="s">
        <v>227</v>
      </c>
      <c r="BW10" s="2" t="s">
        <v>227</v>
      </c>
      <c r="BX10" s="2" t="s">
        <v>235</v>
      </c>
      <c r="BY10" s="2" t="s">
        <v>236</v>
      </c>
      <c r="BZ10" s="2" t="s">
        <v>224</v>
      </c>
      <c r="CA10" s="2" t="s">
        <v>237</v>
      </c>
      <c r="CB10" s="2" t="s">
        <v>260</v>
      </c>
      <c r="CC10" s="2" t="s">
        <v>239</v>
      </c>
      <c r="CD10" s="2" t="s">
        <v>227</v>
      </c>
      <c r="CE10" s="4">
        <v>272</v>
      </c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</row>
    <row r="11">
      <c r="A11" s="2" t="s">
        <v>261</v>
      </c>
      <c r="B11" s="2" t="s">
        <v>216</v>
      </c>
      <c r="C11" s="2" t="s">
        <v>217</v>
      </c>
      <c r="D11" s="2" t="s">
        <v>218</v>
      </c>
      <c r="E11" s="2" t="s">
        <v>219</v>
      </c>
      <c r="F11" s="2" t="s">
        <v>262</v>
      </c>
      <c r="G11" s="2" t="s">
        <v>262</v>
      </c>
      <c r="H11" s="2" t="s">
        <v>262</v>
      </c>
      <c r="I11" s="2" t="s">
        <v>263</v>
      </c>
      <c r="J11" s="2" t="s">
        <v>222</v>
      </c>
      <c r="K11" s="2" t="s">
        <v>264</v>
      </c>
      <c r="L11" s="3">
        <v>58.29</v>
      </c>
      <c r="M11" s="3">
        <v>61.2</v>
      </c>
      <c r="N11" s="3">
        <v>109.99</v>
      </c>
      <c r="O11" s="2" t="s">
        <v>224</v>
      </c>
      <c r="P11" s="2" t="s">
        <v>225</v>
      </c>
      <c r="Q11" s="2" t="s">
        <v>226</v>
      </c>
      <c r="R11" s="2" t="s">
        <v>227</v>
      </c>
      <c r="S11" s="2" t="s">
        <v>265</v>
      </c>
      <c r="T11" s="2" t="s">
        <v>229</v>
      </c>
      <c r="U11" s="2" t="s">
        <v>227</v>
      </c>
      <c r="V11" s="2" t="s">
        <v>230</v>
      </c>
      <c r="W11" s="2" t="s">
        <v>231</v>
      </c>
      <c r="X11" s="2" t="s">
        <v>227</v>
      </c>
      <c r="Y11" s="2" t="s">
        <v>232</v>
      </c>
      <c r="Z11" s="4">
        <v>264</v>
      </c>
      <c r="AA11" s="4">
        <f>=ROUNDDOWN(66,0)</f>
      </c>
      <c r="AB11" s="5">
        <v>4</v>
      </c>
      <c r="AC11" s="2" t="s">
        <v>227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227</v>
      </c>
      <c r="AM11" s="4"/>
      <c r="AN11" s="4"/>
      <c r="AO11" s="7"/>
      <c r="AP11" s="4"/>
      <c r="AQ11" s="8"/>
      <c r="AR11" s="4"/>
      <c r="AS11" s="8"/>
      <c r="AT11" s="7"/>
      <c r="AU11" s="7"/>
      <c r="AV11" s="4" t="s">
        <v>227</v>
      </c>
      <c r="AW11" s="8" t="s">
        <v>227</v>
      </c>
      <c r="AX11" s="4" t="s">
        <v>227</v>
      </c>
      <c r="AY11" s="8" t="s">
        <v>227</v>
      </c>
      <c r="AZ11" s="7" t="s">
        <v>227</v>
      </c>
      <c r="BA11" s="7" t="s">
        <v>227</v>
      </c>
      <c r="BB11" s="7"/>
      <c r="BC11" s="4" t="s">
        <v>227</v>
      </c>
      <c r="BD11" s="8" t="s">
        <v>227</v>
      </c>
      <c r="BE11" s="4" t="s">
        <v>227</v>
      </c>
      <c r="BF11" s="8" t="s">
        <v>227</v>
      </c>
      <c r="BG11" s="7" t="s">
        <v>227</v>
      </c>
      <c r="BH11" s="7" t="s">
        <v>227</v>
      </c>
      <c r="BI11" s="7"/>
      <c r="BJ11" s="4">
        <v>6</v>
      </c>
      <c r="BK11" s="8">
        <v>327.86</v>
      </c>
      <c r="BL11" s="2" t="s">
        <v>266</v>
      </c>
      <c r="BM11" s="7"/>
      <c r="BN11" s="7"/>
      <c r="BO11" s="4"/>
      <c r="BP11" s="8"/>
      <c r="BQ11" s="4"/>
      <c r="BR11" s="8"/>
      <c r="BS11" s="7"/>
      <c r="BT11" s="7"/>
      <c r="BU11" s="2" t="s">
        <v>267</v>
      </c>
      <c r="BV11" s="2" t="s">
        <v>227</v>
      </c>
      <c r="BW11" s="2" t="s">
        <v>227</v>
      </c>
      <c r="BX11" s="2" t="s">
        <v>235</v>
      </c>
      <c r="BY11" s="2" t="s">
        <v>236</v>
      </c>
      <c r="BZ11" s="2" t="s">
        <v>224</v>
      </c>
      <c r="CA11" s="2" t="s">
        <v>237</v>
      </c>
      <c r="CB11" s="2" t="s">
        <v>268</v>
      </c>
      <c r="CC11" s="2" t="s">
        <v>239</v>
      </c>
      <c r="CD11" s="2" t="s">
        <v>227</v>
      </c>
      <c r="CE11" s="4">
        <v>264</v>
      </c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</row>
    <row r="12">
      <c r="A12" s="2" t="s">
        <v>269</v>
      </c>
      <c r="B12" s="2" t="s">
        <v>216</v>
      </c>
      <c r="C12" s="2" t="s">
        <v>217</v>
      </c>
      <c r="D12" s="2" t="s">
        <v>218</v>
      </c>
      <c r="E12" s="2" t="s">
        <v>219</v>
      </c>
      <c r="F12" s="2" t="s">
        <v>262</v>
      </c>
      <c r="G12" s="2" t="s">
        <v>262</v>
      </c>
      <c r="H12" s="2" t="s">
        <v>262</v>
      </c>
      <c r="I12" s="2" t="s">
        <v>263</v>
      </c>
      <c r="J12" s="2" t="s">
        <v>247</v>
      </c>
      <c r="K12" s="2" t="s">
        <v>264</v>
      </c>
      <c r="L12" s="3">
        <v>74.19</v>
      </c>
      <c r="M12" s="3">
        <v>77.9</v>
      </c>
      <c r="N12" s="3">
        <v>139.99</v>
      </c>
      <c r="O12" s="2" t="s">
        <v>224</v>
      </c>
      <c r="P12" s="2" t="s">
        <v>225</v>
      </c>
      <c r="Q12" s="2" t="s">
        <v>226</v>
      </c>
      <c r="R12" s="2" t="s">
        <v>227</v>
      </c>
      <c r="S12" s="2" t="s">
        <v>265</v>
      </c>
      <c r="T12" s="2" t="s">
        <v>229</v>
      </c>
      <c r="U12" s="2" t="s">
        <v>227</v>
      </c>
      <c r="V12" s="2" t="s">
        <v>230</v>
      </c>
      <c r="W12" s="2" t="s">
        <v>231</v>
      </c>
      <c r="X12" s="2" t="s">
        <v>227</v>
      </c>
      <c r="Y12" s="2" t="s">
        <v>232</v>
      </c>
      <c r="Z12" s="4">
        <v>264</v>
      </c>
      <c r="AA12" s="4">
        <f>=ROUNDDOWN(66,0)</f>
      </c>
      <c r="AB12" s="5">
        <v>4</v>
      </c>
      <c r="AC12" s="2" t="s">
        <v>227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227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227</v>
      </c>
      <c r="AW12" s="8" t="s">
        <v>227</v>
      </c>
      <c r="AX12" s="4" t="s">
        <v>227</v>
      </c>
      <c r="AY12" s="8" t="s">
        <v>227</v>
      </c>
      <c r="AZ12" s="7" t="s">
        <v>227</v>
      </c>
      <c r="BA12" s="7" t="s">
        <v>227</v>
      </c>
      <c r="BB12" s="7"/>
      <c r="BC12" s="4" t="s">
        <v>227</v>
      </c>
      <c r="BD12" s="8" t="s">
        <v>227</v>
      </c>
      <c r="BE12" s="4" t="s">
        <v>227</v>
      </c>
      <c r="BF12" s="8" t="s">
        <v>227</v>
      </c>
      <c r="BG12" s="7" t="s">
        <v>227</v>
      </c>
      <c r="BH12" s="7" t="s">
        <v>227</v>
      </c>
      <c r="BI12" s="7"/>
      <c r="BJ12" s="4">
        <v>3</v>
      </c>
      <c r="BK12" s="8">
        <v>238.08</v>
      </c>
      <c r="BL12" s="2" t="s">
        <v>270</v>
      </c>
      <c r="BM12" s="7"/>
      <c r="BN12" s="7"/>
      <c r="BO12" s="4"/>
      <c r="BP12" s="8"/>
      <c r="BQ12" s="4"/>
      <c r="BR12" s="8"/>
      <c r="BS12" s="7"/>
      <c r="BT12" s="7"/>
      <c r="BU12" s="2" t="s">
        <v>271</v>
      </c>
      <c r="BV12" s="2" t="s">
        <v>227</v>
      </c>
      <c r="BW12" s="2" t="s">
        <v>227</v>
      </c>
      <c r="BX12" s="2" t="s">
        <v>235</v>
      </c>
      <c r="BY12" s="2" t="s">
        <v>236</v>
      </c>
      <c r="BZ12" s="2" t="s">
        <v>224</v>
      </c>
      <c r="CA12" s="2" t="s">
        <v>237</v>
      </c>
      <c r="CB12" s="2" t="s">
        <v>272</v>
      </c>
      <c r="CC12" s="2" t="s">
        <v>239</v>
      </c>
      <c r="CD12" s="2" t="s">
        <v>227</v>
      </c>
      <c r="CE12" s="4">
        <v>264</v>
      </c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</row>
    <row r="13">
      <c r="A13" s="2" t="s">
        <v>273</v>
      </c>
      <c r="B13" s="2" t="s">
        <v>216</v>
      </c>
      <c r="C13" s="2" t="s">
        <v>217</v>
      </c>
      <c r="D13" s="2" t="s">
        <v>218</v>
      </c>
      <c r="E13" s="2" t="s">
        <v>219</v>
      </c>
      <c r="F13" s="2" t="s">
        <v>262</v>
      </c>
      <c r="G13" s="2" t="s">
        <v>262</v>
      </c>
      <c r="H13" s="2" t="s">
        <v>262</v>
      </c>
      <c r="I13" s="2" t="s">
        <v>263</v>
      </c>
      <c r="J13" s="2" t="s">
        <v>257</v>
      </c>
      <c r="K13" s="2" t="s">
        <v>264</v>
      </c>
      <c r="L13" s="3">
        <v>100.69</v>
      </c>
      <c r="M13" s="3">
        <v>105.72</v>
      </c>
      <c r="N13" s="3">
        <v>189.99</v>
      </c>
      <c r="O13" s="2" t="s">
        <v>224</v>
      </c>
      <c r="P13" s="2" t="s">
        <v>225</v>
      </c>
      <c r="Q13" s="2" t="s">
        <v>226</v>
      </c>
      <c r="R13" s="2" t="s">
        <v>227</v>
      </c>
      <c r="S13" s="2" t="s">
        <v>265</v>
      </c>
      <c r="T13" s="2" t="s">
        <v>229</v>
      </c>
      <c r="U13" s="2" t="s">
        <v>227</v>
      </c>
      <c r="V13" s="2" t="s">
        <v>230</v>
      </c>
      <c r="W13" s="2" t="s">
        <v>231</v>
      </c>
      <c r="X13" s="2" t="s">
        <v>227</v>
      </c>
      <c r="Y13" s="2" t="s">
        <v>232</v>
      </c>
      <c r="Z13" s="4">
        <v>253</v>
      </c>
      <c r="AA13" s="4">
        <f>=ROUNDDOWN(50.6,0)</f>
      </c>
      <c r="AB13" s="5">
        <v>5</v>
      </c>
      <c r="AC13" s="2" t="s">
        <v>227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227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227</v>
      </c>
      <c r="AW13" s="8" t="s">
        <v>227</v>
      </c>
      <c r="AX13" s="4" t="s">
        <v>227</v>
      </c>
      <c r="AY13" s="8" t="s">
        <v>227</v>
      </c>
      <c r="AZ13" s="7" t="s">
        <v>227</v>
      </c>
      <c r="BA13" s="7" t="s">
        <v>227</v>
      </c>
      <c r="BB13" s="7"/>
      <c r="BC13" s="4" t="s">
        <v>227</v>
      </c>
      <c r="BD13" s="8" t="s">
        <v>227</v>
      </c>
      <c r="BE13" s="4" t="s">
        <v>227</v>
      </c>
      <c r="BF13" s="8" t="s">
        <v>227</v>
      </c>
      <c r="BG13" s="7" t="s">
        <v>227</v>
      </c>
      <c r="BH13" s="7" t="s">
        <v>227</v>
      </c>
      <c r="BI13" s="7"/>
      <c r="BJ13" s="4">
        <v>2</v>
      </c>
      <c r="BK13" s="8">
        <v>225.2</v>
      </c>
      <c r="BL13" s="2" t="s">
        <v>274</v>
      </c>
      <c r="BM13" s="7"/>
      <c r="BN13" s="7"/>
      <c r="BO13" s="4"/>
      <c r="BP13" s="8"/>
      <c r="BQ13" s="4"/>
      <c r="BR13" s="8"/>
      <c r="BS13" s="7"/>
      <c r="BT13" s="7"/>
      <c r="BU13" s="2" t="s">
        <v>275</v>
      </c>
      <c r="BV13" s="2" t="s">
        <v>227</v>
      </c>
      <c r="BW13" s="2" t="s">
        <v>227</v>
      </c>
      <c r="BX13" s="2" t="s">
        <v>235</v>
      </c>
      <c r="BY13" s="2" t="s">
        <v>236</v>
      </c>
      <c r="BZ13" s="2" t="s">
        <v>224</v>
      </c>
      <c r="CA13" s="2" t="s">
        <v>237</v>
      </c>
      <c r="CB13" s="2" t="s">
        <v>276</v>
      </c>
      <c r="CC13" s="2" t="s">
        <v>239</v>
      </c>
      <c r="CD13" s="2" t="s">
        <v>227</v>
      </c>
      <c r="CE13" s="4">
        <v>253</v>
      </c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</row>
    <row r="14">
      <c r="A14" s="2" t="s">
        <v>277</v>
      </c>
      <c r="B14" s="2" t="s">
        <v>278</v>
      </c>
      <c r="C14" s="2" t="s">
        <v>279</v>
      </c>
      <c r="D14" s="2" t="s">
        <v>280</v>
      </c>
      <c r="E14" s="2" t="s">
        <v>281</v>
      </c>
      <c r="F14" s="2" t="s">
        <v>282</v>
      </c>
      <c r="G14" s="2" t="s">
        <v>282</v>
      </c>
      <c r="H14" s="2" t="s">
        <v>282</v>
      </c>
      <c r="I14" s="2" t="s">
        <v>283</v>
      </c>
      <c r="J14" s="2" t="s">
        <v>247</v>
      </c>
      <c r="K14" s="2" t="s">
        <v>284</v>
      </c>
      <c r="L14" s="3">
        <v>23.75</v>
      </c>
      <c r="M14" s="3">
        <v>24.94</v>
      </c>
      <c r="N14" s="3">
        <v>49.99</v>
      </c>
      <c r="O14" s="2" t="s">
        <v>224</v>
      </c>
      <c r="P14" s="2" t="s">
        <v>225</v>
      </c>
      <c r="Q14" s="2" t="s">
        <v>226</v>
      </c>
      <c r="R14" s="2" t="s">
        <v>227</v>
      </c>
      <c r="S14" s="2" t="s">
        <v>285</v>
      </c>
      <c r="T14" s="2" t="s">
        <v>286</v>
      </c>
      <c r="U14" s="2" t="s">
        <v>287</v>
      </c>
      <c r="V14" s="2" t="s">
        <v>288</v>
      </c>
      <c r="W14" s="2" t="s">
        <v>231</v>
      </c>
      <c r="X14" s="2" t="s">
        <v>227</v>
      </c>
      <c r="Y14" s="2" t="s">
        <v>289</v>
      </c>
      <c r="Z14" s="4">
        <v>23</v>
      </c>
      <c r="AA14" s="4">
        <f>=ROUNDDOWN(2.3,0)</f>
      </c>
      <c r="AB14" s="5">
        <v>10</v>
      </c>
      <c r="AC14" s="2" t="s">
        <v>192</v>
      </c>
      <c r="AD14" s="4">
        <v>150</v>
      </c>
      <c r="AE14" s="4">
        <v>230</v>
      </c>
      <c r="AF14" s="6">
        <v>70</v>
      </c>
      <c r="AG14" s="6"/>
      <c r="AH14" s="7">
        <v>1</v>
      </c>
      <c r="AI14" s="4"/>
      <c r="AJ14" s="4">
        <f>=ROUNDDOWN({0},0)</f>
      </c>
      <c r="AK14" s="5"/>
      <c r="AL14" s="2" t="s">
        <v>227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227</v>
      </c>
      <c r="AW14" s="8" t="s">
        <v>227</v>
      </c>
      <c r="AX14" s="4" t="s">
        <v>227</v>
      </c>
      <c r="AY14" s="8" t="s">
        <v>227</v>
      </c>
      <c r="AZ14" s="7" t="s">
        <v>227</v>
      </c>
      <c r="BA14" s="7" t="s">
        <v>227</v>
      </c>
      <c r="BB14" s="7"/>
      <c r="BC14" s="4" t="s">
        <v>227</v>
      </c>
      <c r="BD14" s="8" t="s">
        <v>227</v>
      </c>
      <c r="BE14" s="4" t="s">
        <v>227</v>
      </c>
      <c r="BF14" s="8" t="s">
        <v>227</v>
      </c>
      <c r="BG14" s="7" t="s">
        <v>227</v>
      </c>
      <c r="BH14" s="7" t="s">
        <v>227</v>
      </c>
      <c r="BI14" s="7"/>
      <c r="BJ14" s="4">
        <v>37</v>
      </c>
      <c r="BK14" s="8">
        <v>1001.01</v>
      </c>
      <c r="BL14" s="2" t="s">
        <v>290</v>
      </c>
      <c r="BM14" s="7"/>
      <c r="BN14" s="7"/>
      <c r="BO14" s="4"/>
      <c r="BP14" s="8"/>
      <c r="BQ14" s="4"/>
      <c r="BR14" s="8"/>
      <c r="BS14" s="7"/>
      <c r="BT14" s="7"/>
      <c r="BU14" s="2" t="s">
        <v>291</v>
      </c>
      <c r="BV14" s="2" t="s">
        <v>227</v>
      </c>
      <c r="BW14" s="2" t="s">
        <v>227</v>
      </c>
      <c r="BX14" s="2" t="s">
        <v>235</v>
      </c>
      <c r="BY14" s="2" t="s">
        <v>236</v>
      </c>
      <c r="BZ14" s="2" t="s">
        <v>224</v>
      </c>
      <c r="CA14" s="2" t="s">
        <v>292</v>
      </c>
      <c r="CB14" s="2" t="s">
        <v>293</v>
      </c>
      <c r="CC14" s="2" t="s">
        <v>239</v>
      </c>
      <c r="CD14" s="2" t="s">
        <v>227</v>
      </c>
      <c r="CE14" s="4">
        <v>23</v>
      </c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>
        <v>150</v>
      </c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>
        <v>40</v>
      </c>
      <c r="GR14" s="4"/>
      <c r="GS14" s="4"/>
      <c r="GT14" s="4"/>
      <c r="GU14" s="4"/>
      <c r="GV14" s="4"/>
      <c r="GW14" s="4"/>
      <c r="GX14" s="4">
        <v>40</v>
      </c>
    </row>
    <row r="15">
      <c r="A15" s="2" t="s">
        <v>294</v>
      </c>
      <c r="B15" s="2" t="s">
        <v>278</v>
      </c>
      <c r="C15" s="2" t="s">
        <v>279</v>
      </c>
      <c r="D15" s="2" t="s">
        <v>280</v>
      </c>
      <c r="E15" s="2" t="s">
        <v>281</v>
      </c>
      <c r="F15" s="2" t="s">
        <v>282</v>
      </c>
      <c r="G15" s="2" t="s">
        <v>282</v>
      </c>
      <c r="H15" s="2" t="s">
        <v>282</v>
      </c>
      <c r="I15" s="2" t="s">
        <v>283</v>
      </c>
      <c r="J15" s="2" t="s">
        <v>257</v>
      </c>
      <c r="K15" s="2" t="s">
        <v>284</v>
      </c>
      <c r="L15" s="3">
        <v>28.5</v>
      </c>
      <c r="M15" s="3">
        <v>29.93</v>
      </c>
      <c r="N15" s="3">
        <v>59.99</v>
      </c>
      <c r="O15" s="2" t="s">
        <v>224</v>
      </c>
      <c r="P15" s="2" t="s">
        <v>225</v>
      </c>
      <c r="Q15" s="2" t="s">
        <v>226</v>
      </c>
      <c r="R15" s="2" t="s">
        <v>227</v>
      </c>
      <c r="S15" s="2" t="s">
        <v>285</v>
      </c>
      <c r="T15" s="2" t="s">
        <v>286</v>
      </c>
      <c r="U15" s="2" t="s">
        <v>287</v>
      </c>
      <c r="V15" s="2" t="s">
        <v>288</v>
      </c>
      <c r="W15" s="2" t="s">
        <v>231</v>
      </c>
      <c r="X15" s="2" t="s">
        <v>227</v>
      </c>
      <c r="Y15" s="2" t="s">
        <v>289</v>
      </c>
      <c r="Z15" s="4">
        <v>71</v>
      </c>
      <c r="AA15" s="4">
        <f>=ROUNDDOWN(4.17647058823529,0)</f>
      </c>
      <c r="AB15" s="5">
        <v>17</v>
      </c>
      <c r="AC15" s="2" t="s">
        <v>207</v>
      </c>
      <c r="AD15" s="4">
        <v>200</v>
      </c>
      <c r="AE15" s="4">
        <v>300</v>
      </c>
      <c r="AF15" s="6">
        <v>70</v>
      </c>
      <c r="AG15" s="6"/>
      <c r="AH15" s="7">
        <v>1</v>
      </c>
      <c r="AI15" s="4"/>
      <c r="AJ15" s="4">
        <f>=ROUNDDOWN({0},0)</f>
      </c>
      <c r="AK15" s="5"/>
      <c r="AL15" s="2" t="s">
        <v>227</v>
      </c>
      <c r="AM15" s="4"/>
      <c r="AN15" s="4"/>
      <c r="AO15" s="7"/>
      <c r="AP15" s="4"/>
      <c r="AQ15" s="8"/>
      <c r="AR15" s="4"/>
      <c r="AS15" s="8"/>
      <c r="AT15" s="7"/>
      <c r="AU15" s="7"/>
      <c r="AV15" s="4" t="s">
        <v>227</v>
      </c>
      <c r="AW15" s="8" t="s">
        <v>227</v>
      </c>
      <c r="AX15" s="4" t="s">
        <v>227</v>
      </c>
      <c r="AY15" s="8" t="s">
        <v>227</v>
      </c>
      <c r="AZ15" s="7" t="s">
        <v>227</v>
      </c>
      <c r="BA15" s="7" t="s">
        <v>227</v>
      </c>
      <c r="BB15" s="7"/>
      <c r="BC15" s="4" t="s">
        <v>227</v>
      </c>
      <c r="BD15" s="8" t="s">
        <v>227</v>
      </c>
      <c r="BE15" s="4" t="s">
        <v>227</v>
      </c>
      <c r="BF15" s="8" t="s">
        <v>227</v>
      </c>
      <c r="BG15" s="7" t="s">
        <v>227</v>
      </c>
      <c r="BH15" s="7" t="s">
        <v>227</v>
      </c>
      <c r="BI15" s="7"/>
      <c r="BJ15" s="4">
        <v>56</v>
      </c>
      <c r="BK15" s="8">
        <v>1771.3</v>
      </c>
      <c r="BL15" s="2" t="s">
        <v>295</v>
      </c>
      <c r="BM15" s="7"/>
      <c r="BN15" s="7"/>
      <c r="BO15" s="4"/>
      <c r="BP15" s="8"/>
      <c r="BQ15" s="4"/>
      <c r="BR15" s="8"/>
      <c r="BS15" s="7"/>
      <c r="BT15" s="7"/>
      <c r="BU15" s="2" t="s">
        <v>296</v>
      </c>
      <c r="BV15" s="2" t="s">
        <v>227</v>
      </c>
      <c r="BW15" s="2" t="s">
        <v>227</v>
      </c>
      <c r="BX15" s="2" t="s">
        <v>235</v>
      </c>
      <c r="BY15" s="2" t="s">
        <v>236</v>
      </c>
      <c r="BZ15" s="2" t="s">
        <v>224</v>
      </c>
      <c r="CA15" s="2" t="s">
        <v>292</v>
      </c>
      <c r="CB15" s="2" t="s">
        <v>297</v>
      </c>
      <c r="CC15" s="2" t="s">
        <v>239</v>
      </c>
      <c r="CD15" s="2" t="s">
        <v>227</v>
      </c>
      <c r="CE15" s="4">
        <v>71</v>
      </c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>
        <v>200</v>
      </c>
      <c r="GR15" s="4"/>
      <c r="GS15" s="4"/>
      <c r="GT15" s="4"/>
      <c r="GU15" s="4"/>
      <c r="GV15" s="4"/>
      <c r="GW15" s="4"/>
      <c r="GX15" s="4">
        <v>100</v>
      </c>
    </row>
    <row r="16">
      <c r="A16" s="2" t="s">
        <v>298</v>
      </c>
      <c r="B16" s="2" t="s">
        <v>278</v>
      </c>
      <c r="C16" s="2" t="s">
        <v>279</v>
      </c>
      <c r="D16" s="2" t="s">
        <v>280</v>
      </c>
      <c r="E16" s="2" t="s">
        <v>281</v>
      </c>
      <c r="F16" s="2" t="s">
        <v>282</v>
      </c>
      <c r="G16" s="2" t="s">
        <v>282</v>
      </c>
      <c r="H16" s="2" t="s">
        <v>282</v>
      </c>
      <c r="I16" s="2" t="s">
        <v>283</v>
      </c>
      <c r="J16" s="2" t="s">
        <v>247</v>
      </c>
      <c r="K16" s="2" t="s">
        <v>299</v>
      </c>
      <c r="L16" s="3">
        <v>23.75</v>
      </c>
      <c r="M16" s="3">
        <v>24.94</v>
      </c>
      <c r="N16" s="3">
        <v>49.99</v>
      </c>
      <c r="O16" s="2" t="s">
        <v>224</v>
      </c>
      <c r="P16" s="2" t="s">
        <v>225</v>
      </c>
      <c r="Q16" s="2" t="s">
        <v>226</v>
      </c>
      <c r="R16" s="2" t="s">
        <v>227</v>
      </c>
      <c r="S16" s="2" t="s">
        <v>300</v>
      </c>
      <c r="T16" s="2" t="s">
        <v>286</v>
      </c>
      <c r="U16" s="2" t="s">
        <v>287</v>
      </c>
      <c r="V16" s="2" t="s">
        <v>301</v>
      </c>
      <c r="W16" s="2" t="s">
        <v>231</v>
      </c>
      <c r="X16" s="2" t="s">
        <v>227</v>
      </c>
      <c r="Y16" s="2" t="s">
        <v>289</v>
      </c>
      <c r="Z16" s="4">
        <v>12</v>
      </c>
      <c r="AA16" s="4">
        <f>=ROUNDDOWN(1.09090909090909,0)</f>
      </c>
      <c r="AB16" s="5">
        <v>11</v>
      </c>
      <c r="AC16" s="2" t="s">
        <v>158</v>
      </c>
      <c r="AD16" s="4">
        <v>100</v>
      </c>
      <c r="AE16" s="4">
        <v>320</v>
      </c>
      <c r="AF16" s="6">
        <v>70</v>
      </c>
      <c r="AG16" s="6"/>
      <c r="AH16" s="7">
        <v>1</v>
      </c>
      <c r="AI16" s="4"/>
      <c r="AJ16" s="4">
        <f>=ROUNDDOWN({0},0)</f>
      </c>
      <c r="AK16" s="5"/>
      <c r="AL16" s="2" t="s">
        <v>227</v>
      </c>
      <c r="AM16" s="4"/>
      <c r="AN16" s="4"/>
      <c r="AO16" s="7"/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 t="s">
        <v>227</v>
      </c>
      <c r="BD16" s="8" t="s">
        <v>227</v>
      </c>
      <c r="BE16" s="4" t="s">
        <v>227</v>
      </c>
      <c r="BF16" s="8" t="s">
        <v>227</v>
      </c>
      <c r="BG16" s="7" t="s">
        <v>227</v>
      </c>
      <c r="BH16" s="7" t="s">
        <v>227</v>
      </c>
      <c r="BI16" s="7"/>
      <c r="BJ16" s="4">
        <v>42</v>
      </c>
      <c r="BK16" s="8">
        <v>1099.34</v>
      </c>
      <c r="BL16" s="2" t="s">
        <v>302</v>
      </c>
      <c r="BM16" s="7"/>
      <c r="BN16" s="7"/>
      <c r="BO16" s="4"/>
      <c r="BP16" s="8"/>
      <c r="BQ16" s="4"/>
      <c r="BR16" s="8"/>
      <c r="BS16" s="7"/>
      <c r="BT16" s="7"/>
      <c r="BU16" s="2" t="s">
        <v>303</v>
      </c>
      <c r="BV16" s="2" t="s">
        <v>227</v>
      </c>
      <c r="BW16" s="2" t="s">
        <v>227</v>
      </c>
      <c r="BX16" s="2" t="s">
        <v>235</v>
      </c>
      <c r="BY16" s="2" t="s">
        <v>236</v>
      </c>
      <c r="BZ16" s="2" t="s">
        <v>224</v>
      </c>
      <c r="CA16" s="2" t="s">
        <v>292</v>
      </c>
      <c r="CB16" s="2" t="s">
        <v>304</v>
      </c>
      <c r="CC16" s="2" t="s">
        <v>239</v>
      </c>
      <c r="CD16" s="2" t="s">
        <v>227</v>
      </c>
      <c r="CE16" s="4">
        <v>12</v>
      </c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>
        <v>100</v>
      </c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>
        <v>20</v>
      </c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>
        <v>100</v>
      </c>
      <c r="GR16" s="4"/>
      <c r="GS16" s="4"/>
      <c r="GT16" s="4"/>
      <c r="GU16" s="4"/>
      <c r="GV16" s="4"/>
      <c r="GW16" s="4"/>
      <c r="GX16" s="4">
        <v>100</v>
      </c>
    </row>
    <row r="17">
      <c r="A17" s="2" t="s">
        <v>305</v>
      </c>
      <c r="B17" s="2" t="s">
        <v>278</v>
      </c>
      <c r="C17" s="2" t="s">
        <v>279</v>
      </c>
      <c r="D17" s="2" t="s">
        <v>280</v>
      </c>
      <c r="E17" s="2" t="s">
        <v>281</v>
      </c>
      <c r="F17" s="2" t="s">
        <v>282</v>
      </c>
      <c r="G17" s="2" t="s">
        <v>282</v>
      </c>
      <c r="H17" s="2" t="s">
        <v>282</v>
      </c>
      <c r="I17" s="2" t="s">
        <v>283</v>
      </c>
      <c r="J17" s="2" t="s">
        <v>252</v>
      </c>
      <c r="K17" s="2" t="s">
        <v>306</v>
      </c>
      <c r="L17" s="3">
        <v>25</v>
      </c>
      <c r="M17" s="3">
        <v>26.25</v>
      </c>
      <c r="N17" s="3">
        <v>54.99</v>
      </c>
      <c r="O17" s="2" t="s">
        <v>224</v>
      </c>
      <c r="P17" s="2" t="s">
        <v>225</v>
      </c>
      <c r="Q17" s="2" t="s">
        <v>226</v>
      </c>
      <c r="R17" s="2" t="s">
        <v>227</v>
      </c>
      <c r="S17" s="2" t="s">
        <v>307</v>
      </c>
      <c r="T17" s="2" t="s">
        <v>286</v>
      </c>
      <c r="U17" s="2" t="s">
        <v>287</v>
      </c>
      <c r="V17" s="2" t="s">
        <v>288</v>
      </c>
      <c r="W17" s="2" t="s">
        <v>231</v>
      </c>
      <c r="X17" s="2" t="s">
        <v>227</v>
      </c>
      <c r="Y17" s="2" t="s">
        <v>289</v>
      </c>
      <c r="Z17" s="4">
        <v>134</v>
      </c>
      <c r="AA17" s="4">
        <f>=ROUNDDOWN(4.96296296296296,0)</f>
      </c>
      <c r="AB17" s="5">
        <v>27</v>
      </c>
      <c r="AC17" s="2" t="s">
        <v>192</v>
      </c>
      <c r="AD17" s="4">
        <v>150</v>
      </c>
      <c r="AE17" s="4">
        <v>450</v>
      </c>
      <c r="AF17" s="6">
        <v>70</v>
      </c>
      <c r="AG17" s="6"/>
      <c r="AH17" s="7">
        <v>1</v>
      </c>
      <c r="AI17" s="4"/>
      <c r="AJ17" s="4">
        <f>=ROUNDDOWN({0},0)</f>
      </c>
      <c r="AK17" s="5"/>
      <c r="AL17" s="2" t="s">
        <v>227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227</v>
      </c>
      <c r="AW17" s="8" t="s">
        <v>227</v>
      </c>
      <c r="AX17" s="4" t="s">
        <v>227</v>
      </c>
      <c r="AY17" s="8" t="s">
        <v>227</v>
      </c>
      <c r="AZ17" s="7" t="s">
        <v>227</v>
      </c>
      <c r="BA17" s="7" t="s">
        <v>227</v>
      </c>
      <c r="BB17" s="7"/>
      <c r="BC17" s="4" t="s">
        <v>227</v>
      </c>
      <c r="BD17" s="8" t="s">
        <v>227</v>
      </c>
      <c r="BE17" s="4" t="s">
        <v>227</v>
      </c>
      <c r="BF17" s="8" t="s">
        <v>227</v>
      </c>
      <c r="BG17" s="7" t="s">
        <v>227</v>
      </c>
      <c r="BH17" s="7" t="s">
        <v>227</v>
      </c>
      <c r="BI17" s="7"/>
      <c r="BJ17" s="4">
        <v>100</v>
      </c>
      <c r="BK17" s="8">
        <v>2802.06</v>
      </c>
      <c r="BL17" s="2" t="s">
        <v>308</v>
      </c>
      <c r="BM17" s="7"/>
      <c r="BN17" s="7"/>
      <c r="BO17" s="4"/>
      <c r="BP17" s="8"/>
      <c r="BQ17" s="4"/>
      <c r="BR17" s="8"/>
      <c r="BS17" s="7"/>
      <c r="BT17" s="7"/>
      <c r="BU17" s="2" t="s">
        <v>309</v>
      </c>
      <c r="BV17" s="2" t="s">
        <v>227</v>
      </c>
      <c r="BW17" s="2" t="s">
        <v>227</v>
      </c>
      <c r="BX17" s="2" t="s">
        <v>235</v>
      </c>
      <c r="BY17" s="2" t="s">
        <v>236</v>
      </c>
      <c r="BZ17" s="2" t="s">
        <v>224</v>
      </c>
      <c r="CA17" s="2" t="s">
        <v>292</v>
      </c>
      <c r="CB17" s="2" t="s">
        <v>310</v>
      </c>
      <c r="CC17" s="2" t="s">
        <v>239</v>
      </c>
      <c r="CD17" s="2" t="s">
        <v>227</v>
      </c>
      <c r="CE17" s="4">
        <v>134</v>
      </c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>
        <v>150</v>
      </c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>
        <v>160</v>
      </c>
      <c r="GR17" s="4"/>
      <c r="GS17" s="4"/>
      <c r="GT17" s="4"/>
      <c r="GU17" s="4"/>
      <c r="GV17" s="4"/>
      <c r="GW17" s="4"/>
      <c r="GX17" s="4">
        <v>140</v>
      </c>
    </row>
    <row r="18">
      <c r="A18" s="2" t="s">
        <v>311</v>
      </c>
      <c r="B18" s="2" t="s">
        <v>278</v>
      </c>
      <c r="C18" s="2" t="s">
        <v>279</v>
      </c>
      <c r="D18" s="2" t="s">
        <v>280</v>
      </c>
      <c r="E18" s="2" t="s">
        <v>281</v>
      </c>
      <c r="F18" s="2" t="s">
        <v>282</v>
      </c>
      <c r="G18" s="2" t="s">
        <v>282</v>
      </c>
      <c r="H18" s="2" t="s">
        <v>282</v>
      </c>
      <c r="I18" s="2" t="s">
        <v>283</v>
      </c>
      <c r="J18" s="2" t="s">
        <v>257</v>
      </c>
      <c r="K18" s="2" t="s">
        <v>306</v>
      </c>
      <c r="L18" s="3">
        <v>28.5</v>
      </c>
      <c r="M18" s="3">
        <v>29.93</v>
      </c>
      <c r="N18" s="3">
        <v>59.99</v>
      </c>
      <c r="O18" s="2" t="s">
        <v>224</v>
      </c>
      <c r="P18" s="2" t="s">
        <v>225</v>
      </c>
      <c r="Q18" s="2" t="s">
        <v>226</v>
      </c>
      <c r="R18" s="2" t="s">
        <v>227</v>
      </c>
      <c r="S18" s="2" t="s">
        <v>307</v>
      </c>
      <c r="T18" s="2" t="s">
        <v>286</v>
      </c>
      <c r="U18" s="2" t="s">
        <v>287</v>
      </c>
      <c r="V18" s="2" t="s">
        <v>288</v>
      </c>
      <c r="W18" s="2" t="s">
        <v>231</v>
      </c>
      <c r="X18" s="2" t="s">
        <v>227</v>
      </c>
      <c r="Y18" s="2" t="s">
        <v>289</v>
      </c>
      <c r="Z18" s="4">
        <v>27</v>
      </c>
      <c r="AA18" s="4">
        <f>=ROUNDDOWN(1.17391304347826,0)</f>
      </c>
      <c r="AB18" s="5">
        <v>23</v>
      </c>
      <c r="AC18" s="2" t="s">
        <v>192</v>
      </c>
      <c r="AD18" s="4">
        <v>70</v>
      </c>
      <c r="AE18" s="4">
        <v>400</v>
      </c>
      <c r="AF18" s="6">
        <v>70</v>
      </c>
      <c r="AG18" s="6"/>
      <c r="AH18" s="7">
        <v>1</v>
      </c>
      <c r="AI18" s="4"/>
      <c r="AJ18" s="4">
        <f>=ROUNDDOWN({0},0)</f>
      </c>
      <c r="AK18" s="5"/>
      <c r="AL18" s="2" t="s">
        <v>227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227</v>
      </c>
      <c r="AW18" s="8" t="s">
        <v>227</v>
      </c>
      <c r="AX18" s="4" t="s">
        <v>227</v>
      </c>
      <c r="AY18" s="8" t="s">
        <v>227</v>
      </c>
      <c r="AZ18" s="7" t="s">
        <v>227</v>
      </c>
      <c r="BA18" s="7" t="s">
        <v>227</v>
      </c>
      <c r="BB18" s="7"/>
      <c r="BC18" s="4" t="s">
        <v>227</v>
      </c>
      <c r="BD18" s="8" t="s">
        <v>227</v>
      </c>
      <c r="BE18" s="4" t="s">
        <v>227</v>
      </c>
      <c r="BF18" s="8" t="s">
        <v>227</v>
      </c>
      <c r="BG18" s="7" t="s">
        <v>227</v>
      </c>
      <c r="BH18" s="7" t="s">
        <v>227</v>
      </c>
      <c r="BI18" s="7"/>
      <c r="BJ18" s="4">
        <v>73</v>
      </c>
      <c r="BK18" s="8">
        <v>2303</v>
      </c>
      <c r="BL18" s="2" t="s">
        <v>312</v>
      </c>
      <c r="BM18" s="7"/>
      <c r="BN18" s="7"/>
      <c r="BO18" s="4"/>
      <c r="BP18" s="8"/>
      <c r="BQ18" s="4"/>
      <c r="BR18" s="8"/>
      <c r="BS18" s="7"/>
      <c r="BT18" s="7"/>
      <c r="BU18" s="2" t="s">
        <v>313</v>
      </c>
      <c r="BV18" s="2" t="s">
        <v>227</v>
      </c>
      <c r="BW18" s="2" t="s">
        <v>227</v>
      </c>
      <c r="BX18" s="2" t="s">
        <v>235</v>
      </c>
      <c r="BY18" s="2" t="s">
        <v>236</v>
      </c>
      <c r="BZ18" s="2" t="s">
        <v>224</v>
      </c>
      <c r="CA18" s="2" t="s">
        <v>292</v>
      </c>
      <c r="CB18" s="2" t="s">
        <v>314</v>
      </c>
      <c r="CC18" s="2" t="s">
        <v>239</v>
      </c>
      <c r="CD18" s="2" t="s">
        <v>227</v>
      </c>
      <c r="CE18" s="4">
        <v>27</v>
      </c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>
        <v>70</v>
      </c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>
        <v>200</v>
      </c>
      <c r="GR18" s="4"/>
      <c r="GS18" s="4"/>
      <c r="GT18" s="4"/>
      <c r="GU18" s="4"/>
      <c r="GV18" s="4"/>
      <c r="GW18" s="4"/>
      <c r="GX18" s="4">
        <v>130</v>
      </c>
    </row>
    <row r="19">
      <c r="A19" s="2" t="s">
        <v>315</v>
      </c>
      <c r="B19" s="2" t="s">
        <v>278</v>
      </c>
      <c r="C19" s="2" t="s">
        <v>279</v>
      </c>
      <c r="D19" s="2" t="s">
        <v>280</v>
      </c>
      <c r="E19" s="2" t="s">
        <v>281</v>
      </c>
      <c r="F19" s="2" t="s">
        <v>282</v>
      </c>
      <c r="G19" s="2" t="s">
        <v>282</v>
      </c>
      <c r="H19" s="2" t="s">
        <v>282</v>
      </c>
      <c r="I19" s="2" t="s">
        <v>283</v>
      </c>
      <c r="J19" s="2" t="s">
        <v>247</v>
      </c>
      <c r="K19" s="2" t="s">
        <v>316</v>
      </c>
      <c r="L19" s="3">
        <v>23.75</v>
      </c>
      <c r="M19" s="3">
        <v>24.94</v>
      </c>
      <c r="N19" s="3">
        <v>49.99</v>
      </c>
      <c r="O19" s="2" t="s">
        <v>224</v>
      </c>
      <c r="P19" s="2" t="s">
        <v>225</v>
      </c>
      <c r="Q19" s="2" t="s">
        <v>226</v>
      </c>
      <c r="R19" s="2" t="s">
        <v>227</v>
      </c>
      <c r="S19" s="2" t="s">
        <v>317</v>
      </c>
      <c r="T19" s="2" t="s">
        <v>286</v>
      </c>
      <c r="U19" s="2" t="s">
        <v>287</v>
      </c>
      <c r="V19" s="2" t="s">
        <v>301</v>
      </c>
      <c r="W19" s="2" t="s">
        <v>231</v>
      </c>
      <c r="X19" s="2" t="s">
        <v>227</v>
      </c>
      <c r="Y19" s="2" t="s">
        <v>289</v>
      </c>
      <c r="Z19" s="4">
        <v>59</v>
      </c>
      <c r="AA19" s="4">
        <f>=ROUNDDOWN(10.3508771929825,0)</f>
      </c>
      <c r="AB19" s="5">
        <v>5.7</v>
      </c>
      <c r="AC19" s="2" t="s">
        <v>192</v>
      </c>
      <c r="AD19" s="4">
        <v>30</v>
      </c>
      <c r="AE19" s="4">
        <v>100</v>
      </c>
      <c r="AF19" s="6">
        <v>70</v>
      </c>
      <c r="AG19" s="6"/>
      <c r="AH19" s="7">
        <v>1</v>
      </c>
      <c r="AI19" s="4"/>
      <c r="AJ19" s="4">
        <f>=ROUNDDOWN({0},0)</f>
      </c>
      <c r="AK19" s="5"/>
      <c r="AL19" s="2" t="s">
        <v>227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227</v>
      </c>
      <c r="AW19" s="8" t="s">
        <v>227</v>
      </c>
      <c r="AX19" s="4" t="s">
        <v>227</v>
      </c>
      <c r="AY19" s="8" t="s">
        <v>227</v>
      </c>
      <c r="AZ19" s="7" t="s">
        <v>227</v>
      </c>
      <c r="BA19" s="7" t="s">
        <v>227</v>
      </c>
      <c r="BB19" s="7"/>
      <c r="BC19" s="4" t="s">
        <v>227</v>
      </c>
      <c r="BD19" s="8" t="s">
        <v>227</v>
      </c>
      <c r="BE19" s="4" t="s">
        <v>227</v>
      </c>
      <c r="BF19" s="8" t="s">
        <v>227</v>
      </c>
      <c r="BG19" s="7" t="s">
        <v>227</v>
      </c>
      <c r="BH19" s="7" t="s">
        <v>227</v>
      </c>
      <c r="BI19" s="7"/>
      <c r="BJ19" s="4">
        <v>24</v>
      </c>
      <c r="BK19" s="8">
        <v>629.82</v>
      </c>
      <c r="BL19" s="2" t="s">
        <v>318</v>
      </c>
      <c r="BM19" s="7"/>
      <c r="BN19" s="7"/>
      <c r="BO19" s="4"/>
      <c r="BP19" s="8"/>
      <c r="BQ19" s="4"/>
      <c r="BR19" s="8"/>
      <c r="BS19" s="7"/>
      <c r="BT19" s="7"/>
      <c r="BU19" s="2" t="s">
        <v>319</v>
      </c>
      <c r="BV19" s="2" t="s">
        <v>227</v>
      </c>
      <c r="BW19" s="2" t="s">
        <v>227</v>
      </c>
      <c r="BX19" s="2" t="s">
        <v>235</v>
      </c>
      <c r="BY19" s="2" t="s">
        <v>236</v>
      </c>
      <c r="BZ19" s="2" t="s">
        <v>224</v>
      </c>
      <c r="CA19" s="2" t="s">
        <v>292</v>
      </c>
      <c r="CB19" s="2" t="s">
        <v>227</v>
      </c>
      <c r="CC19" s="2" t="s">
        <v>239</v>
      </c>
      <c r="CD19" s="2" t="s">
        <v>227</v>
      </c>
      <c r="CE19" s="4">
        <v>59</v>
      </c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>
        <v>30</v>
      </c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>
        <v>50</v>
      </c>
      <c r="GR19" s="4"/>
      <c r="GS19" s="4"/>
      <c r="GT19" s="4"/>
      <c r="GU19" s="4"/>
      <c r="GV19" s="4"/>
      <c r="GW19" s="4"/>
      <c r="GX19" s="4">
        <v>20</v>
      </c>
    </row>
    <row r="20">
      <c r="A20" s="2" t="s">
        <v>320</v>
      </c>
      <c r="B20" s="2" t="s">
        <v>278</v>
      </c>
      <c r="C20" s="2" t="s">
        <v>279</v>
      </c>
      <c r="D20" s="2" t="s">
        <v>280</v>
      </c>
      <c r="E20" s="2" t="s">
        <v>281</v>
      </c>
      <c r="F20" s="2" t="s">
        <v>282</v>
      </c>
      <c r="G20" s="2" t="s">
        <v>282</v>
      </c>
      <c r="H20" s="2" t="s">
        <v>282</v>
      </c>
      <c r="I20" s="2" t="s">
        <v>283</v>
      </c>
      <c r="J20" s="2" t="s">
        <v>257</v>
      </c>
      <c r="K20" s="2" t="s">
        <v>316</v>
      </c>
      <c r="L20" s="3">
        <v>28.5</v>
      </c>
      <c r="M20" s="3">
        <v>29.93</v>
      </c>
      <c r="N20" s="3">
        <v>59.99</v>
      </c>
      <c r="O20" s="2" t="s">
        <v>224</v>
      </c>
      <c r="P20" s="2" t="s">
        <v>225</v>
      </c>
      <c r="Q20" s="2" t="s">
        <v>226</v>
      </c>
      <c r="R20" s="2" t="s">
        <v>227</v>
      </c>
      <c r="S20" s="2" t="s">
        <v>317</v>
      </c>
      <c r="T20" s="2" t="s">
        <v>286</v>
      </c>
      <c r="U20" s="2" t="s">
        <v>287</v>
      </c>
      <c r="V20" s="2" t="s">
        <v>301</v>
      </c>
      <c r="W20" s="2" t="s">
        <v>231</v>
      </c>
      <c r="X20" s="2" t="s">
        <v>227</v>
      </c>
      <c r="Y20" s="2" t="s">
        <v>289</v>
      </c>
      <c r="Z20" s="4">
        <v>59</v>
      </c>
      <c r="AA20" s="4">
        <f>=ROUNDDOWN(3.47058823529412,0)</f>
      </c>
      <c r="AB20" s="5">
        <v>17</v>
      </c>
      <c r="AC20" s="2" t="s">
        <v>192</v>
      </c>
      <c r="AD20" s="4">
        <v>120</v>
      </c>
      <c r="AE20" s="4">
        <v>400</v>
      </c>
      <c r="AF20" s="6">
        <v>70</v>
      </c>
      <c r="AG20" s="6"/>
      <c r="AH20" s="7">
        <v>1</v>
      </c>
      <c r="AI20" s="4"/>
      <c r="AJ20" s="4">
        <f>=ROUNDDOWN({0},0)</f>
      </c>
      <c r="AK20" s="5"/>
      <c r="AL20" s="2" t="s">
        <v>227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227</v>
      </c>
      <c r="AW20" s="8" t="s">
        <v>227</v>
      </c>
      <c r="AX20" s="4" t="s">
        <v>227</v>
      </c>
      <c r="AY20" s="8" t="s">
        <v>227</v>
      </c>
      <c r="AZ20" s="7" t="s">
        <v>227</v>
      </c>
      <c r="BA20" s="7" t="s">
        <v>227</v>
      </c>
      <c r="BB20" s="7"/>
      <c r="BC20" s="4" t="s">
        <v>227</v>
      </c>
      <c r="BD20" s="8" t="s">
        <v>227</v>
      </c>
      <c r="BE20" s="4" t="s">
        <v>227</v>
      </c>
      <c r="BF20" s="8" t="s">
        <v>227</v>
      </c>
      <c r="BG20" s="7" t="s">
        <v>227</v>
      </c>
      <c r="BH20" s="7" t="s">
        <v>227</v>
      </c>
      <c r="BI20" s="7"/>
      <c r="BJ20" s="4">
        <v>65</v>
      </c>
      <c r="BK20" s="8">
        <v>2065.28</v>
      </c>
      <c r="BL20" s="2" t="s">
        <v>321</v>
      </c>
      <c r="BM20" s="7"/>
      <c r="BN20" s="7"/>
      <c r="BO20" s="4"/>
      <c r="BP20" s="8"/>
      <c r="BQ20" s="4"/>
      <c r="BR20" s="8"/>
      <c r="BS20" s="7"/>
      <c r="BT20" s="7"/>
      <c r="BU20" s="2" t="s">
        <v>322</v>
      </c>
      <c r="BV20" s="2" t="s">
        <v>227</v>
      </c>
      <c r="BW20" s="2" t="s">
        <v>227</v>
      </c>
      <c r="BX20" s="2" t="s">
        <v>235</v>
      </c>
      <c r="BY20" s="2" t="s">
        <v>236</v>
      </c>
      <c r="BZ20" s="2" t="s">
        <v>224</v>
      </c>
      <c r="CA20" s="2" t="s">
        <v>292</v>
      </c>
      <c r="CB20" s="2" t="s">
        <v>323</v>
      </c>
      <c r="CC20" s="2" t="s">
        <v>239</v>
      </c>
      <c r="CD20" s="2" t="s">
        <v>227</v>
      </c>
      <c r="CE20" s="4">
        <v>59</v>
      </c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>
        <v>120</v>
      </c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>
        <v>100</v>
      </c>
      <c r="GR20" s="4"/>
      <c r="GS20" s="4"/>
      <c r="GT20" s="4"/>
      <c r="GU20" s="4"/>
      <c r="GV20" s="4"/>
      <c r="GW20" s="4"/>
      <c r="GX20" s="4">
        <v>180</v>
      </c>
    </row>
    <row r="21">
      <c r="A21" s="2" t="s">
        <v>324</v>
      </c>
      <c r="B21" s="2" t="s">
        <v>216</v>
      </c>
      <c r="C21" s="2" t="s">
        <v>217</v>
      </c>
      <c r="D21" s="2" t="s">
        <v>218</v>
      </c>
      <c r="E21" s="2" t="s">
        <v>219</v>
      </c>
      <c r="F21" s="2" t="s">
        <v>325</v>
      </c>
      <c r="G21" s="2" t="s">
        <v>325</v>
      </c>
      <c r="H21" s="2" t="s">
        <v>325</v>
      </c>
      <c r="I21" s="2" t="s">
        <v>326</v>
      </c>
      <c r="J21" s="2" t="s">
        <v>222</v>
      </c>
      <c r="K21" s="2" t="s">
        <v>223</v>
      </c>
      <c r="L21" s="3">
        <v>41.4</v>
      </c>
      <c r="M21" s="3">
        <v>43.47</v>
      </c>
      <c r="N21" s="3">
        <v>89.99</v>
      </c>
      <c r="O21" s="2" t="s">
        <v>224</v>
      </c>
      <c r="P21" s="2" t="s">
        <v>225</v>
      </c>
      <c r="Q21" s="2" t="s">
        <v>226</v>
      </c>
      <c r="R21" s="2" t="s">
        <v>227</v>
      </c>
      <c r="S21" s="2" t="s">
        <v>327</v>
      </c>
      <c r="T21" s="2" t="s">
        <v>229</v>
      </c>
      <c r="U21" s="2" t="s">
        <v>227</v>
      </c>
      <c r="V21" s="2" t="s">
        <v>230</v>
      </c>
      <c r="W21" s="2" t="s">
        <v>231</v>
      </c>
      <c r="X21" s="2" t="s">
        <v>227</v>
      </c>
      <c r="Y21" s="2" t="s">
        <v>232</v>
      </c>
      <c r="Z21" s="4">
        <v>379</v>
      </c>
      <c r="AA21" s="4">
        <f>=ROUNDDOWN(31.5833333333333,0)</f>
      </c>
      <c r="AB21" s="5">
        <v>12</v>
      </c>
      <c r="AC21" s="2" t="s">
        <v>152</v>
      </c>
      <c r="AD21" s="4">
        <v>150</v>
      </c>
      <c r="AE21" s="4">
        <v>150</v>
      </c>
      <c r="AF21" s="6">
        <v>65</v>
      </c>
      <c r="AG21" s="6"/>
      <c r="AH21" s="7">
        <v>0.7742</v>
      </c>
      <c r="AI21" s="4"/>
      <c r="AJ21" s="4">
        <f>=ROUNDDOWN({0},0)</f>
      </c>
      <c r="AK21" s="5"/>
      <c r="AL21" s="2" t="s">
        <v>227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227</v>
      </c>
      <c r="AW21" s="8" t="s">
        <v>227</v>
      </c>
      <c r="AX21" s="4" t="s">
        <v>227</v>
      </c>
      <c r="AY21" s="8" t="s">
        <v>227</v>
      </c>
      <c r="AZ21" s="7" t="s">
        <v>227</v>
      </c>
      <c r="BA21" s="7" t="s">
        <v>227</v>
      </c>
      <c r="BB21" s="7"/>
      <c r="BC21" s="4" t="s">
        <v>227</v>
      </c>
      <c r="BD21" s="8" t="s">
        <v>227</v>
      </c>
      <c r="BE21" s="4" t="s">
        <v>227</v>
      </c>
      <c r="BF21" s="8" t="s">
        <v>227</v>
      </c>
      <c r="BG21" s="7" t="s">
        <v>227</v>
      </c>
      <c r="BH21" s="7" t="s">
        <v>227</v>
      </c>
      <c r="BI21" s="7"/>
      <c r="BJ21" s="4">
        <v>51</v>
      </c>
      <c r="BK21" s="8">
        <v>2290.81</v>
      </c>
      <c r="BL21" s="2" t="s">
        <v>328</v>
      </c>
      <c r="BM21" s="7"/>
      <c r="BN21" s="7"/>
      <c r="BO21" s="4"/>
      <c r="BP21" s="8"/>
      <c r="BQ21" s="4"/>
      <c r="BR21" s="8"/>
      <c r="BS21" s="7"/>
      <c r="BT21" s="7"/>
      <c r="BU21" s="2" t="s">
        <v>329</v>
      </c>
      <c r="BV21" s="2" t="s">
        <v>227</v>
      </c>
      <c r="BW21" s="2" t="s">
        <v>227</v>
      </c>
      <c r="BX21" s="2" t="s">
        <v>235</v>
      </c>
      <c r="BY21" s="2" t="s">
        <v>236</v>
      </c>
      <c r="BZ21" s="2" t="s">
        <v>224</v>
      </c>
      <c r="CA21" s="2" t="s">
        <v>330</v>
      </c>
      <c r="CB21" s="2" t="s">
        <v>331</v>
      </c>
      <c r="CC21" s="2" t="s">
        <v>239</v>
      </c>
      <c r="CD21" s="2" t="s">
        <v>227</v>
      </c>
      <c r="CE21" s="4">
        <v>379</v>
      </c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>
        <v>150</v>
      </c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</row>
    <row r="22">
      <c r="A22" s="2" t="s">
        <v>332</v>
      </c>
      <c r="B22" s="2" t="s">
        <v>216</v>
      </c>
      <c r="C22" s="2" t="s">
        <v>217</v>
      </c>
      <c r="D22" s="2" t="s">
        <v>218</v>
      </c>
      <c r="E22" s="2" t="s">
        <v>219</v>
      </c>
      <c r="F22" s="2" t="s">
        <v>325</v>
      </c>
      <c r="G22" s="2" t="s">
        <v>325</v>
      </c>
      <c r="H22" s="2" t="s">
        <v>325</v>
      </c>
      <c r="I22" s="2" t="s">
        <v>326</v>
      </c>
      <c r="J22" s="2" t="s">
        <v>252</v>
      </c>
      <c r="K22" s="2" t="s">
        <v>223</v>
      </c>
      <c r="L22" s="3">
        <v>62.1</v>
      </c>
      <c r="M22" s="3">
        <v>65.2</v>
      </c>
      <c r="N22" s="3">
        <v>134.99</v>
      </c>
      <c r="O22" s="2" t="s">
        <v>224</v>
      </c>
      <c r="P22" s="2" t="s">
        <v>225</v>
      </c>
      <c r="Q22" s="2" t="s">
        <v>226</v>
      </c>
      <c r="R22" s="2" t="s">
        <v>227</v>
      </c>
      <c r="S22" s="2" t="s">
        <v>327</v>
      </c>
      <c r="T22" s="2" t="s">
        <v>229</v>
      </c>
      <c r="U22" s="2" t="s">
        <v>227</v>
      </c>
      <c r="V22" s="2" t="s">
        <v>230</v>
      </c>
      <c r="W22" s="2" t="s">
        <v>231</v>
      </c>
      <c r="X22" s="2" t="s">
        <v>227</v>
      </c>
      <c r="Y22" s="2" t="s">
        <v>232</v>
      </c>
      <c r="Z22" s="4">
        <v>506</v>
      </c>
      <c r="AA22" s="4">
        <f>=ROUNDDOWN(29.7647058823529,0)</f>
      </c>
      <c r="AB22" s="5">
        <v>17</v>
      </c>
      <c r="AC22" s="2" t="s">
        <v>152</v>
      </c>
      <c r="AD22" s="4">
        <v>80</v>
      </c>
      <c r="AE22" s="4">
        <v>80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227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227</v>
      </c>
      <c r="AW22" s="8" t="s">
        <v>227</v>
      </c>
      <c r="AX22" s="4" t="s">
        <v>227</v>
      </c>
      <c r="AY22" s="8" t="s">
        <v>227</v>
      </c>
      <c r="AZ22" s="7" t="s">
        <v>227</v>
      </c>
      <c r="BA22" s="7" t="s">
        <v>227</v>
      </c>
      <c r="BB22" s="7"/>
      <c r="BC22" s="4" t="s">
        <v>227</v>
      </c>
      <c r="BD22" s="8" t="s">
        <v>227</v>
      </c>
      <c r="BE22" s="4" t="s">
        <v>227</v>
      </c>
      <c r="BF22" s="8" t="s">
        <v>227</v>
      </c>
      <c r="BG22" s="7" t="s">
        <v>227</v>
      </c>
      <c r="BH22" s="7" t="s">
        <v>227</v>
      </c>
      <c r="BI22" s="7"/>
      <c r="BJ22" s="4">
        <v>64</v>
      </c>
      <c r="BK22" s="8">
        <v>4383.45</v>
      </c>
      <c r="BL22" s="2" t="s">
        <v>333</v>
      </c>
      <c r="BM22" s="7"/>
      <c r="BN22" s="7"/>
      <c r="BO22" s="4"/>
      <c r="BP22" s="8"/>
      <c r="BQ22" s="4"/>
      <c r="BR22" s="8"/>
      <c r="BS22" s="7"/>
      <c r="BT22" s="7"/>
      <c r="BU22" s="2" t="s">
        <v>334</v>
      </c>
      <c r="BV22" s="2" t="s">
        <v>227</v>
      </c>
      <c r="BW22" s="2" t="s">
        <v>227</v>
      </c>
      <c r="BX22" s="2" t="s">
        <v>235</v>
      </c>
      <c r="BY22" s="2" t="s">
        <v>236</v>
      </c>
      <c r="BZ22" s="2" t="s">
        <v>224</v>
      </c>
      <c r="CA22" s="2" t="s">
        <v>330</v>
      </c>
      <c r="CB22" s="2" t="s">
        <v>335</v>
      </c>
      <c r="CC22" s="2" t="s">
        <v>239</v>
      </c>
      <c r="CD22" s="2" t="s">
        <v>227</v>
      </c>
      <c r="CE22" s="4">
        <v>506</v>
      </c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>
        <v>80</v>
      </c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</row>
    <row r="23">
      <c r="A23" s="2" t="s">
        <v>336</v>
      </c>
      <c r="B23" s="2" t="s">
        <v>216</v>
      </c>
      <c r="C23" s="2" t="s">
        <v>217</v>
      </c>
      <c r="D23" s="2" t="s">
        <v>218</v>
      </c>
      <c r="E23" s="2" t="s">
        <v>219</v>
      </c>
      <c r="F23" s="2" t="s">
        <v>325</v>
      </c>
      <c r="G23" s="2" t="s">
        <v>325</v>
      </c>
      <c r="H23" s="2" t="s">
        <v>325</v>
      </c>
      <c r="I23" s="2" t="s">
        <v>326</v>
      </c>
      <c r="J23" s="2" t="s">
        <v>257</v>
      </c>
      <c r="K23" s="2" t="s">
        <v>223</v>
      </c>
      <c r="L23" s="3">
        <v>76.8</v>
      </c>
      <c r="M23" s="3">
        <v>80.64</v>
      </c>
      <c r="N23" s="3">
        <v>159.99</v>
      </c>
      <c r="O23" s="2" t="s">
        <v>224</v>
      </c>
      <c r="P23" s="2" t="s">
        <v>225</v>
      </c>
      <c r="Q23" s="2" t="s">
        <v>226</v>
      </c>
      <c r="R23" s="2" t="s">
        <v>227</v>
      </c>
      <c r="S23" s="2" t="s">
        <v>327</v>
      </c>
      <c r="T23" s="2" t="s">
        <v>229</v>
      </c>
      <c r="U23" s="2" t="s">
        <v>227</v>
      </c>
      <c r="V23" s="2" t="s">
        <v>230</v>
      </c>
      <c r="W23" s="2" t="s">
        <v>231</v>
      </c>
      <c r="X23" s="2" t="s">
        <v>227</v>
      </c>
      <c r="Y23" s="2" t="s">
        <v>232</v>
      </c>
      <c r="Z23" s="4">
        <v>307</v>
      </c>
      <c r="AA23" s="4">
        <f>=ROUNDDOWN(51.1666666666667,0)</f>
      </c>
      <c r="AB23" s="5">
        <v>6</v>
      </c>
      <c r="AC23" s="2" t="s">
        <v>152</v>
      </c>
      <c r="AD23" s="4">
        <v>50</v>
      </c>
      <c r="AE23" s="4">
        <v>50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227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227</v>
      </c>
      <c r="AW23" s="8" t="s">
        <v>227</v>
      </c>
      <c r="AX23" s="4" t="s">
        <v>227</v>
      </c>
      <c r="AY23" s="8" t="s">
        <v>227</v>
      </c>
      <c r="AZ23" s="7" t="s">
        <v>227</v>
      </c>
      <c r="BA23" s="7" t="s">
        <v>227</v>
      </c>
      <c r="BB23" s="7"/>
      <c r="BC23" s="4" t="s">
        <v>227</v>
      </c>
      <c r="BD23" s="8" t="s">
        <v>227</v>
      </c>
      <c r="BE23" s="4" t="s">
        <v>227</v>
      </c>
      <c r="BF23" s="8" t="s">
        <v>227</v>
      </c>
      <c r="BG23" s="7" t="s">
        <v>227</v>
      </c>
      <c r="BH23" s="7" t="s">
        <v>227</v>
      </c>
      <c r="BI23" s="7"/>
      <c r="BJ23" s="4">
        <v>17</v>
      </c>
      <c r="BK23" s="8">
        <v>1437.89</v>
      </c>
      <c r="BL23" s="2" t="s">
        <v>337</v>
      </c>
      <c r="BM23" s="7"/>
      <c r="BN23" s="7"/>
      <c r="BO23" s="4"/>
      <c r="BP23" s="8"/>
      <c r="BQ23" s="4"/>
      <c r="BR23" s="8"/>
      <c r="BS23" s="7"/>
      <c r="BT23" s="7"/>
      <c r="BU23" s="2" t="s">
        <v>338</v>
      </c>
      <c r="BV23" s="2" t="s">
        <v>227</v>
      </c>
      <c r="BW23" s="2" t="s">
        <v>227</v>
      </c>
      <c r="BX23" s="2" t="s">
        <v>235</v>
      </c>
      <c r="BY23" s="2" t="s">
        <v>236</v>
      </c>
      <c r="BZ23" s="2" t="s">
        <v>224</v>
      </c>
      <c r="CA23" s="2" t="s">
        <v>330</v>
      </c>
      <c r="CB23" s="2" t="s">
        <v>339</v>
      </c>
      <c r="CC23" s="2" t="s">
        <v>239</v>
      </c>
      <c r="CD23" s="2" t="s">
        <v>227</v>
      </c>
      <c r="CE23" s="4">
        <v>307</v>
      </c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>
        <v>50</v>
      </c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</row>
    <row r="24">
      <c r="A24" s="2" t="s">
        <v>340</v>
      </c>
      <c r="B24" s="2" t="s">
        <v>216</v>
      </c>
      <c r="C24" s="2" t="s">
        <v>217</v>
      </c>
      <c r="D24" s="2" t="s">
        <v>218</v>
      </c>
      <c r="E24" s="2" t="s">
        <v>219</v>
      </c>
      <c r="F24" s="2" t="s">
        <v>341</v>
      </c>
      <c r="G24" s="2" t="s">
        <v>341</v>
      </c>
      <c r="H24" s="2" t="s">
        <v>341</v>
      </c>
      <c r="I24" s="2" t="s">
        <v>263</v>
      </c>
      <c r="J24" s="2" t="s">
        <v>222</v>
      </c>
      <c r="K24" s="2" t="s">
        <v>264</v>
      </c>
      <c r="L24" s="3">
        <v>68.26</v>
      </c>
      <c r="M24" s="3">
        <v>71.67</v>
      </c>
      <c r="N24" s="3">
        <v>129.99</v>
      </c>
      <c r="O24" s="2" t="s">
        <v>224</v>
      </c>
      <c r="P24" s="2" t="s">
        <v>225</v>
      </c>
      <c r="Q24" s="2" t="s">
        <v>226</v>
      </c>
      <c r="R24" s="2" t="s">
        <v>227</v>
      </c>
      <c r="S24" s="2" t="s">
        <v>342</v>
      </c>
      <c r="T24" s="2" t="s">
        <v>229</v>
      </c>
      <c r="U24" s="2" t="s">
        <v>227</v>
      </c>
      <c r="V24" s="2" t="s">
        <v>230</v>
      </c>
      <c r="W24" s="2" t="s">
        <v>231</v>
      </c>
      <c r="X24" s="2" t="s">
        <v>227</v>
      </c>
      <c r="Y24" s="2" t="s">
        <v>232</v>
      </c>
      <c r="Z24" s="4">
        <v>175</v>
      </c>
      <c r="AA24" s="4">
        <f>=ROUNDDOWN(35,0)</f>
      </c>
      <c r="AB24" s="5">
        <v>5</v>
      </c>
      <c r="AC24" s="2" t="s">
        <v>156</v>
      </c>
      <c r="AD24" s="4">
        <v>50</v>
      </c>
      <c r="AE24" s="4">
        <v>50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227</v>
      </c>
      <c r="AM24" s="4"/>
      <c r="AN24" s="4"/>
      <c r="AO24" s="7"/>
      <c r="AP24" s="4"/>
      <c r="AQ24" s="8"/>
      <c r="AR24" s="4"/>
      <c r="AS24" s="8"/>
      <c r="AT24" s="7"/>
      <c r="AU24" s="7"/>
      <c r="AV24" s="4"/>
      <c r="AW24" s="8"/>
      <c r="AX24" s="4"/>
      <c r="AY24" s="8"/>
      <c r="AZ24" s="7"/>
      <c r="BA24" s="7"/>
      <c r="BB24" s="7"/>
      <c r="BC24" s="4"/>
      <c r="BD24" s="8"/>
      <c r="BE24" s="4"/>
      <c r="BF24" s="8"/>
      <c r="BG24" s="7"/>
      <c r="BH24" s="7"/>
      <c r="BI24" s="7"/>
      <c r="BJ24" s="4">
        <v>45</v>
      </c>
      <c r="BK24" s="8">
        <v>3132.29</v>
      </c>
      <c r="BL24" s="2" t="s">
        <v>343</v>
      </c>
      <c r="BM24" s="7"/>
      <c r="BN24" s="7"/>
      <c r="BO24" s="4"/>
      <c r="BP24" s="8"/>
      <c r="BQ24" s="4"/>
      <c r="BR24" s="8"/>
      <c r="BS24" s="7"/>
      <c r="BT24" s="7"/>
      <c r="BU24" s="2" t="s">
        <v>344</v>
      </c>
      <c r="BV24" s="2" t="s">
        <v>227</v>
      </c>
      <c r="BW24" s="2" t="s">
        <v>227</v>
      </c>
      <c r="BX24" s="2" t="s">
        <v>235</v>
      </c>
      <c r="BY24" s="2" t="s">
        <v>236</v>
      </c>
      <c r="BZ24" s="2" t="s">
        <v>224</v>
      </c>
      <c r="CA24" s="2" t="s">
        <v>237</v>
      </c>
      <c r="CB24" s="2" t="s">
        <v>345</v>
      </c>
      <c r="CC24" s="2" t="s">
        <v>239</v>
      </c>
      <c r="CD24" s="2" t="s">
        <v>227</v>
      </c>
      <c r="CE24" s="4">
        <v>175</v>
      </c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>
        <v>50</v>
      </c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</row>
    <row r="25">
      <c r="A25" s="2" t="s">
        <v>346</v>
      </c>
      <c r="B25" s="2" t="s">
        <v>216</v>
      </c>
      <c r="C25" s="2" t="s">
        <v>217</v>
      </c>
      <c r="D25" s="2" t="s">
        <v>218</v>
      </c>
      <c r="E25" s="2" t="s">
        <v>219</v>
      </c>
      <c r="F25" s="2" t="s">
        <v>347</v>
      </c>
      <c r="G25" s="2" t="s">
        <v>348</v>
      </c>
      <c r="H25" s="2" t="s">
        <v>347</v>
      </c>
      <c r="I25" s="2" t="s">
        <v>349</v>
      </c>
      <c r="J25" s="2" t="s">
        <v>222</v>
      </c>
      <c r="K25" s="2" t="s">
        <v>264</v>
      </c>
      <c r="L25" s="3">
        <v>79.49</v>
      </c>
      <c r="M25" s="3">
        <v>83.46</v>
      </c>
      <c r="N25" s="3">
        <v>149.99</v>
      </c>
      <c r="O25" s="2" t="s">
        <v>224</v>
      </c>
      <c r="P25" s="2" t="s">
        <v>225</v>
      </c>
      <c r="Q25" s="2" t="s">
        <v>226</v>
      </c>
      <c r="R25" s="2" t="s">
        <v>227</v>
      </c>
      <c r="S25" s="2" t="s">
        <v>350</v>
      </c>
      <c r="T25" s="2" t="s">
        <v>229</v>
      </c>
      <c r="U25" s="2" t="s">
        <v>227</v>
      </c>
      <c r="V25" s="2" t="s">
        <v>230</v>
      </c>
      <c r="W25" s="2" t="s">
        <v>231</v>
      </c>
      <c r="X25" s="2" t="s">
        <v>227</v>
      </c>
      <c r="Y25" s="2" t="s">
        <v>232</v>
      </c>
      <c r="Z25" s="4">
        <v>169</v>
      </c>
      <c r="AA25" s="4">
        <f>=ROUNDDOWN(42.25,0)</f>
      </c>
      <c r="AB25" s="5">
        <v>4</v>
      </c>
      <c r="AC25" s="2" t="s">
        <v>227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227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227</v>
      </c>
      <c r="AW25" s="8" t="s">
        <v>227</v>
      </c>
      <c r="AX25" s="4" t="s">
        <v>227</v>
      </c>
      <c r="AY25" s="8" t="s">
        <v>227</v>
      </c>
      <c r="AZ25" s="7" t="s">
        <v>227</v>
      </c>
      <c r="BA25" s="7" t="s">
        <v>227</v>
      </c>
      <c r="BB25" s="7"/>
      <c r="BC25" s="4" t="s">
        <v>227</v>
      </c>
      <c r="BD25" s="8" t="s">
        <v>227</v>
      </c>
      <c r="BE25" s="4" t="s">
        <v>227</v>
      </c>
      <c r="BF25" s="8" t="s">
        <v>227</v>
      </c>
      <c r="BG25" s="7" t="s">
        <v>227</v>
      </c>
      <c r="BH25" s="7" t="s">
        <v>227</v>
      </c>
      <c r="BI25" s="7"/>
      <c r="BJ25" s="4">
        <v>33</v>
      </c>
      <c r="BK25" s="8">
        <v>2415.5</v>
      </c>
      <c r="BL25" s="2" t="s">
        <v>351</v>
      </c>
      <c r="BM25" s="7"/>
      <c r="BN25" s="7"/>
      <c r="BO25" s="4"/>
      <c r="BP25" s="8"/>
      <c r="BQ25" s="4"/>
      <c r="BR25" s="8"/>
      <c r="BS25" s="7"/>
      <c r="BT25" s="7"/>
      <c r="BU25" s="2" t="s">
        <v>352</v>
      </c>
      <c r="BV25" s="2" t="s">
        <v>227</v>
      </c>
      <c r="BW25" s="2" t="s">
        <v>227</v>
      </c>
      <c r="BX25" s="2" t="s">
        <v>235</v>
      </c>
      <c r="BY25" s="2" t="s">
        <v>236</v>
      </c>
      <c r="BZ25" s="2" t="s">
        <v>224</v>
      </c>
      <c r="CA25" s="2" t="s">
        <v>353</v>
      </c>
      <c r="CB25" s="2" t="s">
        <v>354</v>
      </c>
      <c r="CC25" s="2" t="s">
        <v>239</v>
      </c>
      <c r="CD25" s="2" t="s">
        <v>227</v>
      </c>
      <c r="CE25" s="4">
        <v>169</v>
      </c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</row>
    <row r="26">
      <c r="A26" s="2" t="s">
        <v>355</v>
      </c>
      <c r="B26" s="2" t="s">
        <v>216</v>
      </c>
      <c r="C26" s="2" t="s">
        <v>217</v>
      </c>
      <c r="D26" s="2" t="s">
        <v>218</v>
      </c>
      <c r="E26" s="2" t="s">
        <v>219</v>
      </c>
      <c r="F26" s="2" t="s">
        <v>347</v>
      </c>
      <c r="G26" s="2" t="s">
        <v>348</v>
      </c>
      <c r="H26" s="2" t="s">
        <v>347</v>
      </c>
      <c r="I26" s="2" t="s">
        <v>349</v>
      </c>
      <c r="J26" s="2" t="s">
        <v>257</v>
      </c>
      <c r="K26" s="2" t="s">
        <v>264</v>
      </c>
      <c r="L26" s="3">
        <v>137.79</v>
      </c>
      <c r="M26" s="3">
        <v>144.68</v>
      </c>
      <c r="N26" s="3">
        <v>259.99</v>
      </c>
      <c r="O26" s="2" t="s">
        <v>224</v>
      </c>
      <c r="P26" s="2" t="s">
        <v>225</v>
      </c>
      <c r="Q26" s="2" t="s">
        <v>226</v>
      </c>
      <c r="R26" s="2" t="s">
        <v>227</v>
      </c>
      <c r="S26" s="2" t="s">
        <v>350</v>
      </c>
      <c r="T26" s="2" t="s">
        <v>229</v>
      </c>
      <c r="U26" s="2" t="s">
        <v>227</v>
      </c>
      <c r="V26" s="2" t="s">
        <v>230</v>
      </c>
      <c r="W26" s="2" t="s">
        <v>231</v>
      </c>
      <c r="X26" s="2" t="s">
        <v>227</v>
      </c>
      <c r="Y26" s="2" t="s">
        <v>232</v>
      </c>
      <c r="Z26" s="4">
        <v>181</v>
      </c>
      <c r="AA26" s="4">
        <f>=ROUNDDOWN(36.2,0)</f>
      </c>
      <c r="AB26" s="5">
        <v>5</v>
      </c>
      <c r="AC26" s="2" t="s">
        <v>187</v>
      </c>
      <c r="AD26" s="4">
        <v>50</v>
      </c>
      <c r="AE26" s="4">
        <v>50</v>
      </c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227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227</v>
      </c>
      <c r="AW26" s="8" t="s">
        <v>227</v>
      </c>
      <c r="AX26" s="4" t="s">
        <v>227</v>
      </c>
      <c r="AY26" s="8" t="s">
        <v>227</v>
      </c>
      <c r="AZ26" s="7" t="s">
        <v>227</v>
      </c>
      <c r="BA26" s="7" t="s">
        <v>227</v>
      </c>
      <c r="BB26" s="7"/>
      <c r="BC26" s="4" t="s">
        <v>227</v>
      </c>
      <c r="BD26" s="8" t="s">
        <v>227</v>
      </c>
      <c r="BE26" s="4" t="s">
        <v>227</v>
      </c>
      <c r="BF26" s="8" t="s">
        <v>227</v>
      </c>
      <c r="BG26" s="7" t="s">
        <v>227</v>
      </c>
      <c r="BH26" s="7" t="s">
        <v>227</v>
      </c>
      <c r="BI26" s="7"/>
      <c r="BJ26" s="4">
        <v>12</v>
      </c>
      <c r="BK26" s="8">
        <v>1750.94</v>
      </c>
      <c r="BL26" s="2" t="s">
        <v>356</v>
      </c>
      <c r="BM26" s="7"/>
      <c r="BN26" s="7"/>
      <c r="BO26" s="4"/>
      <c r="BP26" s="8"/>
      <c r="BQ26" s="4"/>
      <c r="BR26" s="8"/>
      <c r="BS26" s="7"/>
      <c r="BT26" s="7"/>
      <c r="BU26" s="2" t="s">
        <v>357</v>
      </c>
      <c r="BV26" s="2" t="s">
        <v>227</v>
      </c>
      <c r="BW26" s="2" t="s">
        <v>227</v>
      </c>
      <c r="BX26" s="2" t="s">
        <v>235</v>
      </c>
      <c r="BY26" s="2" t="s">
        <v>236</v>
      </c>
      <c r="BZ26" s="2" t="s">
        <v>224</v>
      </c>
      <c r="CA26" s="2" t="s">
        <v>353</v>
      </c>
      <c r="CB26" s="2" t="s">
        <v>358</v>
      </c>
      <c r="CC26" s="2" t="s">
        <v>239</v>
      </c>
      <c r="CD26" s="2" t="s">
        <v>227</v>
      </c>
      <c r="CE26" s="4">
        <v>181</v>
      </c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>
        <v>50</v>
      </c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</row>
    <row r="27">
      <c r="A27" s="2" t="s">
        <v>359</v>
      </c>
      <c r="B27" s="2" t="s">
        <v>278</v>
      </c>
      <c r="C27" s="2" t="s">
        <v>360</v>
      </c>
      <c r="D27" s="2" t="s">
        <v>280</v>
      </c>
      <c r="E27" s="2" t="s">
        <v>281</v>
      </c>
      <c r="F27" s="2" t="s">
        <v>361</v>
      </c>
      <c r="G27" s="2" t="s">
        <v>361</v>
      </c>
      <c r="H27" s="2" t="s">
        <v>361</v>
      </c>
      <c r="I27" s="2" t="s">
        <v>362</v>
      </c>
      <c r="J27" s="2" t="s">
        <v>257</v>
      </c>
      <c r="K27" s="2" t="s">
        <v>363</v>
      </c>
      <c r="L27" s="3">
        <v>33</v>
      </c>
      <c r="M27" s="3">
        <v>34.65</v>
      </c>
      <c r="N27" s="3">
        <v>69.99</v>
      </c>
      <c r="O27" s="2" t="s">
        <v>224</v>
      </c>
      <c r="P27" s="2" t="s">
        <v>225</v>
      </c>
      <c r="Q27" s="2" t="s">
        <v>226</v>
      </c>
      <c r="R27" s="2" t="s">
        <v>227</v>
      </c>
      <c r="S27" s="2" t="s">
        <v>364</v>
      </c>
      <c r="T27" s="2" t="s">
        <v>286</v>
      </c>
      <c r="U27" s="2" t="s">
        <v>287</v>
      </c>
      <c r="V27" s="2" t="s">
        <v>230</v>
      </c>
      <c r="W27" s="2" t="s">
        <v>231</v>
      </c>
      <c r="X27" s="2" t="s">
        <v>227</v>
      </c>
      <c r="Y27" s="2" t="s">
        <v>365</v>
      </c>
      <c r="Z27" s="4"/>
      <c r="AA27" s="4">
        <f>=ROUNDDOWN({0},0)</f>
      </c>
      <c r="AB27" s="5">
        <v>9</v>
      </c>
      <c r="AC27" s="2" t="s">
        <v>366</v>
      </c>
      <c r="AD27" s="4">
        <v>200</v>
      </c>
      <c r="AE27" s="4">
        <v>250</v>
      </c>
      <c r="AF27" s="6">
        <v>69</v>
      </c>
      <c r="AG27" s="6"/>
      <c r="AH27" s="7">
        <v>0</v>
      </c>
      <c r="AI27" s="4"/>
      <c r="AJ27" s="4">
        <f>=ROUNDDOWN({0},0)</f>
      </c>
      <c r="AK27" s="5"/>
      <c r="AL27" s="2" t="s">
        <v>227</v>
      </c>
      <c r="AM27" s="4"/>
      <c r="AN27" s="4"/>
      <c r="AO27" s="7"/>
      <c r="AP27" s="4"/>
      <c r="AQ27" s="8"/>
      <c r="AR27" s="4"/>
      <c r="AS27" s="8"/>
      <c r="AT27" s="7"/>
      <c r="AU27" s="7"/>
      <c r="AV27" s="4"/>
      <c r="AW27" s="8"/>
      <c r="AX27" s="4"/>
      <c r="AY27" s="8"/>
      <c r="AZ27" s="7"/>
      <c r="BA27" s="7"/>
      <c r="BB27" s="7"/>
      <c r="BC27" s="4"/>
      <c r="BD27" s="8"/>
      <c r="BE27" s="4"/>
      <c r="BF27" s="8"/>
      <c r="BG27" s="7"/>
      <c r="BH27" s="7"/>
      <c r="BI27" s="7"/>
      <c r="BJ27" s="4"/>
      <c r="BK27" s="8"/>
      <c r="BL27" s="2" t="s">
        <v>367</v>
      </c>
      <c r="BM27" s="7"/>
      <c r="BN27" s="7"/>
      <c r="BO27" s="4"/>
      <c r="BP27" s="8"/>
      <c r="BQ27" s="4"/>
      <c r="BR27" s="8"/>
      <c r="BS27" s="7"/>
      <c r="BT27" s="7"/>
      <c r="BU27" s="2" t="s">
        <v>368</v>
      </c>
      <c r="BV27" s="2" t="s">
        <v>227</v>
      </c>
      <c r="BW27" s="2" t="s">
        <v>227</v>
      </c>
      <c r="BX27" s="2" t="s">
        <v>235</v>
      </c>
      <c r="BY27" s="2" t="s">
        <v>236</v>
      </c>
      <c r="BZ27" s="2" t="s">
        <v>224</v>
      </c>
      <c r="CA27" s="2" t="s">
        <v>369</v>
      </c>
      <c r="CB27" s="2" t="s">
        <v>370</v>
      </c>
      <c r="CC27" s="2" t="s">
        <v>239</v>
      </c>
      <c r="CD27" s="2" t="s">
        <v>227</v>
      </c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>
        <v>200</v>
      </c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>
        <v>50</v>
      </c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</row>
    <row r="28">
      <c r="A28" s="2" t="s">
        <v>371</v>
      </c>
      <c r="B28" s="2" t="s">
        <v>278</v>
      </c>
      <c r="C28" s="2" t="s">
        <v>360</v>
      </c>
      <c r="D28" s="2" t="s">
        <v>280</v>
      </c>
      <c r="E28" s="2" t="s">
        <v>281</v>
      </c>
      <c r="F28" s="2" t="s">
        <v>372</v>
      </c>
      <c r="G28" s="2" t="s">
        <v>372</v>
      </c>
      <c r="H28" s="2" t="s">
        <v>372</v>
      </c>
      <c r="I28" s="2" t="s">
        <v>373</v>
      </c>
      <c r="J28" s="2" t="s">
        <v>222</v>
      </c>
      <c r="K28" s="2" t="s">
        <v>223</v>
      </c>
      <c r="L28" s="3">
        <v>13.44</v>
      </c>
      <c r="M28" s="3">
        <v>14.11</v>
      </c>
      <c r="N28" s="3">
        <v>27.99</v>
      </c>
      <c r="O28" s="2" t="s">
        <v>224</v>
      </c>
      <c r="P28" s="2" t="s">
        <v>225</v>
      </c>
      <c r="Q28" s="2" t="s">
        <v>226</v>
      </c>
      <c r="R28" s="2" t="s">
        <v>227</v>
      </c>
      <c r="S28" s="2" t="s">
        <v>374</v>
      </c>
      <c r="T28" s="2" t="s">
        <v>375</v>
      </c>
      <c r="U28" s="2" t="s">
        <v>227</v>
      </c>
      <c r="V28" s="2" t="s">
        <v>230</v>
      </c>
      <c r="W28" s="2" t="s">
        <v>231</v>
      </c>
      <c r="X28" s="2" t="s">
        <v>227</v>
      </c>
      <c r="Y28" s="2" t="s">
        <v>232</v>
      </c>
      <c r="Z28" s="4">
        <v>90</v>
      </c>
      <c r="AA28" s="4">
        <f>=ROUNDDOWN(15,0)</f>
      </c>
      <c r="AB28" s="5">
        <v>6</v>
      </c>
      <c r="AC28" s="2" t="s">
        <v>182</v>
      </c>
      <c r="AD28" s="4">
        <v>30</v>
      </c>
      <c r="AE28" s="4">
        <v>120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227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227</v>
      </c>
      <c r="AW28" s="8" t="s">
        <v>227</v>
      </c>
      <c r="AX28" s="4" t="s">
        <v>227</v>
      </c>
      <c r="AY28" s="8" t="s">
        <v>227</v>
      </c>
      <c r="AZ28" s="7" t="s">
        <v>227</v>
      </c>
      <c r="BA28" s="7" t="s">
        <v>227</v>
      </c>
      <c r="BB28" s="7"/>
      <c r="BC28" s="4" t="s">
        <v>227</v>
      </c>
      <c r="BD28" s="8" t="s">
        <v>227</v>
      </c>
      <c r="BE28" s="4" t="s">
        <v>227</v>
      </c>
      <c r="BF28" s="8" t="s">
        <v>227</v>
      </c>
      <c r="BG28" s="7" t="s">
        <v>227</v>
      </c>
      <c r="BH28" s="7" t="s">
        <v>227</v>
      </c>
      <c r="BI28" s="7"/>
      <c r="BJ28" s="4">
        <v>24</v>
      </c>
      <c r="BK28" s="8">
        <v>331.29</v>
      </c>
      <c r="BL28" s="2" t="s">
        <v>376</v>
      </c>
      <c r="BM28" s="7"/>
      <c r="BN28" s="7"/>
      <c r="BO28" s="4"/>
      <c r="BP28" s="8"/>
      <c r="BQ28" s="4"/>
      <c r="BR28" s="8"/>
      <c r="BS28" s="7"/>
      <c r="BT28" s="7"/>
      <c r="BU28" s="2" t="s">
        <v>377</v>
      </c>
      <c r="BV28" s="2" t="s">
        <v>227</v>
      </c>
      <c r="BW28" s="2" t="s">
        <v>227</v>
      </c>
      <c r="BX28" s="2" t="s">
        <v>235</v>
      </c>
      <c r="BY28" s="2" t="s">
        <v>236</v>
      </c>
      <c r="BZ28" s="2" t="s">
        <v>224</v>
      </c>
      <c r="CA28" s="2" t="s">
        <v>237</v>
      </c>
      <c r="CB28" s="2" t="s">
        <v>378</v>
      </c>
      <c r="CC28" s="2" t="s">
        <v>239</v>
      </c>
      <c r="CD28" s="2" t="s">
        <v>227</v>
      </c>
      <c r="CE28" s="4">
        <v>90</v>
      </c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>
        <v>30</v>
      </c>
      <c r="FS28" s="4"/>
      <c r="FT28" s="4"/>
      <c r="FU28" s="4"/>
      <c r="FV28" s="4"/>
      <c r="FW28" s="4">
        <v>30</v>
      </c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>
        <v>60</v>
      </c>
      <c r="GT28" s="4"/>
      <c r="GU28" s="4"/>
      <c r="GV28" s="4"/>
      <c r="GW28" s="4"/>
      <c r="GX28" s="4"/>
    </row>
    <row r="29">
      <c r="A29" s="2" t="s">
        <v>379</v>
      </c>
      <c r="B29" s="2" t="s">
        <v>278</v>
      </c>
      <c r="C29" s="2" t="s">
        <v>360</v>
      </c>
      <c r="D29" s="2" t="s">
        <v>280</v>
      </c>
      <c r="E29" s="2" t="s">
        <v>281</v>
      </c>
      <c r="F29" s="2" t="s">
        <v>372</v>
      </c>
      <c r="G29" s="2" t="s">
        <v>372</v>
      </c>
      <c r="H29" s="2" t="s">
        <v>372</v>
      </c>
      <c r="I29" s="2" t="s">
        <v>373</v>
      </c>
      <c r="J29" s="2" t="s">
        <v>241</v>
      </c>
      <c r="K29" s="2" t="s">
        <v>223</v>
      </c>
      <c r="L29" s="3">
        <v>15.19</v>
      </c>
      <c r="M29" s="3">
        <v>15.95</v>
      </c>
      <c r="N29" s="3">
        <v>30.99</v>
      </c>
      <c r="O29" s="2" t="s">
        <v>224</v>
      </c>
      <c r="P29" s="2" t="s">
        <v>225</v>
      </c>
      <c r="Q29" s="2" t="s">
        <v>226</v>
      </c>
      <c r="R29" s="2" t="s">
        <v>227</v>
      </c>
      <c r="S29" s="2" t="s">
        <v>374</v>
      </c>
      <c r="T29" s="2" t="s">
        <v>375</v>
      </c>
      <c r="U29" s="2" t="s">
        <v>227</v>
      </c>
      <c r="V29" s="2" t="s">
        <v>230</v>
      </c>
      <c r="W29" s="2" t="s">
        <v>231</v>
      </c>
      <c r="X29" s="2" t="s">
        <v>227</v>
      </c>
      <c r="Y29" s="2" t="s">
        <v>232</v>
      </c>
      <c r="Z29" s="4">
        <v>250</v>
      </c>
      <c r="AA29" s="4">
        <f>=ROUNDDOWN(50,0)</f>
      </c>
      <c r="AB29" s="5">
        <v>5</v>
      </c>
      <c r="AC29" s="2" t="s">
        <v>227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227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227</v>
      </c>
      <c r="AW29" s="8" t="s">
        <v>227</v>
      </c>
      <c r="AX29" s="4" t="s">
        <v>227</v>
      </c>
      <c r="AY29" s="8" t="s">
        <v>227</v>
      </c>
      <c r="AZ29" s="7" t="s">
        <v>227</v>
      </c>
      <c r="BA29" s="7" t="s">
        <v>227</v>
      </c>
      <c r="BB29" s="7"/>
      <c r="BC29" s="4" t="s">
        <v>227</v>
      </c>
      <c r="BD29" s="8" t="s">
        <v>227</v>
      </c>
      <c r="BE29" s="4" t="s">
        <v>227</v>
      </c>
      <c r="BF29" s="8" t="s">
        <v>227</v>
      </c>
      <c r="BG29" s="7" t="s">
        <v>227</v>
      </c>
      <c r="BH29" s="7" t="s">
        <v>227</v>
      </c>
      <c r="BI29" s="7"/>
      <c r="BJ29" s="4">
        <v>73</v>
      </c>
      <c r="BK29" s="8">
        <v>1111.79</v>
      </c>
      <c r="BL29" s="2" t="s">
        <v>380</v>
      </c>
      <c r="BM29" s="7"/>
      <c r="BN29" s="7"/>
      <c r="BO29" s="4"/>
      <c r="BP29" s="8"/>
      <c r="BQ29" s="4"/>
      <c r="BR29" s="8"/>
      <c r="BS29" s="7"/>
      <c r="BT29" s="7"/>
      <c r="BU29" s="2" t="s">
        <v>381</v>
      </c>
      <c r="BV29" s="2" t="s">
        <v>227</v>
      </c>
      <c r="BW29" s="2" t="s">
        <v>227</v>
      </c>
      <c r="BX29" s="2" t="s">
        <v>235</v>
      </c>
      <c r="BY29" s="2" t="s">
        <v>236</v>
      </c>
      <c r="BZ29" s="2" t="s">
        <v>224</v>
      </c>
      <c r="CA29" s="2" t="s">
        <v>237</v>
      </c>
      <c r="CB29" s="2" t="s">
        <v>382</v>
      </c>
      <c r="CC29" s="2" t="s">
        <v>239</v>
      </c>
      <c r="CD29" s="2" t="s">
        <v>227</v>
      </c>
      <c r="CE29" s="4">
        <v>250</v>
      </c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</row>
    <row r="30">
      <c r="A30" s="2" t="s">
        <v>383</v>
      </c>
      <c r="B30" s="2" t="s">
        <v>278</v>
      </c>
      <c r="C30" s="2" t="s">
        <v>360</v>
      </c>
      <c r="D30" s="2" t="s">
        <v>280</v>
      </c>
      <c r="E30" s="2" t="s">
        <v>281</v>
      </c>
      <c r="F30" s="2" t="s">
        <v>372</v>
      </c>
      <c r="G30" s="2" t="s">
        <v>372</v>
      </c>
      <c r="H30" s="2" t="s">
        <v>372</v>
      </c>
      <c r="I30" s="2" t="s">
        <v>373</v>
      </c>
      <c r="J30" s="2" t="s">
        <v>384</v>
      </c>
      <c r="K30" s="2" t="s">
        <v>223</v>
      </c>
      <c r="L30" s="3">
        <v>21.5</v>
      </c>
      <c r="M30" s="3">
        <v>22.58</v>
      </c>
      <c r="N30" s="3">
        <v>42.99</v>
      </c>
      <c r="O30" s="2" t="s">
        <v>224</v>
      </c>
      <c r="P30" s="2" t="s">
        <v>225</v>
      </c>
      <c r="Q30" s="2" t="s">
        <v>226</v>
      </c>
      <c r="R30" s="2" t="s">
        <v>227</v>
      </c>
      <c r="S30" s="2" t="s">
        <v>374</v>
      </c>
      <c r="T30" s="2" t="s">
        <v>375</v>
      </c>
      <c r="U30" s="2" t="s">
        <v>227</v>
      </c>
      <c r="V30" s="2" t="s">
        <v>230</v>
      </c>
      <c r="W30" s="2" t="s">
        <v>231</v>
      </c>
      <c r="X30" s="2" t="s">
        <v>227</v>
      </c>
      <c r="Y30" s="2" t="s">
        <v>232</v>
      </c>
      <c r="Z30" s="4">
        <v>152</v>
      </c>
      <c r="AA30" s="4">
        <f>=ROUNDDOWN(38,0)</f>
      </c>
      <c r="AB30" s="5">
        <v>4</v>
      </c>
      <c r="AC30" s="2" t="s">
        <v>227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227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227</v>
      </c>
      <c r="AW30" s="8" t="s">
        <v>227</v>
      </c>
      <c r="AX30" s="4" t="s">
        <v>227</v>
      </c>
      <c r="AY30" s="8" t="s">
        <v>227</v>
      </c>
      <c r="AZ30" s="7" t="s">
        <v>227</v>
      </c>
      <c r="BA30" s="7" t="s">
        <v>227</v>
      </c>
      <c r="BB30" s="7"/>
      <c r="BC30" s="4" t="s">
        <v>227</v>
      </c>
      <c r="BD30" s="8" t="s">
        <v>227</v>
      </c>
      <c r="BE30" s="4" t="s">
        <v>227</v>
      </c>
      <c r="BF30" s="8" t="s">
        <v>227</v>
      </c>
      <c r="BG30" s="7" t="s">
        <v>227</v>
      </c>
      <c r="BH30" s="7" t="s">
        <v>227</v>
      </c>
      <c r="BI30" s="7"/>
      <c r="BJ30" s="4">
        <v>12</v>
      </c>
      <c r="BK30" s="8">
        <v>275</v>
      </c>
      <c r="BL30" s="2" t="s">
        <v>385</v>
      </c>
      <c r="BM30" s="7"/>
      <c r="BN30" s="7"/>
      <c r="BO30" s="4"/>
      <c r="BP30" s="8"/>
      <c r="BQ30" s="4"/>
      <c r="BR30" s="8"/>
      <c r="BS30" s="7"/>
      <c r="BT30" s="7"/>
      <c r="BU30" s="2" t="s">
        <v>386</v>
      </c>
      <c r="BV30" s="2" t="s">
        <v>227</v>
      </c>
      <c r="BW30" s="2" t="s">
        <v>227</v>
      </c>
      <c r="BX30" s="2" t="s">
        <v>235</v>
      </c>
      <c r="BY30" s="2" t="s">
        <v>236</v>
      </c>
      <c r="BZ30" s="2" t="s">
        <v>224</v>
      </c>
      <c r="CA30" s="2" t="s">
        <v>237</v>
      </c>
      <c r="CB30" s="2" t="s">
        <v>387</v>
      </c>
      <c r="CC30" s="2" t="s">
        <v>239</v>
      </c>
      <c r="CD30" s="2" t="s">
        <v>227</v>
      </c>
      <c r="CE30" s="4">
        <v>152</v>
      </c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</row>
    <row r="31">
      <c r="A31" s="2" t="s">
        <v>388</v>
      </c>
      <c r="B31" s="2" t="s">
        <v>278</v>
      </c>
      <c r="C31" s="2" t="s">
        <v>360</v>
      </c>
      <c r="D31" s="2" t="s">
        <v>280</v>
      </c>
      <c r="E31" s="2" t="s">
        <v>281</v>
      </c>
      <c r="F31" s="2" t="s">
        <v>372</v>
      </c>
      <c r="G31" s="2" t="s">
        <v>372</v>
      </c>
      <c r="H31" s="2" t="s">
        <v>372</v>
      </c>
      <c r="I31" s="2" t="s">
        <v>373</v>
      </c>
      <c r="J31" s="2" t="s">
        <v>222</v>
      </c>
      <c r="K31" s="2" t="s">
        <v>389</v>
      </c>
      <c r="L31" s="3">
        <v>13.44</v>
      </c>
      <c r="M31" s="3">
        <v>14.11</v>
      </c>
      <c r="N31" s="3">
        <v>27.99</v>
      </c>
      <c r="O31" s="2" t="s">
        <v>224</v>
      </c>
      <c r="P31" s="2" t="s">
        <v>225</v>
      </c>
      <c r="Q31" s="2" t="s">
        <v>226</v>
      </c>
      <c r="R31" s="2" t="s">
        <v>227</v>
      </c>
      <c r="S31" s="2" t="s">
        <v>390</v>
      </c>
      <c r="T31" s="2" t="s">
        <v>375</v>
      </c>
      <c r="U31" s="2" t="s">
        <v>227</v>
      </c>
      <c r="V31" s="2" t="s">
        <v>230</v>
      </c>
      <c r="W31" s="2" t="s">
        <v>231</v>
      </c>
      <c r="X31" s="2" t="s">
        <v>227</v>
      </c>
      <c r="Y31" s="2" t="s">
        <v>391</v>
      </c>
      <c r="Z31" s="4">
        <v>172</v>
      </c>
      <c r="AA31" s="4">
        <f>=ROUNDDOWN(86,0)</f>
      </c>
      <c r="AB31" s="5">
        <v>2</v>
      </c>
      <c r="AC31" s="2" t="s">
        <v>227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227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227</v>
      </c>
      <c r="AW31" s="8" t="s">
        <v>227</v>
      </c>
      <c r="AX31" s="4" t="s">
        <v>227</v>
      </c>
      <c r="AY31" s="8" t="s">
        <v>227</v>
      </c>
      <c r="AZ31" s="7" t="s">
        <v>227</v>
      </c>
      <c r="BA31" s="7" t="s">
        <v>227</v>
      </c>
      <c r="BB31" s="7"/>
      <c r="BC31" s="4" t="s">
        <v>227</v>
      </c>
      <c r="BD31" s="8" t="s">
        <v>227</v>
      </c>
      <c r="BE31" s="4" t="s">
        <v>227</v>
      </c>
      <c r="BF31" s="8" t="s">
        <v>227</v>
      </c>
      <c r="BG31" s="7" t="s">
        <v>227</v>
      </c>
      <c r="BH31" s="7" t="s">
        <v>227</v>
      </c>
      <c r="BI31" s="7"/>
      <c r="BJ31" s="4">
        <v>8</v>
      </c>
      <c r="BK31" s="8">
        <v>115.42</v>
      </c>
      <c r="BL31" s="2" t="s">
        <v>392</v>
      </c>
      <c r="BM31" s="7"/>
      <c r="BN31" s="7"/>
      <c r="BO31" s="4"/>
      <c r="BP31" s="8"/>
      <c r="BQ31" s="4"/>
      <c r="BR31" s="8"/>
      <c r="BS31" s="7"/>
      <c r="BT31" s="7"/>
      <c r="BU31" s="2" t="s">
        <v>393</v>
      </c>
      <c r="BV31" s="2" t="s">
        <v>227</v>
      </c>
      <c r="BW31" s="2" t="s">
        <v>227</v>
      </c>
      <c r="BX31" s="2" t="s">
        <v>235</v>
      </c>
      <c r="BY31" s="2" t="s">
        <v>236</v>
      </c>
      <c r="BZ31" s="2" t="s">
        <v>224</v>
      </c>
      <c r="CA31" s="2" t="s">
        <v>394</v>
      </c>
      <c r="CB31" s="2" t="s">
        <v>395</v>
      </c>
      <c r="CC31" s="2" t="s">
        <v>239</v>
      </c>
      <c r="CD31" s="2" t="s">
        <v>227</v>
      </c>
      <c r="CE31" s="4">
        <v>172</v>
      </c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</row>
    <row r="32">
      <c r="A32" s="2" t="s">
        <v>396</v>
      </c>
      <c r="B32" s="2" t="s">
        <v>278</v>
      </c>
      <c r="C32" s="2" t="s">
        <v>360</v>
      </c>
      <c r="D32" s="2" t="s">
        <v>280</v>
      </c>
      <c r="E32" s="2" t="s">
        <v>281</v>
      </c>
      <c r="F32" s="2" t="s">
        <v>372</v>
      </c>
      <c r="G32" s="2" t="s">
        <v>372</v>
      </c>
      <c r="H32" s="2" t="s">
        <v>372</v>
      </c>
      <c r="I32" s="2" t="s">
        <v>373</v>
      </c>
      <c r="J32" s="2" t="s">
        <v>252</v>
      </c>
      <c r="K32" s="2" t="s">
        <v>389</v>
      </c>
      <c r="L32" s="3">
        <v>19</v>
      </c>
      <c r="M32" s="3">
        <v>19.95</v>
      </c>
      <c r="N32" s="3">
        <v>37.99</v>
      </c>
      <c r="O32" s="2" t="s">
        <v>224</v>
      </c>
      <c r="P32" s="2" t="s">
        <v>225</v>
      </c>
      <c r="Q32" s="2" t="s">
        <v>226</v>
      </c>
      <c r="R32" s="2" t="s">
        <v>227</v>
      </c>
      <c r="S32" s="2" t="s">
        <v>390</v>
      </c>
      <c r="T32" s="2" t="s">
        <v>375</v>
      </c>
      <c r="U32" s="2" t="s">
        <v>227</v>
      </c>
      <c r="V32" s="2" t="s">
        <v>230</v>
      </c>
      <c r="W32" s="2" t="s">
        <v>231</v>
      </c>
      <c r="X32" s="2" t="s">
        <v>227</v>
      </c>
      <c r="Y32" s="2" t="s">
        <v>391</v>
      </c>
      <c r="Z32" s="4">
        <v>903</v>
      </c>
      <c r="AA32" s="4">
        <f>=ROUNDDOWN(41.0454545454545,0)</f>
      </c>
      <c r="AB32" s="5">
        <v>22</v>
      </c>
      <c r="AC32" s="2" t="s">
        <v>397</v>
      </c>
      <c r="AD32" s="4">
        <v>220</v>
      </c>
      <c r="AE32" s="4">
        <v>220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227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227</v>
      </c>
      <c r="AW32" s="8" t="s">
        <v>227</v>
      </c>
      <c r="AX32" s="4" t="s">
        <v>227</v>
      </c>
      <c r="AY32" s="8" t="s">
        <v>227</v>
      </c>
      <c r="AZ32" s="7" t="s">
        <v>227</v>
      </c>
      <c r="BA32" s="7" t="s">
        <v>227</v>
      </c>
      <c r="BB32" s="7"/>
      <c r="BC32" s="4" t="s">
        <v>227</v>
      </c>
      <c r="BD32" s="8" t="s">
        <v>227</v>
      </c>
      <c r="BE32" s="4" t="s">
        <v>227</v>
      </c>
      <c r="BF32" s="8" t="s">
        <v>227</v>
      </c>
      <c r="BG32" s="7" t="s">
        <v>227</v>
      </c>
      <c r="BH32" s="7" t="s">
        <v>227</v>
      </c>
      <c r="BI32" s="7"/>
      <c r="BJ32" s="4">
        <v>92</v>
      </c>
      <c r="BK32" s="8">
        <v>1858.52</v>
      </c>
      <c r="BL32" s="2" t="s">
        <v>398</v>
      </c>
      <c r="BM32" s="7"/>
      <c r="BN32" s="7"/>
      <c r="BO32" s="4"/>
      <c r="BP32" s="8"/>
      <c r="BQ32" s="4"/>
      <c r="BR32" s="8"/>
      <c r="BS32" s="7"/>
      <c r="BT32" s="7"/>
      <c r="BU32" s="2" t="s">
        <v>399</v>
      </c>
      <c r="BV32" s="2" t="s">
        <v>227</v>
      </c>
      <c r="BW32" s="2" t="s">
        <v>227</v>
      </c>
      <c r="BX32" s="2" t="s">
        <v>235</v>
      </c>
      <c r="BY32" s="2" t="s">
        <v>236</v>
      </c>
      <c r="BZ32" s="2" t="s">
        <v>224</v>
      </c>
      <c r="CA32" s="2" t="s">
        <v>394</v>
      </c>
      <c r="CB32" s="2" t="s">
        <v>400</v>
      </c>
      <c r="CC32" s="2" t="s">
        <v>239</v>
      </c>
      <c r="CD32" s="2" t="s">
        <v>227</v>
      </c>
      <c r="CE32" s="4">
        <v>903</v>
      </c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>
        <v>220</v>
      </c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</row>
    <row r="33">
      <c r="A33" s="2" t="s">
        <v>401</v>
      </c>
      <c r="B33" s="2" t="s">
        <v>278</v>
      </c>
      <c r="C33" s="2" t="s">
        <v>360</v>
      </c>
      <c r="D33" s="2" t="s">
        <v>280</v>
      </c>
      <c r="E33" s="2" t="s">
        <v>281</v>
      </c>
      <c r="F33" s="2" t="s">
        <v>372</v>
      </c>
      <c r="G33" s="2" t="s">
        <v>372</v>
      </c>
      <c r="H33" s="2" t="s">
        <v>372</v>
      </c>
      <c r="I33" s="2" t="s">
        <v>373</v>
      </c>
      <c r="J33" s="2" t="s">
        <v>257</v>
      </c>
      <c r="K33" s="2" t="s">
        <v>389</v>
      </c>
      <c r="L33" s="3">
        <v>21.5</v>
      </c>
      <c r="M33" s="3">
        <v>22.58</v>
      </c>
      <c r="N33" s="3">
        <v>42.99</v>
      </c>
      <c r="O33" s="2" t="s">
        <v>224</v>
      </c>
      <c r="P33" s="2" t="s">
        <v>225</v>
      </c>
      <c r="Q33" s="2" t="s">
        <v>226</v>
      </c>
      <c r="R33" s="2" t="s">
        <v>227</v>
      </c>
      <c r="S33" s="2" t="s">
        <v>390</v>
      </c>
      <c r="T33" s="2" t="s">
        <v>375</v>
      </c>
      <c r="U33" s="2" t="s">
        <v>227</v>
      </c>
      <c r="V33" s="2" t="s">
        <v>230</v>
      </c>
      <c r="W33" s="2" t="s">
        <v>231</v>
      </c>
      <c r="X33" s="2" t="s">
        <v>227</v>
      </c>
      <c r="Y33" s="2" t="s">
        <v>391</v>
      </c>
      <c r="Z33" s="4">
        <v>307</v>
      </c>
      <c r="AA33" s="4">
        <f>=ROUNDDOWN(21.9285714285714,0)</f>
      </c>
      <c r="AB33" s="5">
        <v>14</v>
      </c>
      <c r="AC33" s="2" t="s">
        <v>397</v>
      </c>
      <c r="AD33" s="4">
        <v>100</v>
      </c>
      <c r="AE33" s="4">
        <v>250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227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227</v>
      </c>
      <c r="AW33" s="8" t="s">
        <v>227</v>
      </c>
      <c r="AX33" s="4" t="s">
        <v>227</v>
      </c>
      <c r="AY33" s="8" t="s">
        <v>227</v>
      </c>
      <c r="AZ33" s="7" t="s">
        <v>227</v>
      </c>
      <c r="BA33" s="7" t="s">
        <v>227</v>
      </c>
      <c r="BB33" s="7"/>
      <c r="BC33" s="4" t="s">
        <v>227</v>
      </c>
      <c r="BD33" s="8" t="s">
        <v>227</v>
      </c>
      <c r="BE33" s="4" t="s">
        <v>227</v>
      </c>
      <c r="BF33" s="8" t="s">
        <v>227</v>
      </c>
      <c r="BG33" s="7" t="s">
        <v>227</v>
      </c>
      <c r="BH33" s="7" t="s">
        <v>227</v>
      </c>
      <c r="BI33" s="7"/>
      <c r="BJ33" s="4">
        <v>50</v>
      </c>
      <c r="BK33" s="8">
        <v>1112.66</v>
      </c>
      <c r="BL33" s="2" t="s">
        <v>402</v>
      </c>
      <c r="BM33" s="7"/>
      <c r="BN33" s="7"/>
      <c r="BO33" s="4"/>
      <c r="BP33" s="8"/>
      <c r="BQ33" s="4"/>
      <c r="BR33" s="8"/>
      <c r="BS33" s="7"/>
      <c r="BT33" s="7"/>
      <c r="BU33" s="2" t="s">
        <v>403</v>
      </c>
      <c r="BV33" s="2" t="s">
        <v>227</v>
      </c>
      <c r="BW33" s="2" t="s">
        <v>227</v>
      </c>
      <c r="BX33" s="2" t="s">
        <v>235</v>
      </c>
      <c r="BY33" s="2" t="s">
        <v>236</v>
      </c>
      <c r="BZ33" s="2" t="s">
        <v>224</v>
      </c>
      <c r="CA33" s="2" t="s">
        <v>394</v>
      </c>
      <c r="CB33" s="2" t="s">
        <v>404</v>
      </c>
      <c r="CC33" s="2" t="s">
        <v>239</v>
      </c>
      <c r="CD33" s="2" t="s">
        <v>227</v>
      </c>
      <c r="CE33" s="4">
        <v>307</v>
      </c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>
        <v>100</v>
      </c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>
        <v>150</v>
      </c>
      <c r="GT33" s="4"/>
      <c r="GU33" s="4"/>
      <c r="GV33" s="4"/>
      <c r="GW33" s="4"/>
      <c r="GX33" s="4"/>
    </row>
    <row r="34">
      <c r="A34" s="2" t="s">
        <v>405</v>
      </c>
      <c r="B34" s="2" t="s">
        <v>278</v>
      </c>
      <c r="C34" s="2" t="s">
        <v>360</v>
      </c>
      <c r="D34" s="2" t="s">
        <v>280</v>
      </c>
      <c r="E34" s="2" t="s">
        <v>281</v>
      </c>
      <c r="F34" s="2" t="s">
        <v>372</v>
      </c>
      <c r="G34" s="2" t="s">
        <v>372</v>
      </c>
      <c r="H34" s="2" t="s">
        <v>372</v>
      </c>
      <c r="I34" s="2" t="s">
        <v>373</v>
      </c>
      <c r="J34" s="2" t="s">
        <v>384</v>
      </c>
      <c r="K34" s="2" t="s">
        <v>389</v>
      </c>
      <c r="L34" s="3">
        <v>21.5</v>
      </c>
      <c r="M34" s="3">
        <v>22.58</v>
      </c>
      <c r="N34" s="3">
        <v>42.99</v>
      </c>
      <c r="O34" s="2" t="s">
        <v>224</v>
      </c>
      <c r="P34" s="2" t="s">
        <v>225</v>
      </c>
      <c r="Q34" s="2" t="s">
        <v>226</v>
      </c>
      <c r="R34" s="2" t="s">
        <v>227</v>
      </c>
      <c r="S34" s="2" t="s">
        <v>390</v>
      </c>
      <c r="T34" s="2" t="s">
        <v>375</v>
      </c>
      <c r="U34" s="2" t="s">
        <v>227</v>
      </c>
      <c r="V34" s="2" t="s">
        <v>230</v>
      </c>
      <c r="W34" s="2" t="s">
        <v>231</v>
      </c>
      <c r="X34" s="2" t="s">
        <v>227</v>
      </c>
      <c r="Y34" s="2" t="s">
        <v>391</v>
      </c>
      <c r="Z34" s="4">
        <v>118</v>
      </c>
      <c r="AA34" s="4">
        <f>=ROUNDDOWN(29.5,0)</f>
      </c>
      <c r="AB34" s="5">
        <v>4</v>
      </c>
      <c r="AC34" s="2" t="s">
        <v>397</v>
      </c>
      <c r="AD34" s="4">
        <v>20</v>
      </c>
      <c r="AE34" s="4">
        <v>20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227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227</v>
      </c>
      <c r="AW34" s="8" t="s">
        <v>227</v>
      </c>
      <c r="AX34" s="4" t="s">
        <v>227</v>
      </c>
      <c r="AY34" s="8" t="s">
        <v>227</v>
      </c>
      <c r="AZ34" s="7" t="s">
        <v>227</v>
      </c>
      <c r="BA34" s="7" t="s">
        <v>227</v>
      </c>
      <c r="BB34" s="7"/>
      <c r="BC34" s="4" t="s">
        <v>227</v>
      </c>
      <c r="BD34" s="8" t="s">
        <v>227</v>
      </c>
      <c r="BE34" s="4" t="s">
        <v>227</v>
      </c>
      <c r="BF34" s="8" t="s">
        <v>227</v>
      </c>
      <c r="BG34" s="7" t="s">
        <v>227</v>
      </c>
      <c r="BH34" s="7" t="s">
        <v>227</v>
      </c>
      <c r="BI34" s="7"/>
      <c r="BJ34" s="4">
        <v>13</v>
      </c>
      <c r="BK34" s="8">
        <v>304.44</v>
      </c>
      <c r="BL34" s="2" t="s">
        <v>406</v>
      </c>
      <c r="BM34" s="7"/>
      <c r="BN34" s="7"/>
      <c r="BO34" s="4"/>
      <c r="BP34" s="8"/>
      <c r="BQ34" s="4"/>
      <c r="BR34" s="8"/>
      <c r="BS34" s="7"/>
      <c r="BT34" s="7"/>
      <c r="BU34" s="2" t="s">
        <v>407</v>
      </c>
      <c r="BV34" s="2" t="s">
        <v>227</v>
      </c>
      <c r="BW34" s="2" t="s">
        <v>227</v>
      </c>
      <c r="BX34" s="2" t="s">
        <v>235</v>
      </c>
      <c r="BY34" s="2" t="s">
        <v>236</v>
      </c>
      <c r="BZ34" s="2" t="s">
        <v>224</v>
      </c>
      <c r="CA34" s="2" t="s">
        <v>394</v>
      </c>
      <c r="CB34" s="2" t="s">
        <v>408</v>
      </c>
      <c r="CC34" s="2" t="s">
        <v>239</v>
      </c>
      <c r="CD34" s="2" t="s">
        <v>227</v>
      </c>
      <c r="CE34" s="4">
        <v>118</v>
      </c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>
        <v>20</v>
      </c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</row>
    <row r="35">
      <c r="A35" s="2" t="s">
        <v>409</v>
      </c>
      <c r="B35" s="2" t="s">
        <v>278</v>
      </c>
      <c r="C35" s="2" t="s">
        <v>360</v>
      </c>
      <c r="D35" s="2" t="s">
        <v>280</v>
      </c>
      <c r="E35" s="2" t="s">
        <v>281</v>
      </c>
      <c r="F35" s="2" t="s">
        <v>372</v>
      </c>
      <c r="G35" s="2" t="s">
        <v>372</v>
      </c>
      <c r="H35" s="2" t="s">
        <v>372</v>
      </c>
      <c r="I35" s="2" t="s">
        <v>373</v>
      </c>
      <c r="J35" s="2" t="s">
        <v>222</v>
      </c>
      <c r="K35" s="2" t="s">
        <v>410</v>
      </c>
      <c r="L35" s="3">
        <v>13.44</v>
      </c>
      <c r="M35" s="3">
        <v>14.11</v>
      </c>
      <c r="N35" s="3">
        <v>27.99</v>
      </c>
      <c r="O35" s="2" t="s">
        <v>224</v>
      </c>
      <c r="P35" s="2" t="s">
        <v>225</v>
      </c>
      <c r="Q35" s="2" t="s">
        <v>226</v>
      </c>
      <c r="R35" s="2" t="s">
        <v>227</v>
      </c>
      <c r="S35" s="2" t="s">
        <v>411</v>
      </c>
      <c r="T35" s="2" t="s">
        <v>375</v>
      </c>
      <c r="U35" s="2" t="s">
        <v>227</v>
      </c>
      <c r="V35" s="2" t="s">
        <v>230</v>
      </c>
      <c r="W35" s="2" t="s">
        <v>231</v>
      </c>
      <c r="X35" s="2" t="s">
        <v>227</v>
      </c>
      <c r="Y35" s="2" t="s">
        <v>232</v>
      </c>
      <c r="Z35" s="4">
        <v>64</v>
      </c>
      <c r="AA35" s="4">
        <f>=ROUNDDOWN(12.8,0)</f>
      </c>
      <c r="AB35" s="5">
        <v>5</v>
      </c>
      <c r="AC35" s="2" t="s">
        <v>397</v>
      </c>
      <c r="AD35" s="4">
        <v>20</v>
      </c>
      <c r="AE35" s="4">
        <v>170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227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227</v>
      </c>
      <c r="AW35" s="8" t="s">
        <v>227</v>
      </c>
      <c r="AX35" s="4" t="s">
        <v>227</v>
      </c>
      <c r="AY35" s="8" t="s">
        <v>227</v>
      </c>
      <c r="AZ35" s="7" t="s">
        <v>227</v>
      </c>
      <c r="BA35" s="7" t="s">
        <v>227</v>
      </c>
      <c r="BB35" s="7"/>
      <c r="BC35" s="4" t="s">
        <v>227</v>
      </c>
      <c r="BD35" s="8" t="s">
        <v>227</v>
      </c>
      <c r="BE35" s="4" t="s">
        <v>227</v>
      </c>
      <c r="BF35" s="8" t="s">
        <v>227</v>
      </c>
      <c r="BG35" s="7" t="s">
        <v>227</v>
      </c>
      <c r="BH35" s="7" t="s">
        <v>227</v>
      </c>
      <c r="BI35" s="7"/>
      <c r="BJ35" s="4">
        <v>19</v>
      </c>
      <c r="BK35" s="8">
        <v>259.05</v>
      </c>
      <c r="BL35" s="2" t="s">
        <v>412</v>
      </c>
      <c r="BM35" s="7"/>
      <c r="BN35" s="7"/>
      <c r="BO35" s="4"/>
      <c r="BP35" s="8"/>
      <c r="BQ35" s="4"/>
      <c r="BR35" s="8"/>
      <c r="BS35" s="7"/>
      <c r="BT35" s="7"/>
      <c r="BU35" s="2" t="s">
        <v>413</v>
      </c>
      <c r="BV35" s="2" t="s">
        <v>227</v>
      </c>
      <c r="BW35" s="2" t="s">
        <v>227</v>
      </c>
      <c r="BX35" s="2" t="s">
        <v>235</v>
      </c>
      <c r="BY35" s="2" t="s">
        <v>236</v>
      </c>
      <c r="BZ35" s="2" t="s">
        <v>224</v>
      </c>
      <c r="CA35" s="2" t="s">
        <v>237</v>
      </c>
      <c r="CB35" s="2" t="s">
        <v>414</v>
      </c>
      <c r="CC35" s="2" t="s">
        <v>239</v>
      </c>
      <c r="CD35" s="2" t="s">
        <v>227</v>
      </c>
      <c r="CE35" s="4">
        <v>64</v>
      </c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>
        <v>20</v>
      </c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>
        <v>30</v>
      </c>
      <c r="FS35" s="4"/>
      <c r="FT35" s="4"/>
      <c r="FU35" s="4"/>
      <c r="FV35" s="4"/>
      <c r="FW35" s="4">
        <v>30</v>
      </c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>
        <v>90</v>
      </c>
      <c r="GT35" s="4"/>
      <c r="GU35" s="4"/>
      <c r="GV35" s="4"/>
      <c r="GW35" s="4"/>
      <c r="GX35" s="4"/>
    </row>
    <row r="36">
      <c r="A36" s="2" t="s">
        <v>415</v>
      </c>
      <c r="B36" s="2" t="s">
        <v>278</v>
      </c>
      <c r="C36" s="2" t="s">
        <v>360</v>
      </c>
      <c r="D36" s="2" t="s">
        <v>280</v>
      </c>
      <c r="E36" s="2" t="s">
        <v>281</v>
      </c>
      <c r="F36" s="2" t="s">
        <v>372</v>
      </c>
      <c r="G36" s="2" t="s">
        <v>372</v>
      </c>
      <c r="H36" s="2" t="s">
        <v>372</v>
      </c>
      <c r="I36" s="2" t="s">
        <v>373</v>
      </c>
      <c r="J36" s="2" t="s">
        <v>247</v>
      </c>
      <c r="K36" s="2" t="s">
        <v>410</v>
      </c>
      <c r="L36" s="3">
        <v>16.5</v>
      </c>
      <c r="M36" s="3">
        <v>17.32</v>
      </c>
      <c r="N36" s="3">
        <v>32.99</v>
      </c>
      <c r="O36" s="2" t="s">
        <v>224</v>
      </c>
      <c r="P36" s="2" t="s">
        <v>225</v>
      </c>
      <c r="Q36" s="2" t="s">
        <v>226</v>
      </c>
      <c r="R36" s="2" t="s">
        <v>227</v>
      </c>
      <c r="S36" s="2" t="s">
        <v>411</v>
      </c>
      <c r="T36" s="2" t="s">
        <v>375</v>
      </c>
      <c r="U36" s="2" t="s">
        <v>227</v>
      </c>
      <c r="V36" s="2" t="s">
        <v>230</v>
      </c>
      <c r="W36" s="2" t="s">
        <v>231</v>
      </c>
      <c r="X36" s="2" t="s">
        <v>227</v>
      </c>
      <c r="Y36" s="2" t="s">
        <v>232</v>
      </c>
      <c r="Z36" s="4">
        <v>192</v>
      </c>
      <c r="AA36" s="4">
        <f>=ROUNDDOWN(32,0)</f>
      </c>
      <c r="AB36" s="5">
        <v>6</v>
      </c>
      <c r="AC36" s="2" t="s">
        <v>187</v>
      </c>
      <c r="AD36" s="4">
        <v>20</v>
      </c>
      <c r="AE36" s="4">
        <v>80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227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227</v>
      </c>
      <c r="AW36" s="8" t="s">
        <v>227</v>
      </c>
      <c r="AX36" s="4" t="s">
        <v>227</v>
      </c>
      <c r="AY36" s="8" t="s">
        <v>227</v>
      </c>
      <c r="AZ36" s="7" t="s">
        <v>227</v>
      </c>
      <c r="BA36" s="7" t="s">
        <v>227</v>
      </c>
      <c r="BB36" s="7"/>
      <c r="BC36" s="4" t="s">
        <v>227</v>
      </c>
      <c r="BD36" s="8" t="s">
        <v>227</v>
      </c>
      <c r="BE36" s="4" t="s">
        <v>227</v>
      </c>
      <c r="BF36" s="8" t="s">
        <v>227</v>
      </c>
      <c r="BG36" s="7" t="s">
        <v>227</v>
      </c>
      <c r="BH36" s="7" t="s">
        <v>227</v>
      </c>
      <c r="BI36" s="7"/>
      <c r="BJ36" s="4">
        <v>34</v>
      </c>
      <c r="BK36" s="8">
        <v>625.54</v>
      </c>
      <c r="BL36" s="2" t="s">
        <v>416</v>
      </c>
      <c r="BM36" s="7"/>
      <c r="BN36" s="7"/>
      <c r="BO36" s="4"/>
      <c r="BP36" s="8"/>
      <c r="BQ36" s="4"/>
      <c r="BR36" s="8"/>
      <c r="BS36" s="7"/>
      <c r="BT36" s="7"/>
      <c r="BU36" s="2" t="s">
        <v>417</v>
      </c>
      <c r="BV36" s="2" t="s">
        <v>227</v>
      </c>
      <c r="BW36" s="2" t="s">
        <v>227</v>
      </c>
      <c r="BX36" s="2" t="s">
        <v>235</v>
      </c>
      <c r="BY36" s="2" t="s">
        <v>236</v>
      </c>
      <c r="BZ36" s="2" t="s">
        <v>224</v>
      </c>
      <c r="CA36" s="2" t="s">
        <v>237</v>
      </c>
      <c r="CB36" s="2" t="s">
        <v>418</v>
      </c>
      <c r="CC36" s="2" t="s">
        <v>239</v>
      </c>
      <c r="CD36" s="2" t="s">
        <v>227</v>
      </c>
      <c r="CE36" s="4">
        <v>192</v>
      </c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>
        <v>20</v>
      </c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>
        <v>60</v>
      </c>
      <c r="GT36" s="4"/>
      <c r="GU36" s="4"/>
      <c r="GV36" s="4"/>
      <c r="GW36" s="4"/>
      <c r="GX36" s="4"/>
    </row>
    <row r="37">
      <c r="A37" s="2" t="s">
        <v>419</v>
      </c>
      <c r="B37" s="2" t="s">
        <v>278</v>
      </c>
      <c r="C37" s="2" t="s">
        <v>360</v>
      </c>
      <c r="D37" s="2" t="s">
        <v>280</v>
      </c>
      <c r="E37" s="2" t="s">
        <v>281</v>
      </c>
      <c r="F37" s="2" t="s">
        <v>372</v>
      </c>
      <c r="G37" s="2" t="s">
        <v>372</v>
      </c>
      <c r="H37" s="2" t="s">
        <v>372</v>
      </c>
      <c r="I37" s="2" t="s">
        <v>373</v>
      </c>
      <c r="J37" s="2" t="s">
        <v>384</v>
      </c>
      <c r="K37" s="2" t="s">
        <v>410</v>
      </c>
      <c r="L37" s="3">
        <v>21.5</v>
      </c>
      <c r="M37" s="3">
        <v>22.58</v>
      </c>
      <c r="N37" s="3">
        <v>42.99</v>
      </c>
      <c r="O37" s="2" t="s">
        <v>224</v>
      </c>
      <c r="P37" s="2" t="s">
        <v>225</v>
      </c>
      <c r="Q37" s="2" t="s">
        <v>226</v>
      </c>
      <c r="R37" s="2" t="s">
        <v>227</v>
      </c>
      <c r="S37" s="2" t="s">
        <v>411</v>
      </c>
      <c r="T37" s="2" t="s">
        <v>375</v>
      </c>
      <c r="U37" s="2" t="s">
        <v>227</v>
      </c>
      <c r="V37" s="2" t="s">
        <v>230</v>
      </c>
      <c r="W37" s="2" t="s">
        <v>231</v>
      </c>
      <c r="X37" s="2" t="s">
        <v>227</v>
      </c>
      <c r="Y37" s="2" t="s">
        <v>232</v>
      </c>
      <c r="Z37" s="4">
        <v>155</v>
      </c>
      <c r="AA37" s="4">
        <f>=ROUNDDOWN(38.75,0)</f>
      </c>
      <c r="AB37" s="5">
        <v>4</v>
      </c>
      <c r="AC37" s="2" t="s">
        <v>227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227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227</v>
      </c>
      <c r="AW37" s="8" t="s">
        <v>227</v>
      </c>
      <c r="AX37" s="4" t="s">
        <v>227</v>
      </c>
      <c r="AY37" s="8" t="s">
        <v>227</v>
      </c>
      <c r="AZ37" s="7" t="s">
        <v>227</v>
      </c>
      <c r="BA37" s="7" t="s">
        <v>227</v>
      </c>
      <c r="BB37" s="7"/>
      <c r="BC37" s="4" t="s">
        <v>227</v>
      </c>
      <c r="BD37" s="8" t="s">
        <v>227</v>
      </c>
      <c r="BE37" s="4" t="s">
        <v>227</v>
      </c>
      <c r="BF37" s="8" t="s">
        <v>227</v>
      </c>
      <c r="BG37" s="7" t="s">
        <v>227</v>
      </c>
      <c r="BH37" s="7" t="s">
        <v>227</v>
      </c>
      <c r="BI37" s="7"/>
      <c r="BJ37" s="4">
        <v>13</v>
      </c>
      <c r="BK37" s="8">
        <v>300.87</v>
      </c>
      <c r="BL37" s="2" t="s">
        <v>420</v>
      </c>
      <c r="BM37" s="7"/>
      <c r="BN37" s="7"/>
      <c r="BO37" s="4"/>
      <c r="BP37" s="8"/>
      <c r="BQ37" s="4"/>
      <c r="BR37" s="8"/>
      <c r="BS37" s="7"/>
      <c r="BT37" s="7"/>
      <c r="BU37" s="2" t="s">
        <v>421</v>
      </c>
      <c r="BV37" s="2" t="s">
        <v>227</v>
      </c>
      <c r="BW37" s="2" t="s">
        <v>227</v>
      </c>
      <c r="BX37" s="2" t="s">
        <v>235</v>
      </c>
      <c r="BY37" s="2" t="s">
        <v>236</v>
      </c>
      <c r="BZ37" s="2" t="s">
        <v>224</v>
      </c>
      <c r="CA37" s="2" t="s">
        <v>237</v>
      </c>
      <c r="CB37" s="2" t="s">
        <v>422</v>
      </c>
      <c r="CC37" s="2" t="s">
        <v>239</v>
      </c>
      <c r="CD37" s="2" t="s">
        <v>227</v>
      </c>
      <c r="CE37" s="4">
        <v>155</v>
      </c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</row>
    <row r="38">
      <c r="A38" s="2" t="s">
        <v>423</v>
      </c>
      <c r="B38" s="2" t="s">
        <v>278</v>
      </c>
      <c r="C38" s="2" t="s">
        <v>360</v>
      </c>
      <c r="D38" s="2" t="s">
        <v>280</v>
      </c>
      <c r="E38" s="2" t="s">
        <v>281</v>
      </c>
      <c r="F38" s="2" t="s">
        <v>372</v>
      </c>
      <c r="G38" s="2" t="s">
        <v>372</v>
      </c>
      <c r="H38" s="2" t="s">
        <v>372</v>
      </c>
      <c r="I38" s="2" t="s">
        <v>373</v>
      </c>
      <c r="J38" s="2" t="s">
        <v>222</v>
      </c>
      <c r="K38" s="2" t="s">
        <v>363</v>
      </c>
      <c r="L38" s="3">
        <v>13.44</v>
      </c>
      <c r="M38" s="3">
        <v>14.11</v>
      </c>
      <c r="N38" s="3">
        <v>27.99</v>
      </c>
      <c r="O38" s="2" t="s">
        <v>224</v>
      </c>
      <c r="P38" s="2" t="s">
        <v>225</v>
      </c>
      <c r="Q38" s="2" t="s">
        <v>226</v>
      </c>
      <c r="R38" s="2" t="s">
        <v>227</v>
      </c>
      <c r="S38" s="2" t="s">
        <v>424</v>
      </c>
      <c r="T38" s="2" t="s">
        <v>375</v>
      </c>
      <c r="U38" s="2" t="s">
        <v>227</v>
      </c>
      <c r="V38" s="2" t="s">
        <v>230</v>
      </c>
      <c r="W38" s="2" t="s">
        <v>231</v>
      </c>
      <c r="X38" s="2" t="s">
        <v>227</v>
      </c>
      <c r="Y38" s="2" t="s">
        <v>232</v>
      </c>
      <c r="Z38" s="4">
        <v>118</v>
      </c>
      <c r="AA38" s="4">
        <f>=ROUNDDOWN(59,0)</f>
      </c>
      <c r="AB38" s="5">
        <v>2</v>
      </c>
      <c r="AC38" s="2" t="s">
        <v>227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227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227</v>
      </c>
      <c r="AW38" s="8" t="s">
        <v>227</v>
      </c>
      <c r="AX38" s="4" t="s">
        <v>227</v>
      </c>
      <c r="AY38" s="8" t="s">
        <v>227</v>
      </c>
      <c r="AZ38" s="7" t="s">
        <v>227</v>
      </c>
      <c r="BA38" s="7" t="s">
        <v>227</v>
      </c>
      <c r="BB38" s="7"/>
      <c r="BC38" s="4" t="s">
        <v>227</v>
      </c>
      <c r="BD38" s="8" t="s">
        <v>227</v>
      </c>
      <c r="BE38" s="4" t="s">
        <v>227</v>
      </c>
      <c r="BF38" s="8" t="s">
        <v>227</v>
      </c>
      <c r="BG38" s="7" t="s">
        <v>227</v>
      </c>
      <c r="BH38" s="7" t="s">
        <v>227</v>
      </c>
      <c r="BI38" s="7"/>
      <c r="BJ38" s="4">
        <v>19</v>
      </c>
      <c r="BK38" s="8">
        <v>263.69</v>
      </c>
      <c r="BL38" s="2" t="s">
        <v>425</v>
      </c>
      <c r="BM38" s="7"/>
      <c r="BN38" s="7"/>
      <c r="BO38" s="4"/>
      <c r="BP38" s="8"/>
      <c r="BQ38" s="4"/>
      <c r="BR38" s="8"/>
      <c r="BS38" s="7"/>
      <c r="BT38" s="7"/>
      <c r="BU38" s="2" t="s">
        <v>426</v>
      </c>
      <c r="BV38" s="2" t="s">
        <v>227</v>
      </c>
      <c r="BW38" s="2" t="s">
        <v>227</v>
      </c>
      <c r="BX38" s="2" t="s">
        <v>235</v>
      </c>
      <c r="BY38" s="2" t="s">
        <v>236</v>
      </c>
      <c r="BZ38" s="2" t="s">
        <v>224</v>
      </c>
      <c r="CA38" s="2" t="s">
        <v>237</v>
      </c>
      <c r="CB38" s="2" t="s">
        <v>427</v>
      </c>
      <c r="CC38" s="2" t="s">
        <v>239</v>
      </c>
      <c r="CD38" s="2" t="s">
        <v>227</v>
      </c>
      <c r="CE38" s="4">
        <v>118</v>
      </c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</row>
    <row r="39">
      <c r="A39" s="2" t="s">
        <v>428</v>
      </c>
      <c r="B39" s="2" t="s">
        <v>278</v>
      </c>
      <c r="C39" s="2" t="s">
        <v>360</v>
      </c>
      <c r="D39" s="2" t="s">
        <v>280</v>
      </c>
      <c r="E39" s="2" t="s">
        <v>281</v>
      </c>
      <c r="F39" s="2" t="s">
        <v>372</v>
      </c>
      <c r="G39" s="2" t="s">
        <v>372</v>
      </c>
      <c r="H39" s="2" t="s">
        <v>372</v>
      </c>
      <c r="I39" s="2" t="s">
        <v>373</v>
      </c>
      <c r="J39" s="2" t="s">
        <v>247</v>
      </c>
      <c r="K39" s="2" t="s">
        <v>363</v>
      </c>
      <c r="L39" s="3">
        <v>16.5</v>
      </c>
      <c r="M39" s="3">
        <v>17.32</v>
      </c>
      <c r="N39" s="3">
        <v>32.99</v>
      </c>
      <c r="O39" s="2" t="s">
        <v>224</v>
      </c>
      <c r="P39" s="2" t="s">
        <v>225</v>
      </c>
      <c r="Q39" s="2" t="s">
        <v>226</v>
      </c>
      <c r="R39" s="2" t="s">
        <v>227</v>
      </c>
      <c r="S39" s="2" t="s">
        <v>424</v>
      </c>
      <c r="T39" s="2" t="s">
        <v>375</v>
      </c>
      <c r="U39" s="2" t="s">
        <v>227</v>
      </c>
      <c r="V39" s="2" t="s">
        <v>230</v>
      </c>
      <c r="W39" s="2" t="s">
        <v>231</v>
      </c>
      <c r="X39" s="2" t="s">
        <v>227</v>
      </c>
      <c r="Y39" s="2" t="s">
        <v>232</v>
      </c>
      <c r="Z39" s="4">
        <v>187</v>
      </c>
      <c r="AA39" s="4">
        <f>=ROUNDDOWN(37.4,0)</f>
      </c>
      <c r="AB39" s="5">
        <v>5</v>
      </c>
      <c r="AC39" s="2" t="s">
        <v>227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227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227</v>
      </c>
      <c r="AW39" s="8" t="s">
        <v>227</v>
      </c>
      <c r="AX39" s="4" t="s">
        <v>227</v>
      </c>
      <c r="AY39" s="8" t="s">
        <v>227</v>
      </c>
      <c r="AZ39" s="7" t="s">
        <v>227</v>
      </c>
      <c r="BA39" s="7" t="s">
        <v>227</v>
      </c>
      <c r="BB39" s="7"/>
      <c r="BC39" s="4" t="s">
        <v>227</v>
      </c>
      <c r="BD39" s="8" t="s">
        <v>227</v>
      </c>
      <c r="BE39" s="4" t="s">
        <v>227</v>
      </c>
      <c r="BF39" s="8" t="s">
        <v>227</v>
      </c>
      <c r="BG39" s="7" t="s">
        <v>227</v>
      </c>
      <c r="BH39" s="7" t="s">
        <v>227</v>
      </c>
      <c r="BI39" s="7"/>
      <c r="BJ39" s="4">
        <v>17</v>
      </c>
      <c r="BK39" s="8">
        <v>275.03</v>
      </c>
      <c r="BL39" s="2" t="s">
        <v>429</v>
      </c>
      <c r="BM39" s="7"/>
      <c r="BN39" s="7"/>
      <c r="BO39" s="4"/>
      <c r="BP39" s="8"/>
      <c r="BQ39" s="4"/>
      <c r="BR39" s="8"/>
      <c r="BS39" s="7"/>
      <c r="BT39" s="7"/>
      <c r="BU39" s="2" t="s">
        <v>430</v>
      </c>
      <c r="BV39" s="2" t="s">
        <v>227</v>
      </c>
      <c r="BW39" s="2" t="s">
        <v>227</v>
      </c>
      <c r="BX39" s="2" t="s">
        <v>235</v>
      </c>
      <c r="BY39" s="2" t="s">
        <v>236</v>
      </c>
      <c r="BZ39" s="2" t="s">
        <v>224</v>
      </c>
      <c r="CA39" s="2" t="s">
        <v>237</v>
      </c>
      <c r="CB39" s="2" t="s">
        <v>427</v>
      </c>
      <c r="CC39" s="2" t="s">
        <v>239</v>
      </c>
      <c r="CD39" s="2" t="s">
        <v>227</v>
      </c>
      <c r="CE39" s="4">
        <v>187</v>
      </c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</row>
    <row r="40">
      <c r="A40" s="2" t="s">
        <v>431</v>
      </c>
      <c r="B40" s="2" t="s">
        <v>278</v>
      </c>
      <c r="C40" s="2" t="s">
        <v>360</v>
      </c>
      <c r="D40" s="2" t="s">
        <v>280</v>
      </c>
      <c r="E40" s="2" t="s">
        <v>281</v>
      </c>
      <c r="F40" s="2" t="s">
        <v>372</v>
      </c>
      <c r="G40" s="2" t="s">
        <v>372</v>
      </c>
      <c r="H40" s="2" t="s">
        <v>372</v>
      </c>
      <c r="I40" s="2" t="s">
        <v>373</v>
      </c>
      <c r="J40" s="2" t="s">
        <v>222</v>
      </c>
      <c r="K40" s="2" t="s">
        <v>432</v>
      </c>
      <c r="L40" s="3">
        <v>13.44</v>
      </c>
      <c r="M40" s="3">
        <v>14.11</v>
      </c>
      <c r="N40" s="3">
        <v>27.99</v>
      </c>
      <c r="O40" s="2" t="s">
        <v>224</v>
      </c>
      <c r="P40" s="2" t="s">
        <v>225</v>
      </c>
      <c r="Q40" s="2" t="s">
        <v>226</v>
      </c>
      <c r="R40" s="2" t="s">
        <v>227</v>
      </c>
      <c r="S40" s="2" t="s">
        <v>433</v>
      </c>
      <c r="T40" s="2" t="s">
        <v>375</v>
      </c>
      <c r="U40" s="2" t="s">
        <v>227</v>
      </c>
      <c r="V40" s="2" t="s">
        <v>230</v>
      </c>
      <c r="W40" s="2" t="s">
        <v>231</v>
      </c>
      <c r="X40" s="2" t="s">
        <v>227</v>
      </c>
      <c r="Y40" s="2" t="s">
        <v>232</v>
      </c>
      <c r="Z40" s="4">
        <v>126</v>
      </c>
      <c r="AA40" s="4">
        <f>=ROUNDDOWN(31.5,0)</f>
      </c>
      <c r="AB40" s="5">
        <v>4</v>
      </c>
      <c r="AC40" s="2" t="s">
        <v>227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227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227</v>
      </c>
      <c r="AW40" s="8" t="s">
        <v>227</v>
      </c>
      <c r="AX40" s="4" t="s">
        <v>227</v>
      </c>
      <c r="AY40" s="8" t="s">
        <v>227</v>
      </c>
      <c r="AZ40" s="7" t="s">
        <v>227</v>
      </c>
      <c r="BA40" s="7" t="s">
        <v>227</v>
      </c>
      <c r="BB40" s="7"/>
      <c r="BC40" s="4" t="s">
        <v>227</v>
      </c>
      <c r="BD40" s="8" t="s">
        <v>227</v>
      </c>
      <c r="BE40" s="4" t="s">
        <v>227</v>
      </c>
      <c r="BF40" s="8" t="s">
        <v>227</v>
      </c>
      <c r="BG40" s="7" t="s">
        <v>227</v>
      </c>
      <c r="BH40" s="7" t="s">
        <v>227</v>
      </c>
      <c r="BI40" s="7"/>
      <c r="BJ40" s="4">
        <v>29</v>
      </c>
      <c r="BK40" s="8">
        <v>403.01</v>
      </c>
      <c r="BL40" s="2" t="s">
        <v>434</v>
      </c>
      <c r="BM40" s="7"/>
      <c r="BN40" s="7"/>
      <c r="BO40" s="4"/>
      <c r="BP40" s="8"/>
      <c r="BQ40" s="4"/>
      <c r="BR40" s="8"/>
      <c r="BS40" s="7"/>
      <c r="BT40" s="7"/>
      <c r="BU40" s="2" t="s">
        <v>435</v>
      </c>
      <c r="BV40" s="2" t="s">
        <v>227</v>
      </c>
      <c r="BW40" s="2" t="s">
        <v>227</v>
      </c>
      <c r="BX40" s="2" t="s">
        <v>235</v>
      </c>
      <c r="BY40" s="2" t="s">
        <v>236</v>
      </c>
      <c r="BZ40" s="2" t="s">
        <v>224</v>
      </c>
      <c r="CA40" s="2" t="s">
        <v>237</v>
      </c>
      <c r="CB40" s="2" t="s">
        <v>436</v>
      </c>
      <c r="CC40" s="2" t="s">
        <v>239</v>
      </c>
      <c r="CD40" s="2" t="s">
        <v>227</v>
      </c>
      <c r="CE40" s="4">
        <v>126</v>
      </c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</row>
    <row r="41">
      <c r="A41" s="2" t="s">
        <v>437</v>
      </c>
      <c r="B41" s="2" t="s">
        <v>278</v>
      </c>
      <c r="C41" s="2" t="s">
        <v>360</v>
      </c>
      <c r="D41" s="2" t="s">
        <v>280</v>
      </c>
      <c r="E41" s="2" t="s">
        <v>281</v>
      </c>
      <c r="F41" s="2" t="s">
        <v>372</v>
      </c>
      <c r="G41" s="2" t="s">
        <v>372</v>
      </c>
      <c r="H41" s="2" t="s">
        <v>372</v>
      </c>
      <c r="I41" s="2" t="s">
        <v>373</v>
      </c>
      <c r="J41" s="2" t="s">
        <v>247</v>
      </c>
      <c r="K41" s="2" t="s">
        <v>432</v>
      </c>
      <c r="L41" s="3">
        <v>16.5</v>
      </c>
      <c r="M41" s="3">
        <v>17.32</v>
      </c>
      <c r="N41" s="3">
        <v>32.99</v>
      </c>
      <c r="O41" s="2" t="s">
        <v>224</v>
      </c>
      <c r="P41" s="2" t="s">
        <v>225</v>
      </c>
      <c r="Q41" s="2" t="s">
        <v>226</v>
      </c>
      <c r="R41" s="2" t="s">
        <v>227</v>
      </c>
      <c r="S41" s="2" t="s">
        <v>433</v>
      </c>
      <c r="T41" s="2" t="s">
        <v>375</v>
      </c>
      <c r="U41" s="2" t="s">
        <v>227</v>
      </c>
      <c r="V41" s="2" t="s">
        <v>230</v>
      </c>
      <c r="W41" s="2" t="s">
        <v>231</v>
      </c>
      <c r="X41" s="2" t="s">
        <v>227</v>
      </c>
      <c r="Y41" s="2" t="s">
        <v>232</v>
      </c>
      <c r="Z41" s="4">
        <v>97</v>
      </c>
      <c r="AA41" s="4">
        <f>=ROUNDDOWN(23.6585365853659,0)</f>
      </c>
      <c r="AB41" s="5">
        <v>4.1</v>
      </c>
      <c r="AC41" s="2" t="s">
        <v>187</v>
      </c>
      <c r="AD41" s="4">
        <v>50</v>
      </c>
      <c r="AE41" s="4">
        <v>50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227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227</v>
      </c>
      <c r="AW41" s="8" t="s">
        <v>227</v>
      </c>
      <c r="AX41" s="4" t="s">
        <v>227</v>
      </c>
      <c r="AY41" s="8" t="s">
        <v>227</v>
      </c>
      <c r="AZ41" s="7" t="s">
        <v>227</v>
      </c>
      <c r="BA41" s="7" t="s">
        <v>227</v>
      </c>
      <c r="BB41" s="7"/>
      <c r="BC41" s="4" t="s">
        <v>227</v>
      </c>
      <c r="BD41" s="8" t="s">
        <v>227</v>
      </c>
      <c r="BE41" s="4" t="s">
        <v>227</v>
      </c>
      <c r="BF41" s="8" t="s">
        <v>227</v>
      </c>
      <c r="BG41" s="7" t="s">
        <v>227</v>
      </c>
      <c r="BH41" s="7" t="s">
        <v>227</v>
      </c>
      <c r="BI41" s="7"/>
      <c r="BJ41" s="4">
        <v>15</v>
      </c>
      <c r="BK41" s="8">
        <v>247.87</v>
      </c>
      <c r="BL41" s="2" t="s">
        <v>429</v>
      </c>
      <c r="BM41" s="7"/>
      <c r="BN41" s="7"/>
      <c r="BO41" s="4"/>
      <c r="BP41" s="8"/>
      <c r="BQ41" s="4"/>
      <c r="BR41" s="8"/>
      <c r="BS41" s="7"/>
      <c r="BT41" s="7"/>
      <c r="BU41" s="2" t="s">
        <v>438</v>
      </c>
      <c r="BV41" s="2" t="s">
        <v>227</v>
      </c>
      <c r="BW41" s="2" t="s">
        <v>227</v>
      </c>
      <c r="BX41" s="2" t="s">
        <v>235</v>
      </c>
      <c r="BY41" s="2" t="s">
        <v>236</v>
      </c>
      <c r="BZ41" s="2" t="s">
        <v>224</v>
      </c>
      <c r="CA41" s="2" t="s">
        <v>237</v>
      </c>
      <c r="CB41" s="2" t="s">
        <v>439</v>
      </c>
      <c r="CC41" s="2" t="s">
        <v>239</v>
      </c>
      <c r="CD41" s="2" t="s">
        <v>227</v>
      </c>
      <c r="CE41" s="4">
        <v>97</v>
      </c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>
        <v>50</v>
      </c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</row>
    <row r="42">
      <c r="A42" s="2" t="s">
        <v>440</v>
      </c>
      <c r="B42" s="2" t="s">
        <v>278</v>
      </c>
      <c r="C42" s="2" t="s">
        <v>360</v>
      </c>
      <c r="D42" s="2" t="s">
        <v>280</v>
      </c>
      <c r="E42" s="2" t="s">
        <v>281</v>
      </c>
      <c r="F42" s="2" t="s">
        <v>372</v>
      </c>
      <c r="G42" s="2" t="s">
        <v>372</v>
      </c>
      <c r="H42" s="2" t="s">
        <v>372</v>
      </c>
      <c r="I42" s="2" t="s">
        <v>373</v>
      </c>
      <c r="J42" s="2" t="s">
        <v>252</v>
      </c>
      <c r="K42" s="2" t="s">
        <v>432</v>
      </c>
      <c r="L42" s="3">
        <v>19</v>
      </c>
      <c r="M42" s="3">
        <v>19.95</v>
      </c>
      <c r="N42" s="3">
        <v>37.99</v>
      </c>
      <c r="O42" s="2" t="s">
        <v>224</v>
      </c>
      <c r="P42" s="2" t="s">
        <v>225</v>
      </c>
      <c r="Q42" s="2" t="s">
        <v>226</v>
      </c>
      <c r="R42" s="2" t="s">
        <v>227</v>
      </c>
      <c r="S42" s="2" t="s">
        <v>433</v>
      </c>
      <c r="T42" s="2" t="s">
        <v>375</v>
      </c>
      <c r="U42" s="2" t="s">
        <v>227</v>
      </c>
      <c r="V42" s="2" t="s">
        <v>230</v>
      </c>
      <c r="W42" s="2" t="s">
        <v>231</v>
      </c>
      <c r="X42" s="2" t="s">
        <v>227</v>
      </c>
      <c r="Y42" s="2" t="s">
        <v>232</v>
      </c>
      <c r="Z42" s="4">
        <v>249</v>
      </c>
      <c r="AA42" s="4">
        <f>=ROUNDDOWN(15.5625,0)</f>
      </c>
      <c r="AB42" s="5">
        <v>16</v>
      </c>
      <c r="AC42" s="2" t="s">
        <v>182</v>
      </c>
      <c r="AD42" s="4">
        <v>180</v>
      </c>
      <c r="AE42" s="4">
        <v>350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227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227</v>
      </c>
      <c r="AW42" s="8" t="s">
        <v>227</v>
      </c>
      <c r="AX42" s="4" t="s">
        <v>227</v>
      </c>
      <c r="AY42" s="8" t="s">
        <v>227</v>
      </c>
      <c r="AZ42" s="7" t="s">
        <v>227</v>
      </c>
      <c r="BA42" s="7" t="s">
        <v>227</v>
      </c>
      <c r="BB42" s="7"/>
      <c r="BC42" s="4" t="s">
        <v>227</v>
      </c>
      <c r="BD42" s="8" t="s">
        <v>227</v>
      </c>
      <c r="BE42" s="4" t="s">
        <v>227</v>
      </c>
      <c r="BF42" s="8" t="s">
        <v>227</v>
      </c>
      <c r="BG42" s="7" t="s">
        <v>227</v>
      </c>
      <c r="BH42" s="7" t="s">
        <v>227</v>
      </c>
      <c r="BI42" s="7"/>
      <c r="BJ42" s="4">
        <v>70</v>
      </c>
      <c r="BK42" s="8">
        <v>1353.72</v>
      </c>
      <c r="BL42" s="2" t="s">
        <v>441</v>
      </c>
      <c r="BM42" s="7"/>
      <c r="BN42" s="7"/>
      <c r="BO42" s="4"/>
      <c r="BP42" s="8"/>
      <c r="BQ42" s="4"/>
      <c r="BR42" s="8"/>
      <c r="BS42" s="7"/>
      <c r="BT42" s="7"/>
      <c r="BU42" s="2" t="s">
        <v>442</v>
      </c>
      <c r="BV42" s="2" t="s">
        <v>227</v>
      </c>
      <c r="BW42" s="2" t="s">
        <v>227</v>
      </c>
      <c r="BX42" s="2" t="s">
        <v>235</v>
      </c>
      <c r="BY42" s="2" t="s">
        <v>236</v>
      </c>
      <c r="BZ42" s="2" t="s">
        <v>224</v>
      </c>
      <c r="CA42" s="2" t="s">
        <v>237</v>
      </c>
      <c r="CB42" s="2" t="s">
        <v>443</v>
      </c>
      <c r="CC42" s="2" t="s">
        <v>239</v>
      </c>
      <c r="CD42" s="2" t="s">
        <v>227</v>
      </c>
      <c r="CE42" s="4">
        <v>249</v>
      </c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>
        <v>180</v>
      </c>
      <c r="FS42" s="4"/>
      <c r="FT42" s="4"/>
      <c r="FU42" s="4"/>
      <c r="FV42" s="4"/>
      <c r="FW42" s="4">
        <v>170</v>
      </c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</row>
    <row r="43">
      <c r="A43" s="2" t="s">
        <v>444</v>
      </c>
      <c r="B43" s="2" t="s">
        <v>278</v>
      </c>
      <c r="C43" s="2" t="s">
        <v>360</v>
      </c>
      <c r="D43" s="2" t="s">
        <v>280</v>
      </c>
      <c r="E43" s="2" t="s">
        <v>281</v>
      </c>
      <c r="F43" s="2" t="s">
        <v>372</v>
      </c>
      <c r="G43" s="2" t="s">
        <v>372</v>
      </c>
      <c r="H43" s="2" t="s">
        <v>372</v>
      </c>
      <c r="I43" s="2" t="s">
        <v>373</v>
      </c>
      <c r="J43" s="2" t="s">
        <v>384</v>
      </c>
      <c r="K43" s="2" t="s">
        <v>432</v>
      </c>
      <c r="L43" s="3">
        <v>21.5</v>
      </c>
      <c r="M43" s="3">
        <v>22.58</v>
      </c>
      <c r="N43" s="3">
        <v>42.99</v>
      </c>
      <c r="O43" s="2" t="s">
        <v>224</v>
      </c>
      <c r="P43" s="2" t="s">
        <v>225</v>
      </c>
      <c r="Q43" s="2" t="s">
        <v>226</v>
      </c>
      <c r="R43" s="2" t="s">
        <v>227</v>
      </c>
      <c r="S43" s="2" t="s">
        <v>433</v>
      </c>
      <c r="T43" s="2" t="s">
        <v>375</v>
      </c>
      <c r="U43" s="2" t="s">
        <v>227</v>
      </c>
      <c r="V43" s="2" t="s">
        <v>230</v>
      </c>
      <c r="W43" s="2" t="s">
        <v>231</v>
      </c>
      <c r="X43" s="2" t="s">
        <v>227</v>
      </c>
      <c r="Y43" s="2" t="s">
        <v>232</v>
      </c>
      <c r="Z43" s="4">
        <v>116</v>
      </c>
      <c r="AA43" s="4">
        <f>=ROUNDDOWN(64.4444444444444,0)</f>
      </c>
      <c r="AB43" s="5">
        <v>1.8</v>
      </c>
      <c r="AC43" s="2" t="s">
        <v>227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227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227</v>
      </c>
      <c r="AW43" s="8" t="s">
        <v>227</v>
      </c>
      <c r="AX43" s="4" t="s">
        <v>227</v>
      </c>
      <c r="AY43" s="8" t="s">
        <v>227</v>
      </c>
      <c r="AZ43" s="7" t="s">
        <v>227</v>
      </c>
      <c r="BA43" s="7" t="s">
        <v>227</v>
      </c>
      <c r="BB43" s="7"/>
      <c r="BC43" s="4" t="s">
        <v>227</v>
      </c>
      <c r="BD43" s="8" t="s">
        <v>227</v>
      </c>
      <c r="BE43" s="4" t="s">
        <v>227</v>
      </c>
      <c r="BF43" s="8" t="s">
        <v>227</v>
      </c>
      <c r="BG43" s="7" t="s">
        <v>227</v>
      </c>
      <c r="BH43" s="7" t="s">
        <v>227</v>
      </c>
      <c r="BI43" s="7"/>
      <c r="BJ43" s="4">
        <v>8</v>
      </c>
      <c r="BK43" s="8">
        <v>166.62</v>
      </c>
      <c r="BL43" s="2" t="s">
        <v>445</v>
      </c>
      <c r="BM43" s="7"/>
      <c r="BN43" s="7"/>
      <c r="BO43" s="4"/>
      <c r="BP43" s="8"/>
      <c r="BQ43" s="4"/>
      <c r="BR43" s="8"/>
      <c r="BS43" s="7"/>
      <c r="BT43" s="7"/>
      <c r="BU43" s="2" t="s">
        <v>446</v>
      </c>
      <c r="BV43" s="2" t="s">
        <v>227</v>
      </c>
      <c r="BW43" s="2" t="s">
        <v>227</v>
      </c>
      <c r="BX43" s="2" t="s">
        <v>235</v>
      </c>
      <c r="BY43" s="2" t="s">
        <v>236</v>
      </c>
      <c r="BZ43" s="2" t="s">
        <v>224</v>
      </c>
      <c r="CA43" s="2" t="s">
        <v>237</v>
      </c>
      <c r="CB43" s="2" t="s">
        <v>378</v>
      </c>
      <c r="CC43" s="2" t="s">
        <v>239</v>
      </c>
      <c r="CD43" s="2" t="s">
        <v>227</v>
      </c>
      <c r="CE43" s="4">
        <v>116</v>
      </c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</row>
    <row r="44">
      <c r="A44" s="2" t="s">
        <v>447</v>
      </c>
      <c r="B44" s="2" t="s">
        <v>278</v>
      </c>
      <c r="C44" s="2" t="s">
        <v>360</v>
      </c>
      <c r="D44" s="2" t="s">
        <v>280</v>
      </c>
      <c r="E44" s="2" t="s">
        <v>281</v>
      </c>
      <c r="F44" s="2" t="s">
        <v>372</v>
      </c>
      <c r="G44" s="2" t="s">
        <v>372</v>
      </c>
      <c r="H44" s="2" t="s">
        <v>372</v>
      </c>
      <c r="I44" s="2" t="s">
        <v>373</v>
      </c>
      <c r="J44" s="2" t="s">
        <v>222</v>
      </c>
      <c r="K44" s="2" t="s">
        <v>448</v>
      </c>
      <c r="L44" s="3">
        <v>13.44</v>
      </c>
      <c r="M44" s="3">
        <v>14.11</v>
      </c>
      <c r="N44" s="3">
        <v>27.99</v>
      </c>
      <c r="O44" s="2" t="s">
        <v>224</v>
      </c>
      <c r="P44" s="2" t="s">
        <v>225</v>
      </c>
      <c r="Q44" s="2" t="s">
        <v>226</v>
      </c>
      <c r="R44" s="2" t="s">
        <v>227</v>
      </c>
      <c r="S44" s="2" t="s">
        <v>449</v>
      </c>
      <c r="T44" s="2" t="s">
        <v>375</v>
      </c>
      <c r="U44" s="2" t="s">
        <v>227</v>
      </c>
      <c r="V44" s="2" t="s">
        <v>230</v>
      </c>
      <c r="W44" s="2" t="s">
        <v>231</v>
      </c>
      <c r="X44" s="2" t="s">
        <v>227</v>
      </c>
      <c r="Y44" s="2" t="s">
        <v>232</v>
      </c>
      <c r="Z44" s="4">
        <v>103</v>
      </c>
      <c r="AA44" s="4">
        <f>=ROUNDDOWN(17.1666666666667,0)</f>
      </c>
      <c r="AB44" s="5">
        <v>6</v>
      </c>
      <c r="AC44" s="2" t="s">
        <v>397</v>
      </c>
      <c r="AD44" s="4">
        <v>130</v>
      </c>
      <c r="AE44" s="4">
        <v>180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227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227</v>
      </c>
      <c r="AW44" s="8" t="s">
        <v>227</v>
      </c>
      <c r="AX44" s="4" t="s">
        <v>227</v>
      </c>
      <c r="AY44" s="8" t="s">
        <v>227</v>
      </c>
      <c r="AZ44" s="7" t="s">
        <v>227</v>
      </c>
      <c r="BA44" s="7" t="s">
        <v>227</v>
      </c>
      <c r="BB44" s="7"/>
      <c r="BC44" s="4" t="s">
        <v>227</v>
      </c>
      <c r="BD44" s="8" t="s">
        <v>227</v>
      </c>
      <c r="BE44" s="4" t="s">
        <v>227</v>
      </c>
      <c r="BF44" s="8" t="s">
        <v>227</v>
      </c>
      <c r="BG44" s="7" t="s">
        <v>227</v>
      </c>
      <c r="BH44" s="7" t="s">
        <v>227</v>
      </c>
      <c r="BI44" s="7"/>
      <c r="BJ44" s="4">
        <v>22</v>
      </c>
      <c r="BK44" s="8">
        <v>310.34</v>
      </c>
      <c r="BL44" s="2" t="s">
        <v>450</v>
      </c>
      <c r="BM44" s="7"/>
      <c r="BN44" s="7"/>
      <c r="BO44" s="4"/>
      <c r="BP44" s="8"/>
      <c r="BQ44" s="4"/>
      <c r="BR44" s="8"/>
      <c r="BS44" s="7"/>
      <c r="BT44" s="7"/>
      <c r="BU44" s="2" t="s">
        <v>451</v>
      </c>
      <c r="BV44" s="2" t="s">
        <v>227</v>
      </c>
      <c r="BW44" s="2" t="s">
        <v>227</v>
      </c>
      <c r="BX44" s="2" t="s">
        <v>235</v>
      </c>
      <c r="BY44" s="2" t="s">
        <v>236</v>
      </c>
      <c r="BZ44" s="2" t="s">
        <v>224</v>
      </c>
      <c r="CA44" s="2" t="s">
        <v>237</v>
      </c>
      <c r="CB44" s="2" t="s">
        <v>452</v>
      </c>
      <c r="CC44" s="2" t="s">
        <v>239</v>
      </c>
      <c r="CD44" s="2" t="s">
        <v>227</v>
      </c>
      <c r="CE44" s="4">
        <v>103</v>
      </c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>
        <v>130</v>
      </c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>
        <v>50</v>
      </c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</row>
    <row r="45">
      <c r="A45" s="2" t="s">
        <v>453</v>
      </c>
      <c r="B45" s="2" t="s">
        <v>278</v>
      </c>
      <c r="C45" s="2" t="s">
        <v>360</v>
      </c>
      <c r="D45" s="2" t="s">
        <v>280</v>
      </c>
      <c r="E45" s="2" t="s">
        <v>281</v>
      </c>
      <c r="F45" s="2" t="s">
        <v>372</v>
      </c>
      <c r="G45" s="2" t="s">
        <v>372</v>
      </c>
      <c r="H45" s="2" t="s">
        <v>372</v>
      </c>
      <c r="I45" s="2" t="s">
        <v>373</v>
      </c>
      <c r="J45" s="2" t="s">
        <v>241</v>
      </c>
      <c r="K45" s="2" t="s">
        <v>448</v>
      </c>
      <c r="L45" s="3">
        <v>15.19</v>
      </c>
      <c r="M45" s="3">
        <v>15.95</v>
      </c>
      <c r="N45" s="3">
        <v>30.99</v>
      </c>
      <c r="O45" s="2" t="s">
        <v>224</v>
      </c>
      <c r="P45" s="2" t="s">
        <v>225</v>
      </c>
      <c r="Q45" s="2" t="s">
        <v>226</v>
      </c>
      <c r="R45" s="2" t="s">
        <v>227</v>
      </c>
      <c r="S45" s="2" t="s">
        <v>449</v>
      </c>
      <c r="T45" s="2" t="s">
        <v>375</v>
      </c>
      <c r="U45" s="2" t="s">
        <v>227</v>
      </c>
      <c r="V45" s="2" t="s">
        <v>230</v>
      </c>
      <c r="W45" s="2" t="s">
        <v>231</v>
      </c>
      <c r="X45" s="2" t="s">
        <v>227</v>
      </c>
      <c r="Y45" s="2" t="s">
        <v>232</v>
      </c>
      <c r="Z45" s="4">
        <v>589</v>
      </c>
      <c r="AA45" s="4">
        <f>=ROUNDDOWN(196.333333333333,0)</f>
      </c>
      <c r="AB45" s="5">
        <v>3</v>
      </c>
      <c r="AC45" s="2" t="s">
        <v>227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227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227</v>
      </c>
      <c r="AW45" s="8" t="s">
        <v>227</v>
      </c>
      <c r="AX45" s="4" t="s">
        <v>227</v>
      </c>
      <c r="AY45" s="8" t="s">
        <v>227</v>
      </c>
      <c r="AZ45" s="7" t="s">
        <v>227</v>
      </c>
      <c r="BA45" s="7" t="s">
        <v>227</v>
      </c>
      <c r="BB45" s="7"/>
      <c r="BC45" s="4" t="s">
        <v>227</v>
      </c>
      <c r="BD45" s="8" t="s">
        <v>227</v>
      </c>
      <c r="BE45" s="4" t="s">
        <v>227</v>
      </c>
      <c r="BF45" s="8" t="s">
        <v>227</v>
      </c>
      <c r="BG45" s="7" t="s">
        <v>227</v>
      </c>
      <c r="BH45" s="7" t="s">
        <v>227</v>
      </c>
      <c r="BI45" s="7"/>
      <c r="BJ45" s="4">
        <v>57</v>
      </c>
      <c r="BK45" s="8">
        <v>894.23</v>
      </c>
      <c r="BL45" s="2" t="s">
        <v>454</v>
      </c>
      <c r="BM45" s="7"/>
      <c r="BN45" s="7"/>
      <c r="BO45" s="4"/>
      <c r="BP45" s="8"/>
      <c r="BQ45" s="4"/>
      <c r="BR45" s="8"/>
      <c r="BS45" s="7"/>
      <c r="BT45" s="7"/>
      <c r="BU45" s="2" t="s">
        <v>455</v>
      </c>
      <c r="BV45" s="2" t="s">
        <v>227</v>
      </c>
      <c r="BW45" s="2" t="s">
        <v>227</v>
      </c>
      <c r="BX45" s="2" t="s">
        <v>235</v>
      </c>
      <c r="BY45" s="2" t="s">
        <v>236</v>
      </c>
      <c r="BZ45" s="2" t="s">
        <v>224</v>
      </c>
      <c r="CA45" s="2" t="s">
        <v>237</v>
      </c>
      <c r="CB45" s="2" t="s">
        <v>456</v>
      </c>
      <c r="CC45" s="2" t="s">
        <v>239</v>
      </c>
      <c r="CD45" s="2" t="s">
        <v>227</v>
      </c>
      <c r="CE45" s="4">
        <v>589</v>
      </c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</row>
    <row r="46">
      <c r="A46" s="2" t="s">
        <v>457</v>
      </c>
      <c r="B46" s="2" t="s">
        <v>278</v>
      </c>
      <c r="C46" s="2" t="s">
        <v>360</v>
      </c>
      <c r="D46" s="2" t="s">
        <v>280</v>
      </c>
      <c r="E46" s="2" t="s">
        <v>281</v>
      </c>
      <c r="F46" s="2" t="s">
        <v>372</v>
      </c>
      <c r="G46" s="2" t="s">
        <v>372</v>
      </c>
      <c r="H46" s="2" t="s">
        <v>372</v>
      </c>
      <c r="I46" s="2" t="s">
        <v>373</v>
      </c>
      <c r="J46" s="2" t="s">
        <v>247</v>
      </c>
      <c r="K46" s="2" t="s">
        <v>448</v>
      </c>
      <c r="L46" s="3">
        <v>16.5</v>
      </c>
      <c r="M46" s="3">
        <v>17.32</v>
      </c>
      <c r="N46" s="3">
        <v>32.99</v>
      </c>
      <c r="O46" s="2" t="s">
        <v>224</v>
      </c>
      <c r="P46" s="2" t="s">
        <v>225</v>
      </c>
      <c r="Q46" s="2" t="s">
        <v>226</v>
      </c>
      <c r="R46" s="2" t="s">
        <v>227</v>
      </c>
      <c r="S46" s="2" t="s">
        <v>449</v>
      </c>
      <c r="T46" s="2" t="s">
        <v>375</v>
      </c>
      <c r="U46" s="2" t="s">
        <v>227</v>
      </c>
      <c r="V46" s="2" t="s">
        <v>230</v>
      </c>
      <c r="W46" s="2" t="s">
        <v>231</v>
      </c>
      <c r="X46" s="2" t="s">
        <v>227</v>
      </c>
      <c r="Y46" s="2" t="s">
        <v>232</v>
      </c>
      <c r="Z46" s="4">
        <v>209</v>
      </c>
      <c r="AA46" s="4">
        <f>=ROUNDDOWN(25.1807228915663,0)</f>
      </c>
      <c r="AB46" s="5">
        <v>8.3</v>
      </c>
      <c r="AC46" s="2" t="s">
        <v>182</v>
      </c>
      <c r="AD46" s="4">
        <v>30</v>
      </c>
      <c r="AE46" s="4">
        <v>110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227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227</v>
      </c>
      <c r="AW46" s="8" t="s">
        <v>227</v>
      </c>
      <c r="AX46" s="4" t="s">
        <v>227</v>
      </c>
      <c r="AY46" s="8" t="s">
        <v>227</v>
      </c>
      <c r="AZ46" s="7" t="s">
        <v>227</v>
      </c>
      <c r="BA46" s="7" t="s">
        <v>227</v>
      </c>
      <c r="BB46" s="7"/>
      <c r="BC46" s="4" t="s">
        <v>227</v>
      </c>
      <c r="BD46" s="8" t="s">
        <v>227</v>
      </c>
      <c r="BE46" s="4" t="s">
        <v>227</v>
      </c>
      <c r="BF46" s="8" t="s">
        <v>227</v>
      </c>
      <c r="BG46" s="7" t="s">
        <v>227</v>
      </c>
      <c r="BH46" s="7" t="s">
        <v>227</v>
      </c>
      <c r="BI46" s="7"/>
      <c r="BJ46" s="4">
        <v>45</v>
      </c>
      <c r="BK46" s="8">
        <v>773.47</v>
      </c>
      <c r="BL46" s="2" t="s">
        <v>458</v>
      </c>
      <c r="BM46" s="7"/>
      <c r="BN46" s="7"/>
      <c r="BO46" s="4"/>
      <c r="BP46" s="8"/>
      <c r="BQ46" s="4"/>
      <c r="BR46" s="8"/>
      <c r="BS46" s="7"/>
      <c r="BT46" s="7"/>
      <c r="BU46" s="2" t="s">
        <v>459</v>
      </c>
      <c r="BV46" s="2" t="s">
        <v>227</v>
      </c>
      <c r="BW46" s="2" t="s">
        <v>227</v>
      </c>
      <c r="BX46" s="2" t="s">
        <v>235</v>
      </c>
      <c r="BY46" s="2" t="s">
        <v>236</v>
      </c>
      <c r="BZ46" s="2" t="s">
        <v>224</v>
      </c>
      <c r="CA46" s="2" t="s">
        <v>237</v>
      </c>
      <c r="CB46" s="2" t="s">
        <v>460</v>
      </c>
      <c r="CC46" s="2" t="s">
        <v>239</v>
      </c>
      <c r="CD46" s="2" t="s">
        <v>227</v>
      </c>
      <c r="CE46" s="4">
        <v>209</v>
      </c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>
        <v>30</v>
      </c>
      <c r="FS46" s="4"/>
      <c r="FT46" s="4"/>
      <c r="FU46" s="4"/>
      <c r="FV46" s="4"/>
      <c r="FW46" s="4">
        <v>80</v>
      </c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</row>
    <row r="47">
      <c r="A47" s="2" t="s">
        <v>461</v>
      </c>
      <c r="B47" s="2" t="s">
        <v>278</v>
      </c>
      <c r="C47" s="2" t="s">
        <v>360</v>
      </c>
      <c r="D47" s="2" t="s">
        <v>280</v>
      </c>
      <c r="E47" s="2" t="s">
        <v>281</v>
      </c>
      <c r="F47" s="2" t="s">
        <v>372</v>
      </c>
      <c r="G47" s="2" t="s">
        <v>372</v>
      </c>
      <c r="H47" s="2" t="s">
        <v>372</v>
      </c>
      <c r="I47" s="2" t="s">
        <v>373</v>
      </c>
      <c r="J47" s="2" t="s">
        <v>252</v>
      </c>
      <c r="K47" s="2" t="s">
        <v>448</v>
      </c>
      <c r="L47" s="3">
        <v>19</v>
      </c>
      <c r="M47" s="3">
        <v>19.95</v>
      </c>
      <c r="N47" s="3">
        <v>37.99</v>
      </c>
      <c r="O47" s="2" t="s">
        <v>224</v>
      </c>
      <c r="P47" s="2" t="s">
        <v>225</v>
      </c>
      <c r="Q47" s="2" t="s">
        <v>226</v>
      </c>
      <c r="R47" s="2" t="s">
        <v>227</v>
      </c>
      <c r="S47" s="2" t="s">
        <v>449</v>
      </c>
      <c r="T47" s="2" t="s">
        <v>375</v>
      </c>
      <c r="U47" s="2" t="s">
        <v>227</v>
      </c>
      <c r="V47" s="2" t="s">
        <v>230</v>
      </c>
      <c r="W47" s="2" t="s">
        <v>231</v>
      </c>
      <c r="X47" s="2" t="s">
        <v>227</v>
      </c>
      <c r="Y47" s="2" t="s">
        <v>232</v>
      </c>
      <c r="Z47" s="4">
        <v>804</v>
      </c>
      <c r="AA47" s="4">
        <f>=ROUNDDOWN(30.9230769230769,0)</f>
      </c>
      <c r="AB47" s="5">
        <v>26</v>
      </c>
      <c r="AC47" s="2" t="s">
        <v>397</v>
      </c>
      <c r="AD47" s="4">
        <v>280</v>
      </c>
      <c r="AE47" s="4">
        <v>280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227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227</v>
      </c>
      <c r="AW47" s="8" t="s">
        <v>227</v>
      </c>
      <c r="AX47" s="4" t="s">
        <v>227</v>
      </c>
      <c r="AY47" s="8" t="s">
        <v>227</v>
      </c>
      <c r="AZ47" s="7" t="s">
        <v>227</v>
      </c>
      <c r="BA47" s="7" t="s">
        <v>227</v>
      </c>
      <c r="BB47" s="7"/>
      <c r="BC47" s="4" t="s">
        <v>227</v>
      </c>
      <c r="BD47" s="8" t="s">
        <v>227</v>
      </c>
      <c r="BE47" s="4" t="s">
        <v>227</v>
      </c>
      <c r="BF47" s="8" t="s">
        <v>227</v>
      </c>
      <c r="BG47" s="7" t="s">
        <v>227</v>
      </c>
      <c r="BH47" s="7" t="s">
        <v>227</v>
      </c>
      <c r="BI47" s="7"/>
      <c r="BJ47" s="4">
        <v>124</v>
      </c>
      <c r="BK47" s="8">
        <v>2472.28</v>
      </c>
      <c r="BL47" s="2" t="s">
        <v>462</v>
      </c>
      <c r="BM47" s="7"/>
      <c r="BN47" s="7"/>
      <c r="BO47" s="4"/>
      <c r="BP47" s="8"/>
      <c r="BQ47" s="4"/>
      <c r="BR47" s="8"/>
      <c r="BS47" s="7"/>
      <c r="BT47" s="7"/>
      <c r="BU47" s="2" t="s">
        <v>463</v>
      </c>
      <c r="BV47" s="2" t="s">
        <v>227</v>
      </c>
      <c r="BW47" s="2" t="s">
        <v>227</v>
      </c>
      <c r="BX47" s="2" t="s">
        <v>235</v>
      </c>
      <c r="BY47" s="2" t="s">
        <v>236</v>
      </c>
      <c r="BZ47" s="2" t="s">
        <v>224</v>
      </c>
      <c r="CA47" s="2" t="s">
        <v>237</v>
      </c>
      <c r="CB47" s="2" t="s">
        <v>464</v>
      </c>
      <c r="CC47" s="2" t="s">
        <v>239</v>
      </c>
      <c r="CD47" s="2" t="s">
        <v>227</v>
      </c>
      <c r="CE47" s="4">
        <v>804</v>
      </c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>
        <v>280</v>
      </c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</row>
    <row r="48">
      <c r="A48" s="2" t="s">
        <v>465</v>
      </c>
      <c r="B48" s="2" t="s">
        <v>278</v>
      </c>
      <c r="C48" s="2" t="s">
        <v>360</v>
      </c>
      <c r="D48" s="2" t="s">
        <v>280</v>
      </c>
      <c r="E48" s="2" t="s">
        <v>281</v>
      </c>
      <c r="F48" s="2" t="s">
        <v>372</v>
      </c>
      <c r="G48" s="2" t="s">
        <v>372</v>
      </c>
      <c r="H48" s="2" t="s">
        <v>372</v>
      </c>
      <c r="I48" s="2" t="s">
        <v>373</v>
      </c>
      <c r="J48" s="2" t="s">
        <v>257</v>
      </c>
      <c r="K48" s="2" t="s">
        <v>448</v>
      </c>
      <c r="L48" s="3">
        <v>21.5</v>
      </c>
      <c r="M48" s="3">
        <v>22.58</v>
      </c>
      <c r="N48" s="3">
        <v>42.99</v>
      </c>
      <c r="O48" s="2" t="s">
        <v>224</v>
      </c>
      <c r="P48" s="2" t="s">
        <v>225</v>
      </c>
      <c r="Q48" s="2" t="s">
        <v>226</v>
      </c>
      <c r="R48" s="2" t="s">
        <v>227</v>
      </c>
      <c r="S48" s="2" t="s">
        <v>449</v>
      </c>
      <c r="T48" s="2" t="s">
        <v>375</v>
      </c>
      <c r="U48" s="2" t="s">
        <v>227</v>
      </c>
      <c r="V48" s="2" t="s">
        <v>230</v>
      </c>
      <c r="W48" s="2" t="s">
        <v>231</v>
      </c>
      <c r="X48" s="2" t="s">
        <v>227</v>
      </c>
      <c r="Y48" s="2" t="s">
        <v>232</v>
      </c>
      <c r="Z48" s="4">
        <v>240</v>
      </c>
      <c r="AA48" s="4">
        <f>=ROUNDDOWN(11.2676056338028,0)</f>
      </c>
      <c r="AB48" s="5">
        <v>21.3</v>
      </c>
      <c r="AC48" s="2" t="s">
        <v>397</v>
      </c>
      <c r="AD48" s="4">
        <v>190</v>
      </c>
      <c r="AE48" s="4">
        <v>440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227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227</v>
      </c>
      <c r="AW48" s="8" t="s">
        <v>227</v>
      </c>
      <c r="AX48" s="4" t="s">
        <v>227</v>
      </c>
      <c r="AY48" s="8" t="s">
        <v>227</v>
      </c>
      <c r="AZ48" s="7" t="s">
        <v>227</v>
      </c>
      <c r="BA48" s="7" t="s">
        <v>227</v>
      </c>
      <c r="BB48" s="7"/>
      <c r="BC48" s="4" t="s">
        <v>227</v>
      </c>
      <c r="BD48" s="8" t="s">
        <v>227</v>
      </c>
      <c r="BE48" s="4" t="s">
        <v>227</v>
      </c>
      <c r="BF48" s="8" t="s">
        <v>227</v>
      </c>
      <c r="BG48" s="7" t="s">
        <v>227</v>
      </c>
      <c r="BH48" s="7" t="s">
        <v>227</v>
      </c>
      <c r="BI48" s="7"/>
      <c r="BJ48" s="4">
        <v>91</v>
      </c>
      <c r="BK48" s="8">
        <v>2078.71</v>
      </c>
      <c r="BL48" s="2" t="s">
        <v>466</v>
      </c>
      <c r="BM48" s="7"/>
      <c r="BN48" s="7"/>
      <c r="BO48" s="4"/>
      <c r="BP48" s="8"/>
      <c r="BQ48" s="4"/>
      <c r="BR48" s="8"/>
      <c r="BS48" s="7"/>
      <c r="BT48" s="7"/>
      <c r="BU48" s="2" t="s">
        <v>467</v>
      </c>
      <c r="BV48" s="2" t="s">
        <v>227</v>
      </c>
      <c r="BW48" s="2" t="s">
        <v>227</v>
      </c>
      <c r="BX48" s="2" t="s">
        <v>235</v>
      </c>
      <c r="BY48" s="2" t="s">
        <v>236</v>
      </c>
      <c r="BZ48" s="2" t="s">
        <v>224</v>
      </c>
      <c r="CA48" s="2" t="s">
        <v>237</v>
      </c>
      <c r="CB48" s="2" t="s">
        <v>468</v>
      </c>
      <c r="CC48" s="2" t="s">
        <v>239</v>
      </c>
      <c r="CD48" s="2" t="s">
        <v>227</v>
      </c>
      <c r="CE48" s="4">
        <v>240</v>
      </c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>
        <v>190</v>
      </c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>
        <v>60</v>
      </c>
      <c r="FS48" s="4"/>
      <c r="FT48" s="4"/>
      <c r="FU48" s="4"/>
      <c r="FV48" s="4"/>
      <c r="FW48" s="4">
        <v>190</v>
      </c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</row>
    <row r="49">
      <c r="A49" s="2" t="s">
        <v>469</v>
      </c>
      <c r="B49" s="2" t="s">
        <v>278</v>
      </c>
      <c r="C49" s="2" t="s">
        <v>360</v>
      </c>
      <c r="D49" s="2" t="s">
        <v>280</v>
      </c>
      <c r="E49" s="2" t="s">
        <v>281</v>
      </c>
      <c r="F49" s="2" t="s">
        <v>372</v>
      </c>
      <c r="G49" s="2" t="s">
        <v>372</v>
      </c>
      <c r="H49" s="2" t="s">
        <v>372</v>
      </c>
      <c r="I49" s="2" t="s">
        <v>373</v>
      </c>
      <c r="J49" s="2" t="s">
        <v>384</v>
      </c>
      <c r="K49" s="2" t="s">
        <v>448</v>
      </c>
      <c r="L49" s="3">
        <v>21.5</v>
      </c>
      <c r="M49" s="3">
        <v>22.58</v>
      </c>
      <c r="N49" s="3">
        <v>42.99</v>
      </c>
      <c r="O49" s="2" t="s">
        <v>224</v>
      </c>
      <c r="P49" s="2" t="s">
        <v>225</v>
      </c>
      <c r="Q49" s="2" t="s">
        <v>226</v>
      </c>
      <c r="R49" s="2" t="s">
        <v>227</v>
      </c>
      <c r="S49" s="2" t="s">
        <v>449</v>
      </c>
      <c r="T49" s="2" t="s">
        <v>375</v>
      </c>
      <c r="U49" s="2" t="s">
        <v>227</v>
      </c>
      <c r="V49" s="2" t="s">
        <v>230</v>
      </c>
      <c r="W49" s="2" t="s">
        <v>231</v>
      </c>
      <c r="X49" s="2" t="s">
        <v>227</v>
      </c>
      <c r="Y49" s="2" t="s">
        <v>232</v>
      </c>
      <c r="Z49" s="4">
        <v>94</v>
      </c>
      <c r="AA49" s="4">
        <f>=ROUNDDOWN(18.8,0)</f>
      </c>
      <c r="AB49" s="5">
        <v>5</v>
      </c>
      <c r="AC49" s="2" t="s">
        <v>397</v>
      </c>
      <c r="AD49" s="4">
        <v>40</v>
      </c>
      <c r="AE49" s="4">
        <v>130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227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227</v>
      </c>
      <c r="AW49" s="8" t="s">
        <v>227</v>
      </c>
      <c r="AX49" s="4" t="s">
        <v>227</v>
      </c>
      <c r="AY49" s="8" t="s">
        <v>227</v>
      </c>
      <c r="AZ49" s="7" t="s">
        <v>227</v>
      </c>
      <c r="BA49" s="7" t="s">
        <v>227</v>
      </c>
      <c r="BB49" s="7"/>
      <c r="BC49" s="4" t="s">
        <v>227</v>
      </c>
      <c r="BD49" s="8" t="s">
        <v>227</v>
      </c>
      <c r="BE49" s="4" t="s">
        <v>227</v>
      </c>
      <c r="BF49" s="8" t="s">
        <v>227</v>
      </c>
      <c r="BG49" s="7" t="s">
        <v>227</v>
      </c>
      <c r="BH49" s="7" t="s">
        <v>227</v>
      </c>
      <c r="BI49" s="7"/>
      <c r="BJ49" s="4">
        <v>15</v>
      </c>
      <c r="BK49" s="8">
        <v>353.82</v>
      </c>
      <c r="BL49" s="2" t="s">
        <v>470</v>
      </c>
      <c r="BM49" s="7"/>
      <c r="BN49" s="7"/>
      <c r="BO49" s="4"/>
      <c r="BP49" s="8"/>
      <c r="BQ49" s="4"/>
      <c r="BR49" s="8"/>
      <c r="BS49" s="7"/>
      <c r="BT49" s="7"/>
      <c r="BU49" s="2" t="s">
        <v>471</v>
      </c>
      <c r="BV49" s="2" t="s">
        <v>227</v>
      </c>
      <c r="BW49" s="2" t="s">
        <v>227</v>
      </c>
      <c r="BX49" s="2" t="s">
        <v>235</v>
      </c>
      <c r="BY49" s="2" t="s">
        <v>236</v>
      </c>
      <c r="BZ49" s="2" t="s">
        <v>224</v>
      </c>
      <c r="CA49" s="2" t="s">
        <v>237</v>
      </c>
      <c r="CB49" s="2" t="s">
        <v>418</v>
      </c>
      <c r="CC49" s="2" t="s">
        <v>239</v>
      </c>
      <c r="CD49" s="2" t="s">
        <v>227</v>
      </c>
      <c r="CE49" s="4">
        <v>94</v>
      </c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>
        <v>40</v>
      </c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>
        <v>40</v>
      </c>
      <c r="FS49" s="4"/>
      <c r="FT49" s="4"/>
      <c r="FU49" s="4"/>
      <c r="FV49" s="4"/>
      <c r="FW49" s="4">
        <v>50</v>
      </c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</row>
    <row r="50">
      <c r="A50" s="2" t="s">
        <v>472</v>
      </c>
      <c r="B50" s="2" t="s">
        <v>278</v>
      </c>
      <c r="C50" s="2" t="s">
        <v>360</v>
      </c>
      <c r="D50" s="2" t="s">
        <v>280</v>
      </c>
      <c r="E50" s="2" t="s">
        <v>281</v>
      </c>
      <c r="F50" s="2" t="s">
        <v>372</v>
      </c>
      <c r="G50" s="2" t="s">
        <v>372</v>
      </c>
      <c r="H50" s="2" t="s">
        <v>372</v>
      </c>
      <c r="I50" s="2" t="s">
        <v>373</v>
      </c>
      <c r="J50" s="2" t="s">
        <v>241</v>
      </c>
      <c r="K50" s="2" t="s">
        <v>264</v>
      </c>
      <c r="L50" s="3">
        <v>15.19</v>
      </c>
      <c r="M50" s="3">
        <v>15.95</v>
      </c>
      <c r="N50" s="3">
        <v>30.99</v>
      </c>
      <c r="O50" s="2" t="s">
        <v>224</v>
      </c>
      <c r="P50" s="2" t="s">
        <v>225</v>
      </c>
      <c r="Q50" s="2" t="s">
        <v>226</v>
      </c>
      <c r="R50" s="2" t="s">
        <v>227</v>
      </c>
      <c r="S50" s="2" t="s">
        <v>473</v>
      </c>
      <c r="T50" s="2" t="s">
        <v>375</v>
      </c>
      <c r="U50" s="2" t="s">
        <v>227</v>
      </c>
      <c r="V50" s="2" t="s">
        <v>230</v>
      </c>
      <c r="W50" s="2" t="s">
        <v>231</v>
      </c>
      <c r="X50" s="2" t="s">
        <v>227</v>
      </c>
      <c r="Y50" s="2" t="s">
        <v>232</v>
      </c>
      <c r="Z50" s="4">
        <v>362</v>
      </c>
      <c r="AA50" s="4">
        <f>=ROUNDDOWN(124.827586206897,0)</f>
      </c>
      <c r="AB50" s="5">
        <v>2.9</v>
      </c>
      <c r="AC50" s="2" t="s">
        <v>227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227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227</v>
      </c>
      <c r="AW50" s="8" t="s">
        <v>227</v>
      </c>
      <c r="AX50" s="4" t="s">
        <v>227</v>
      </c>
      <c r="AY50" s="8" t="s">
        <v>227</v>
      </c>
      <c r="AZ50" s="7" t="s">
        <v>227</v>
      </c>
      <c r="BA50" s="7" t="s">
        <v>227</v>
      </c>
      <c r="BB50" s="7"/>
      <c r="BC50" s="4" t="s">
        <v>227</v>
      </c>
      <c r="BD50" s="8" t="s">
        <v>227</v>
      </c>
      <c r="BE50" s="4" t="s">
        <v>227</v>
      </c>
      <c r="BF50" s="8" t="s">
        <v>227</v>
      </c>
      <c r="BG50" s="7" t="s">
        <v>227</v>
      </c>
      <c r="BH50" s="7" t="s">
        <v>227</v>
      </c>
      <c r="BI50" s="7"/>
      <c r="BJ50" s="4">
        <v>70</v>
      </c>
      <c r="BK50" s="8">
        <v>1118.13</v>
      </c>
      <c r="BL50" s="2" t="s">
        <v>474</v>
      </c>
      <c r="BM50" s="7"/>
      <c r="BN50" s="7"/>
      <c r="BO50" s="4"/>
      <c r="BP50" s="8"/>
      <c r="BQ50" s="4"/>
      <c r="BR50" s="8"/>
      <c r="BS50" s="7"/>
      <c r="BT50" s="7"/>
      <c r="BU50" s="2" t="s">
        <v>475</v>
      </c>
      <c r="BV50" s="2" t="s">
        <v>227</v>
      </c>
      <c r="BW50" s="2" t="s">
        <v>227</v>
      </c>
      <c r="BX50" s="2" t="s">
        <v>235</v>
      </c>
      <c r="BY50" s="2" t="s">
        <v>236</v>
      </c>
      <c r="BZ50" s="2" t="s">
        <v>224</v>
      </c>
      <c r="CA50" s="2" t="s">
        <v>237</v>
      </c>
      <c r="CB50" s="2" t="s">
        <v>456</v>
      </c>
      <c r="CC50" s="2" t="s">
        <v>239</v>
      </c>
      <c r="CD50" s="2" t="s">
        <v>227</v>
      </c>
      <c r="CE50" s="4">
        <v>362</v>
      </c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</row>
    <row r="51">
      <c r="A51" s="2" t="s">
        <v>476</v>
      </c>
      <c r="B51" s="2" t="s">
        <v>278</v>
      </c>
      <c r="C51" s="2" t="s">
        <v>360</v>
      </c>
      <c r="D51" s="2" t="s">
        <v>280</v>
      </c>
      <c r="E51" s="2" t="s">
        <v>281</v>
      </c>
      <c r="F51" s="2" t="s">
        <v>372</v>
      </c>
      <c r="G51" s="2" t="s">
        <v>372</v>
      </c>
      <c r="H51" s="2" t="s">
        <v>372</v>
      </c>
      <c r="I51" s="2" t="s">
        <v>373</v>
      </c>
      <c r="J51" s="2" t="s">
        <v>252</v>
      </c>
      <c r="K51" s="2" t="s">
        <v>264</v>
      </c>
      <c r="L51" s="3">
        <v>19</v>
      </c>
      <c r="M51" s="3">
        <v>19.95</v>
      </c>
      <c r="N51" s="3">
        <v>37.99</v>
      </c>
      <c r="O51" s="2" t="s">
        <v>224</v>
      </c>
      <c r="P51" s="2" t="s">
        <v>225</v>
      </c>
      <c r="Q51" s="2" t="s">
        <v>226</v>
      </c>
      <c r="R51" s="2" t="s">
        <v>227</v>
      </c>
      <c r="S51" s="2" t="s">
        <v>473</v>
      </c>
      <c r="T51" s="2" t="s">
        <v>375</v>
      </c>
      <c r="U51" s="2" t="s">
        <v>227</v>
      </c>
      <c r="V51" s="2" t="s">
        <v>230</v>
      </c>
      <c r="W51" s="2" t="s">
        <v>231</v>
      </c>
      <c r="X51" s="2" t="s">
        <v>227</v>
      </c>
      <c r="Y51" s="2" t="s">
        <v>232</v>
      </c>
      <c r="Z51" s="4">
        <v>335</v>
      </c>
      <c r="AA51" s="4">
        <f>=ROUNDDOWN(16.75,0)</f>
      </c>
      <c r="AB51" s="5">
        <v>20</v>
      </c>
      <c r="AC51" s="2" t="s">
        <v>397</v>
      </c>
      <c r="AD51" s="4">
        <v>132</v>
      </c>
      <c r="AE51" s="4">
        <v>382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227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227</v>
      </c>
      <c r="AW51" s="8" t="s">
        <v>227</v>
      </c>
      <c r="AX51" s="4" t="s">
        <v>227</v>
      </c>
      <c r="AY51" s="8" t="s">
        <v>227</v>
      </c>
      <c r="AZ51" s="7" t="s">
        <v>227</v>
      </c>
      <c r="BA51" s="7" t="s">
        <v>227</v>
      </c>
      <c r="BB51" s="7"/>
      <c r="BC51" s="4" t="s">
        <v>227</v>
      </c>
      <c r="BD51" s="8" t="s">
        <v>227</v>
      </c>
      <c r="BE51" s="4" t="s">
        <v>227</v>
      </c>
      <c r="BF51" s="8" t="s">
        <v>227</v>
      </c>
      <c r="BG51" s="7" t="s">
        <v>227</v>
      </c>
      <c r="BH51" s="7" t="s">
        <v>227</v>
      </c>
      <c r="BI51" s="7"/>
      <c r="BJ51" s="4">
        <v>86</v>
      </c>
      <c r="BK51" s="8">
        <v>1671.98</v>
      </c>
      <c r="BL51" s="2" t="s">
        <v>477</v>
      </c>
      <c r="BM51" s="7"/>
      <c r="BN51" s="7"/>
      <c r="BO51" s="4"/>
      <c r="BP51" s="8"/>
      <c r="BQ51" s="4"/>
      <c r="BR51" s="8"/>
      <c r="BS51" s="7"/>
      <c r="BT51" s="7"/>
      <c r="BU51" s="2" t="s">
        <v>478</v>
      </c>
      <c r="BV51" s="2" t="s">
        <v>227</v>
      </c>
      <c r="BW51" s="2" t="s">
        <v>227</v>
      </c>
      <c r="BX51" s="2" t="s">
        <v>235</v>
      </c>
      <c r="BY51" s="2" t="s">
        <v>236</v>
      </c>
      <c r="BZ51" s="2" t="s">
        <v>224</v>
      </c>
      <c r="CA51" s="2" t="s">
        <v>237</v>
      </c>
      <c r="CB51" s="2" t="s">
        <v>479</v>
      </c>
      <c r="CC51" s="2" t="s">
        <v>239</v>
      </c>
      <c r="CD51" s="2" t="s">
        <v>227</v>
      </c>
      <c r="CE51" s="4">
        <v>335</v>
      </c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>
        <v>132</v>
      </c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>
        <v>250</v>
      </c>
      <c r="GT51" s="4"/>
      <c r="GU51" s="4"/>
      <c r="GV51" s="4"/>
      <c r="GW51" s="4"/>
      <c r="GX51" s="4"/>
    </row>
    <row r="52">
      <c r="A52" s="2" t="s">
        <v>480</v>
      </c>
      <c r="B52" s="2" t="s">
        <v>278</v>
      </c>
      <c r="C52" s="2" t="s">
        <v>360</v>
      </c>
      <c r="D52" s="2" t="s">
        <v>280</v>
      </c>
      <c r="E52" s="2" t="s">
        <v>281</v>
      </c>
      <c r="F52" s="2" t="s">
        <v>372</v>
      </c>
      <c r="G52" s="2" t="s">
        <v>372</v>
      </c>
      <c r="H52" s="2" t="s">
        <v>372</v>
      </c>
      <c r="I52" s="2" t="s">
        <v>373</v>
      </c>
      <c r="J52" s="2" t="s">
        <v>384</v>
      </c>
      <c r="K52" s="2" t="s">
        <v>264</v>
      </c>
      <c r="L52" s="3">
        <v>21.5</v>
      </c>
      <c r="M52" s="3">
        <v>22.58</v>
      </c>
      <c r="N52" s="3">
        <v>42.99</v>
      </c>
      <c r="O52" s="2" t="s">
        <v>224</v>
      </c>
      <c r="P52" s="2" t="s">
        <v>225</v>
      </c>
      <c r="Q52" s="2" t="s">
        <v>226</v>
      </c>
      <c r="R52" s="2" t="s">
        <v>227</v>
      </c>
      <c r="S52" s="2" t="s">
        <v>473</v>
      </c>
      <c r="T52" s="2" t="s">
        <v>375</v>
      </c>
      <c r="U52" s="2" t="s">
        <v>227</v>
      </c>
      <c r="V52" s="2" t="s">
        <v>230</v>
      </c>
      <c r="W52" s="2" t="s">
        <v>231</v>
      </c>
      <c r="X52" s="2" t="s">
        <v>227</v>
      </c>
      <c r="Y52" s="2" t="s">
        <v>232</v>
      </c>
      <c r="Z52" s="4">
        <v>83</v>
      </c>
      <c r="AA52" s="4">
        <f>=ROUNDDOWN(69.1666666666667,0)</f>
      </c>
      <c r="AB52" s="5">
        <v>1.2</v>
      </c>
      <c r="AC52" s="2" t="s">
        <v>397</v>
      </c>
      <c r="AD52" s="4">
        <v>20</v>
      </c>
      <c r="AE52" s="4">
        <v>20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227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227</v>
      </c>
      <c r="AW52" s="8" t="s">
        <v>227</v>
      </c>
      <c r="AX52" s="4" t="s">
        <v>227</v>
      </c>
      <c r="AY52" s="8" t="s">
        <v>227</v>
      </c>
      <c r="AZ52" s="7" t="s">
        <v>227</v>
      </c>
      <c r="BA52" s="7" t="s">
        <v>227</v>
      </c>
      <c r="BB52" s="7"/>
      <c r="BC52" s="4" t="s">
        <v>227</v>
      </c>
      <c r="BD52" s="8" t="s">
        <v>227</v>
      </c>
      <c r="BE52" s="4" t="s">
        <v>227</v>
      </c>
      <c r="BF52" s="8" t="s">
        <v>227</v>
      </c>
      <c r="BG52" s="7" t="s">
        <v>227</v>
      </c>
      <c r="BH52" s="7" t="s">
        <v>227</v>
      </c>
      <c r="BI52" s="7"/>
      <c r="BJ52" s="4">
        <v>5</v>
      </c>
      <c r="BK52" s="8">
        <v>113.4</v>
      </c>
      <c r="BL52" s="2" t="s">
        <v>318</v>
      </c>
      <c r="BM52" s="7"/>
      <c r="BN52" s="7"/>
      <c r="BO52" s="4"/>
      <c r="BP52" s="8"/>
      <c r="BQ52" s="4"/>
      <c r="BR52" s="8"/>
      <c r="BS52" s="7"/>
      <c r="BT52" s="7"/>
      <c r="BU52" s="2" t="s">
        <v>481</v>
      </c>
      <c r="BV52" s="2" t="s">
        <v>227</v>
      </c>
      <c r="BW52" s="2" t="s">
        <v>227</v>
      </c>
      <c r="BX52" s="2" t="s">
        <v>235</v>
      </c>
      <c r="BY52" s="2" t="s">
        <v>236</v>
      </c>
      <c r="BZ52" s="2" t="s">
        <v>224</v>
      </c>
      <c r="CA52" s="2" t="s">
        <v>237</v>
      </c>
      <c r="CB52" s="2" t="s">
        <v>482</v>
      </c>
      <c r="CC52" s="2" t="s">
        <v>239</v>
      </c>
      <c r="CD52" s="2" t="s">
        <v>227</v>
      </c>
      <c r="CE52" s="4">
        <v>83</v>
      </c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>
        <v>20</v>
      </c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</row>
    <row r="53">
      <c r="A53" s="2" t="s">
        <v>483</v>
      </c>
      <c r="B53" s="2" t="s">
        <v>278</v>
      </c>
      <c r="C53" s="2" t="s">
        <v>360</v>
      </c>
      <c r="D53" s="2" t="s">
        <v>280</v>
      </c>
      <c r="E53" s="2" t="s">
        <v>281</v>
      </c>
      <c r="F53" s="2" t="s">
        <v>484</v>
      </c>
      <c r="G53" s="2" t="s">
        <v>484</v>
      </c>
      <c r="H53" s="2" t="s">
        <v>484</v>
      </c>
      <c r="I53" s="2" t="s">
        <v>362</v>
      </c>
      <c r="J53" s="2" t="s">
        <v>252</v>
      </c>
      <c r="K53" s="2" t="s">
        <v>223</v>
      </c>
      <c r="L53" s="3">
        <v>40.25</v>
      </c>
      <c r="M53" s="3">
        <v>42.26</v>
      </c>
      <c r="N53" s="3">
        <v>89.99</v>
      </c>
      <c r="O53" s="2" t="s">
        <v>224</v>
      </c>
      <c r="P53" s="2" t="s">
        <v>485</v>
      </c>
      <c r="Q53" s="2" t="s">
        <v>226</v>
      </c>
      <c r="R53" s="2" t="s">
        <v>227</v>
      </c>
      <c r="S53" s="2" t="s">
        <v>486</v>
      </c>
      <c r="T53" s="2" t="s">
        <v>286</v>
      </c>
      <c r="U53" s="2" t="s">
        <v>287</v>
      </c>
      <c r="V53" s="2" t="s">
        <v>230</v>
      </c>
      <c r="W53" s="2" t="s">
        <v>487</v>
      </c>
      <c r="X53" s="2" t="s">
        <v>231</v>
      </c>
      <c r="Y53" s="2" t="s">
        <v>365</v>
      </c>
      <c r="Z53" s="4"/>
      <c r="AA53" s="4">
        <f>=ROUNDDOWN({0},0)</f>
      </c>
      <c r="AB53" s="5">
        <v>33</v>
      </c>
      <c r="AC53" s="2" t="s">
        <v>488</v>
      </c>
      <c r="AD53" s="4">
        <v>200</v>
      </c>
      <c r="AE53" s="4">
        <v>970</v>
      </c>
      <c r="AF53" s="6">
        <v>73</v>
      </c>
      <c r="AG53" s="6"/>
      <c r="AH53" s="7">
        <v>0</v>
      </c>
      <c r="AI53" s="4"/>
      <c r="AJ53" s="4">
        <f>=ROUNDDOWN({0},0)</f>
      </c>
      <c r="AK53" s="5"/>
      <c r="AL53" s="2" t="s">
        <v>227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227</v>
      </c>
      <c r="AW53" s="8" t="s">
        <v>227</v>
      </c>
      <c r="AX53" s="4" t="s">
        <v>227</v>
      </c>
      <c r="AY53" s="8" t="s">
        <v>227</v>
      </c>
      <c r="AZ53" s="7" t="s">
        <v>227</v>
      </c>
      <c r="BA53" s="7" t="s">
        <v>227</v>
      </c>
      <c r="BB53" s="7"/>
      <c r="BC53" s="4" t="s">
        <v>227</v>
      </c>
      <c r="BD53" s="8" t="s">
        <v>227</v>
      </c>
      <c r="BE53" s="4" t="s">
        <v>227</v>
      </c>
      <c r="BF53" s="8" t="s">
        <v>227</v>
      </c>
      <c r="BG53" s="7" t="s">
        <v>227</v>
      </c>
      <c r="BH53" s="7" t="s">
        <v>227</v>
      </c>
      <c r="BI53" s="7"/>
      <c r="BJ53" s="4"/>
      <c r="BK53" s="8"/>
      <c r="BL53" s="2" t="s">
        <v>227</v>
      </c>
      <c r="BM53" s="7"/>
      <c r="BN53" s="7"/>
      <c r="BO53" s="4"/>
      <c r="BP53" s="8"/>
      <c r="BQ53" s="4"/>
      <c r="BR53" s="8"/>
      <c r="BS53" s="7"/>
      <c r="BT53" s="7"/>
      <c r="BU53" s="2" t="s">
        <v>489</v>
      </c>
      <c r="BV53" s="2" t="s">
        <v>227</v>
      </c>
      <c r="BW53" s="2" t="s">
        <v>227</v>
      </c>
      <c r="BX53" s="2" t="s">
        <v>235</v>
      </c>
      <c r="BY53" s="2" t="s">
        <v>236</v>
      </c>
      <c r="BZ53" s="2" t="s">
        <v>224</v>
      </c>
      <c r="CA53" s="2" t="s">
        <v>369</v>
      </c>
      <c r="CB53" s="2" t="s">
        <v>490</v>
      </c>
      <c r="CC53" s="2" t="s">
        <v>239</v>
      </c>
      <c r="CD53" s="2" t="s">
        <v>227</v>
      </c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>
        <v>200</v>
      </c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>
        <v>130</v>
      </c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>
        <v>210</v>
      </c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>
        <v>150</v>
      </c>
      <c r="FX53" s="4"/>
      <c r="FY53" s="4"/>
      <c r="FZ53" s="4"/>
      <c r="GA53" s="4"/>
      <c r="GB53" s="4">
        <v>280</v>
      </c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</row>
    <row r="54">
      <c r="A54" s="2" t="s">
        <v>491</v>
      </c>
      <c r="B54" s="2" t="s">
        <v>278</v>
      </c>
      <c r="C54" s="2" t="s">
        <v>360</v>
      </c>
      <c r="D54" s="2" t="s">
        <v>280</v>
      </c>
      <c r="E54" s="2" t="s">
        <v>281</v>
      </c>
      <c r="F54" s="2" t="s">
        <v>484</v>
      </c>
      <c r="G54" s="2" t="s">
        <v>484</v>
      </c>
      <c r="H54" s="2" t="s">
        <v>484</v>
      </c>
      <c r="I54" s="2" t="s">
        <v>362</v>
      </c>
      <c r="J54" s="2" t="s">
        <v>257</v>
      </c>
      <c r="K54" s="2" t="s">
        <v>223</v>
      </c>
      <c r="L54" s="3">
        <v>45.5</v>
      </c>
      <c r="M54" s="3">
        <v>47.78</v>
      </c>
      <c r="N54" s="3">
        <v>99.99</v>
      </c>
      <c r="O54" s="2" t="s">
        <v>224</v>
      </c>
      <c r="P54" s="2" t="s">
        <v>225</v>
      </c>
      <c r="Q54" s="2" t="s">
        <v>226</v>
      </c>
      <c r="R54" s="2" t="s">
        <v>227</v>
      </c>
      <c r="S54" s="2" t="s">
        <v>486</v>
      </c>
      <c r="T54" s="2" t="s">
        <v>286</v>
      </c>
      <c r="U54" s="2" t="s">
        <v>287</v>
      </c>
      <c r="V54" s="2" t="s">
        <v>230</v>
      </c>
      <c r="W54" s="2" t="s">
        <v>487</v>
      </c>
      <c r="X54" s="2" t="s">
        <v>231</v>
      </c>
      <c r="Y54" s="2" t="s">
        <v>365</v>
      </c>
      <c r="Z54" s="4">
        <v>1</v>
      </c>
      <c r="AA54" s="4">
        <f>=ROUNDDOWN(0.0588235294117647,0)</f>
      </c>
      <c r="AB54" s="5">
        <v>17</v>
      </c>
      <c r="AC54" s="2" t="s">
        <v>488</v>
      </c>
      <c r="AD54" s="4">
        <v>140</v>
      </c>
      <c r="AE54" s="4">
        <v>440</v>
      </c>
      <c r="AF54" s="6">
        <v>73</v>
      </c>
      <c r="AG54" s="6"/>
      <c r="AH54" s="7">
        <v>0</v>
      </c>
      <c r="AI54" s="4"/>
      <c r="AJ54" s="4">
        <f>=ROUNDDOWN({0},0)</f>
      </c>
      <c r="AK54" s="5"/>
      <c r="AL54" s="2" t="s">
        <v>227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227</v>
      </c>
      <c r="AW54" s="8" t="s">
        <v>227</v>
      </c>
      <c r="AX54" s="4" t="s">
        <v>227</v>
      </c>
      <c r="AY54" s="8" t="s">
        <v>227</v>
      </c>
      <c r="AZ54" s="7" t="s">
        <v>227</v>
      </c>
      <c r="BA54" s="7" t="s">
        <v>227</v>
      </c>
      <c r="BB54" s="7"/>
      <c r="BC54" s="4" t="s">
        <v>227</v>
      </c>
      <c r="BD54" s="8" t="s">
        <v>227</v>
      </c>
      <c r="BE54" s="4" t="s">
        <v>227</v>
      </c>
      <c r="BF54" s="8" t="s">
        <v>227</v>
      </c>
      <c r="BG54" s="7" t="s">
        <v>227</v>
      </c>
      <c r="BH54" s="7" t="s">
        <v>227</v>
      </c>
      <c r="BI54" s="7"/>
      <c r="BJ54" s="4">
        <v>3</v>
      </c>
      <c r="BK54" s="8">
        <v>157.91</v>
      </c>
      <c r="BL54" s="2" t="s">
        <v>492</v>
      </c>
      <c r="BM54" s="7"/>
      <c r="BN54" s="7"/>
      <c r="BO54" s="4"/>
      <c r="BP54" s="8"/>
      <c r="BQ54" s="4"/>
      <c r="BR54" s="8"/>
      <c r="BS54" s="7"/>
      <c r="BT54" s="7"/>
      <c r="BU54" s="2" t="s">
        <v>493</v>
      </c>
      <c r="BV54" s="2" t="s">
        <v>227</v>
      </c>
      <c r="BW54" s="2" t="s">
        <v>227</v>
      </c>
      <c r="BX54" s="2" t="s">
        <v>235</v>
      </c>
      <c r="BY54" s="2" t="s">
        <v>236</v>
      </c>
      <c r="BZ54" s="2" t="s">
        <v>224</v>
      </c>
      <c r="CA54" s="2" t="s">
        <v>369</v>
      </c>
      <c r="CB54" s="2" t="s">
        <v>494</v>
      </c>
      <c r="CC54" s="2" t="s">
        <v>239</v>
      </c>
      <c r="CD54" s="2" t="s">
        <v>227</v>
      </c>
      <c r="CE54" s="4">
        <v>1</v>
      </c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>
        <v>140</v>
      </c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>
        <v>60</v>
      </c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>
        <v>80</v>
      </c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>
        <v>60</v>
      </c>
      <c r="FX54" s="4"/>
      <c r="FY54" s="4"/>
      <c r="FZ54" s="4"/>
      <c r="GA54" s="4"/>
      <c r="GB54" s="4">
        <v>100</v>
      </c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</row>
    <row r="55">
      <c r="A55" s="2" t="s">
        <v>495</v>
      </c>
      <c r="B55" s="2" t="s">
        <v>278</v>
      </c>
      <c r="C55" s="2" t="s">
        <v>360</v>
      </c>
      <c r="D55" s="2" t="s">
        <v>280</v>
      </c>
      <c r="E55" s="2" t="s">
        <v>281</v>
      </c>
      <c r="F55" s="2" t="s">
        <v>484</v>
      </c>
      <c r="G55" s="2" t="s">
        <v>484</v>
      </c>
      <c r="H55" s="2" t="s">
        <v>484</v>
      </c>
      <c r="I55" s="2" t="s">
        <v>362</v>
      </c>
      <c r="J55" s="2" t="s">
        <v>252</v>
      </c>
      <c r="K55" s="2" t="s">
        <v>496</v>
      </c>
      <c r="L55" s="3">
        <v>40.25</v>
      </c>
      <c r="M55" s="3">
        <v>42.26</v>
      </c>
      <c r="N55" s="3">
        <v>89.99</v>
      </c>
      <c r="O55" s="2" t="s">
        <v>224</v>
      </c>
      <c r="P55" s="2" t="s">
        <v>485</v>
      </c>
      <c r="Q55" s="2" t="s">
        <v>226</v>
      </c>
      <c r="R55" s="2" t="s">
        <v>227</v>
      </c>
      <c r="S55" s="2" t="s">
        <v>497</v>
      </c>
      <c r="T55" s="2" t="s">
        <v>286</v>
      </c>
      <c r="U55" s="2" t="s">
        <v>287</v>
      </c>
      <c r="V55" s="2" t="s">
        <v>230</v>
      </c>
      <c r="W55" s="2" t="s">
        <v>487</v>
      </c>
      <c r="X55" s="2" t="s">
        <v>231</v>
      </c>
      <c r="Y55" s="2" t="s">
        <v>365</v>
      </c>
      <c r="Z55" s="4">
        <v>1</v>
      </c>
      <c r="AA55" s="4">
        <f>=ROUNDDOWN(0.037037037037037,0)</f>
      </c>
      <c r="AB55" s="5">
        <v>27</v>
      </c>
      <c r="AC55" s="2" t="s">
        <v>488</v>
      </c>
      <c r="AD55" s="4">
        <v>180</v>
      </c>
      <c r="AE55" s="4">
        <v>840</v>
      </c>
      <c r="AF55" s="6">
        <v>73</v>
      </c>
      <c r="AG55" s="6"/>
      <c r="AH55" s="7">
        <v>0</v>
      </c>
      <c r="AI55" s="4"/>
      <c r="AJ55" s="4">
        <f>=ROUNDDOWN({0},0)</f>
      </c>
      <c r="AK55" s="5"/>
      <c r="AL55" s="2" t="s">
        <v>227</v>
      </c>
      <c r="AM55" s="4"/>
      <c r="AN55" s="4"/>
      <c r="AO55" s="7"/>
      <c r="AP55" s="4"/>
      <c r="AQ55" s="8"/>
      <c r="AR55" s="4"/>
      <c r="AS55" s="8"/>
      <c r="AT55" s="7"/>
      <c r="AU55" s="7"/>
      <c r="AV55" s="4"/>
      <c r="AW55" s="8"/>
      <c r="AX55" s="4"/>
      <c r="AY55" s="8"/>
      <c r="AZ55" s="7"/>
      <c r="BA55" s="7"/>
      <c r="BB55" s="7"/>
      <c r="BC55" s="4" t="s">
        <v>227</v>
      </c>
      <c r="BD55" s="8" t="s">
        <v>227</v>
      </c>
      <c r="BE55" s="4" t="s">
        <v>227</v>
      </c>
      <c r="BF55" s="8" t="s">
        <v>227</v>
      </c>
      <c r="BG55" s="7" t="s">
        <v>227</v>
      </c>
      <c r="BH55" s="7" t="s">
        <v>227</v>
      </c>
      <c r="BI55" s="7"/>
      <c r="BJ55" s="4">
        <v>6</v>
      </c>
      <c r="BK55" s="8">
        <v>277.74</v>
      </c>
      <c r="BL55" s="2" t="s">
        <v>498</v>
      </c>
      <c r="BM55" s="7"/>
      <c r="BN55" s="7"/>
      <c r="BO55" s="4"/>
      <c r="BP55" s="8"/>
      <c r="BQ55" s="4"/>
      <c r="BR55" s="8"/>
      <c r="BS55" s="7"/>
      <c r="BT55" s="7"/>
      <c r="BU55" s="2" t="s">
        <v>499</v>
      </c>
      <c r="BV55" s="2" t="s">
        <v>227</v>
      </c>
      <c r="BW55" s="2" t="s">
        <v>227</v>
      </c>
      <c r="BX55" s="2" t="s">
        <v>235</v>
      </c>
      <c r="BY55" s="2" t="s">
        <v>236</v>
      </c>
      <c r="BZ55" s="2" t="s">
        <v>224</v>
      </c>
      <c r="CA55" s="2" t="s">
        <v>369</v>
      </c>
      <c r="CB55" s="2" t="s">
        <v>500</v>
      </c>
      <c r="CC55" s="2" t="s">
        <v>239</v>
      </c>
      <c r="CD55" s="2" t="s">
        <v>227</v>
      </c>
      <c r="CE55" s="4">
        <v>1</v>
      </c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>
        <v>180</v>
      </c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>
        <v>170</v>
      </c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>
        <v>200</v>
      </c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>
        <v>170</v>
      </c>
      <c r="FX55" s="4"/>
      <c r="FY55" s="4"/>
      <c r="FZ55" s="4"/>
      <c r="GA55" s="4"/>
      <c r="GB55" s="4">
        <v>120</v>
      </c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</row>
    <row r="56">
      <c r="A56" s="2" t="s">
        <v>501</v>
      </c>
      <c r="B56" s="2" t="s">
        <v>278</v>
      </c>
      <c r="C56" s="2" t="s">
        <v>360</v>
      </c>
      <c r="D56" s="2" t="s">
        <v>280</v>
      </c>
      <c r="E56" s="2" t="s">
        <v>281</v>
      </c>
      <c r="F56" s="2" t="s">
        <v>502</v>
      </c>
      <c r="G56" s="2" t="s">
        <v>502</v>
      </c>
      <c r="H56" s="2" t="s">
        <v>502</v>
      </c>
      <c r="I56" s="2" t="s">
        <v>503</v>
      </c>
      <c r="J56" s="2" t="s">
        <v>384</v>
      </c>
      <c r="K56" s="2" t="s">
        <v>504</v>
      </c>
      <c r="L56" s="3">
        <v>63</v>
      </c>
      <c r="M56" s="3">
        <v>66.15</v>
      </c>
      <c r="N56" s="3">
        <v>124.99</v>
      </c>
      <c r="O56" s="2" t="s">
        <v>224</v>
      </c>
      <c r="P56" s="2" t="s">
        <v>225</v>
      </c>
      <c r="Q56" s="2" t="s">
        <v>226</v>
      </c>
      <c r="R56" s="2" t="s">
        <v>227</v>
      </c>
      <c r="S56" s="2" t="s">
        <v>505</v>
      </c>
      <c r="T56" s="2" t="s">
        <v>286</v>
      </c>
      <c r="U56" s="2" t="s">
        <v>287</v>
      </c>
      <c r="V56" s="2" t="s">
        <v>230</v>
      </c>
      <c r="W56" s="2" t="s">
        <v>231</v>
      </c>
      <c r="X56" s="2" t="s">
        <v>506</v>
      </c>
      <c r="Y56" s="2" t="s">
        <v>507</v>
      </c>
      <c r="Z56" s="4">
        <v>23</v>
      </c>
      <c r="AA56" s="4">
        <f>=ROUNDDOWN(23,0)</f>
      </c>
      <c r="AB56" s="5">
        <v>1</v>
      </c>
      <c r="AC56" s="2" t="s">
        <v>508</v>
      </c>
      <c r="AD56" s="4">
        <v>16</v>
      </c>
      <c r="AE56" s="4">
        <v>16</v>
      </c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227</v>
      </c>
      <c r="AM56" s="4"/>
      <c r="AN56" s="4"/>
      <c r="AO56" s="7"/>
      <c r="AP56" s="4"/>
      <c r="AQ56" s="8"/>
      <c r="AR56" s="4"/>
      <c r="AS56" s="8"/>
      <c r="AT56" s="7"/>
      <c r="AU56" s="7"/>
      <c r="AV56" s="4"/>
      <c r="AW56" s="8"/>
      <c r="AX56" s="4"/>
      <c r="AY56" s="8"/>
      <c r="AZ56" s="7"/>
      <c r="BA56" s="7"/>
      <c r="BB56" s="7"/>
      <c r="BC56" s="4"/>
      <c r="BD56" s="8"/>
      <c r="BE56" s="4"/>
      <c r="BF56" s="8"/>
      <c r="BG56" s="7"/>
      <c r="BH56" s="7"/>
      <c r="BI56" s="7"/>
      <c r="BJ56" s="4">
        <v>3</v>
      </c>
      <c r="BK56" s="8">
        <v>266.91</v>
      </c>
      <c r="BL56" s="2" t="s">
        <v>509</v>
      </c>
      <c r="BM56" s="7"/>
      <c r="BN56" s="7"/>
      <c r="BO56" s="4"/>
      <c r="BP56" s="8"/>
      <c r="BQ56" s="4"/>
      <c r="BR56" s="8"/>
      <c r="BS56" s="7"/>
      <c r="BT56" s="7"/>
      <c r="BU56" s="2" t="s">
        <v>510</v>
      </c>
      <c r="BV56" s="2" t="s">
        <v>227</v>
      </c>
      <c r="BW56" s="2" t="s">
        <v>227</v>
      </c>
      <c r="BX56" s="2" t="s">
        <v>235</v>
      </c>
      <c r="BY56" s="2" t="s">
        <v>236</v>
      </c>
      <c r="BZ56" s="2" t="s">
        <v>224</v>
      </c>
      <c r="CA56" s="2" t="s">
        <v>511</v>
      </c>
      <c r="CB56" s="2" t="s">
        <v>512</v>
      </c>
      <c r="CC56" s="2" t="s">
        <v>239</v>
      </c>
      <c r="CD56" s="2" t="s">
        <v>227</v>
      </c>
      <c r="CE56" s="4">
        <v>23</v>
      </c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>
        <v>16</v>
      </c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</row>
    <row r="57">
      <c r="A57" s="2" t="s">
        <v>513</v>
      </c>
      <c r="B57" s="2" t="s">
        <v>514</v>
      </c>
      <c r="C57" s="2" t="s">
        <v>515</v>
      </c>
      <c r="D57" s="2" t="s">
        <v>516</v>
      </c>
      <c r="E57" s="2" t="s">
        <v>517</v>
      </c>
      <c r="F57" s="2" t="s">
        <v>518</v>
      </c>
      <c r="G57" s="2" t="s">
        <v>518</v>
      </c>
      <c r="H57" s="2" t="s">
        <v>518</v>
      </c>
      <c r="I57" s="2" t="s">
        <v>519</v>
      </c>
      <c r="J57" s="2" t="s">
        <v>520</v>
      </c>
      <c r="K57" s="2" t="s">
        <v>521</v>
      </c>
      <c r="L57" s="3">
        <v>32.9</v>
      </c>
      <c r="M57" s="3">
        <v>34.55</v>
      </c>
      <c r="N57" s="3">
        <v>69.99</v>
      </c>
      <c r="O57" s="2" t="s">
        <v>224</v>
      </c>
      <c r="P57" s="2" t="s">
        <v>485</v>
      </c>
      <c r="Q57" s="2" t="s">
        <v>226</v>
      </c>
      <c r="R57" s="2" t="s">
        <v>227</v>
      </c>
      <c r="S57" s="2" t="s">
        <v>522</v>
      </c>
      <c r="T57" s="2" t="s">
        <v>227</v>
      </c>
      <c r="U57" s="2" t="s">
        <v>523</v>
      </c>
      <c r="V57" s="2" t="s">
        <v>230</v>
      </c>
      <c r="W57" s="2" t="s">
        <v>524</v>
      </c>
      <c r="X57" s="2" t="s">
        <v>227</v>
      </c>
      <c r="Y57" s="2" t="s">
        <v>232</v>
      </c>
      <c r="Z57" s="4">
        <v>428</v>
      </c>
      <c r="AA57" s="4">
        <f>=ROUNDDOWN(13.8064516129032,0)</f>
      </c>
      <c r="AB57" s="5">
        <v>31</v>
      </c>
      <c r="AC57" s="2" t="s">
        <v>160</v>
      </c>
      <c r="AD57" s="4">
        <v>270</v>
      </c>
      <c r="AE57" s="4">
        <v>1220</v>
      </c>
      <c r="AF57" s="6">
        <v>69</v>
      </c>
      <c r="AG57" s="6"/>
      <c r="AH57" s="7">
        <v>1</v>
      </c>
      <c r="AI57" s="4"/>
      <c r="AJ57" s="4">
        <f>=ROUNDDOWN({0},0)</f>
      </c>
      <c r="AK57" s="5"/>
      <c r="AL57" s="2" t="s">
        <v>227</v>
      </c>
      <c r="AM57" s="4"/>
      <c r="AN57" s="4"/>
      <c r="AO57" s="7"/>
      <c r="AP57" s="4"/>
      <c r="AQ57" s="8"/>
      <c r="AR57" s="4"/>
      <c r="AS57" s="8"/>
      <c r="AT57" s="7"/>
      <c r="AU57" s="7"/>
      <c r="AV57" s="4"/>
      <c r="AW57" s="8"/>
      <c r="AX57" s="4"/>
      <c r="AY57" s="8"/>
      <c r="AZ57" s="7"/>
      <c r="BA57" s="7"/>
      <c r="BB57" s="7"/>
      <c r="BC57" s="4" t="s">
        <v>227</v>
      </c>
      <c r="BD57" s="8" t="s">
        <v>227</v>
      </c>
      <c r="BE57" s="4" t="s">
        <v>227</v>
      </c>
      <c r="BF57" s="8" t="s">
        <v>227</v>
      </c>
      <c r="BG57" s="7" t="s">
        <v>227</v>
      </c>
      <c r="BH57" s="7" t="s">
        <v>227</v>
      </c>
      <c r="BI57" s="7"/>
      <c r="BJ57" s="4">
        <v>109</v>
      </c>
      <c r="BK57" s="8">
        <v>3748.47</v>
      </c>
      <c r="BL57" s="2" t="s">
        <v>525</v>
      </c>
      <c r="BM57" s="7"/>
      <c r="BN57" s="7"/>
      <c r="BO57" s="4"/>
      <c r="BP57" s="8"/>
      <c r="BQ57" s="4"/>
      <c r="BR57" s="8"/>
      <c r="BS57" s="7"/>
      <c r="BT57" s="7"/>
      <c r="BU57" s="2" t="s">
        <v>526</v>
      </c>
      <c r="BV57" s="2" t="s">
        <v>227</v>
      </c>
      <c r="BW57" s="2" t="s">
        <v>227</v>
      </c>
      <c r="BX57" s="2" t="s">
        <v>235</v>
      </c>
      <c r="BY57" s="2" t="s">
        <v>236</v>
      </c>
      <c r="BZ57" s="2" t="s">
        <v>224</v>
      </c>
      <c r="CA57" s="2" t="s">
        <v>527</v>
      </c>
      <c r="CB57" s="2" t="s">
        <v>528</v>
      </c>
      <c r="CC57" s="2" t="s">
        <v>239</v>
      </c>
      <c r="CD57" s="2" t="s">
        <v>227</v>
      </c>
      <c r="CE57" s="4">
        <v>323</v>
      </c>
      <c r="CF57" s="4"/>
      <c r="CG57" s="4"/>
      <c r="CH57" s="4">
        <v>105</v>
      </c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>
        <v>270</v>
      </c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>
        <v>410</v>
      </c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>
        <v>540</v>
      </c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</row>
    <row r="58">
      <c r="A58" s="2" t="s">
        <v>529</v>
      </c>
      <c r="B58" s="2" t="s">
        <v>514</v>
      </c>
      <c r="C58" s="2" t="s">
        <v>515</v>
      </c>
      <c r="D58" s="2" t="s">
        <v>516</v>
      </c>
      <c r="E58" s="2" t="s">
        <v>517</v>
      </c>
      <c r="F58" s="2" t="s">
        <v>518</v>
      </c>
      <c r="G58" s="2" t="s">
        <v>518</v>
      </c>
      <c r="H58" s="2" t="s">
        <v>518</v>
      </c>
      <c r="I58" s="2" t="s">
        <v>519</v>
      </c>
      <c r="J58" s="2" t="s">
        <v>520</v>
      </c>
      <c r="K58" s="2" t="s">
        <v>448</v>
      </c>
      <c r="L58" s="3">
        <v>32.9</v>
      </c>
      <c r="M58" s="3">
        <v>34.55</v>
      </c>
      <c r="N58" s="3">
        <v>69.99</v>
      </c>
      <c r="O58" s="2" t="s">
        <v>224</v>
      </c>
      <c r="P58" s="2" t="s">
        <v>530</v>
      </c>
      <c r="Q58" s="2" t="s">
        <v>226</v>
      </c>
      <c r="R58" s="2" t="s">
        <v>227</v>
      </c>
      <c r="S58" s="2" t="s">
        <v>531</v>
      </c>
      <c r="T58" s="2" t="s">
        <v>227</v>
      </c>
      <c r="U58" s="2" t="s">
        <v>523</v>
      </c>
      <c r="V58" s="2" t="s">
        <v>230</v>
      </c>
      <c r="W58" s="2" t="s">
        <v>524</v>
      </c>
      <c r="X58" s="2" t="s">
        <v>227</v>
      </c>
      <c r="Y58" s="2" t="s">
        <v>232</v>
      </c>
      <c r="Z58" s="4">
        <v>805</v>
      </c>
      <c r="AA58" s="4">
        <f>=ROUNDDOWN(14.6363636363636,0)</f>
      </c>
      <c r="AB58" s="5">
        <v>55</v>
      </c>
      <c r="AC58" s="2" t="s">
        <v>160</v>
      </c>
      <c r="AD58" s="4">
        <v>410</v>
      </c>
      <c r="AE58" s="4">
        <v>2180</v>
      </c>
      <c r="AF58" s="6">
        <v>69</v>
      </c>
      <c r="AG58" s="6"/>
      <c r="AH58" s="7">
        <v>1</v>
      </c>
      <c r="AI58" s="4"/>
      <c r="AJ58" s="4">
        <f>=ROUNDDOWN({0},0)</f>
      </c>
      <c r="AK58" s="5"/>
      <c r="AL58" s="2" t="s">
        <v>227</v>
      </c>
      <c r="AM58" s="4"/>
      <c r="AN58" s="4"/>
      <c r="AO58" s="7"/>
      <c r="AP58" s="4"/>
      <c r="AQ58" s="8"/>
      <c r="AR58" s="4"/>
      <c r="AS58" s="8"/>
      <c r="AT58" s="7"/>
      <c r="AU58" s="7"/>
      <c r="AV58" s="4"/>
      <c r="AW58" s="8"/>
      <c r="AX58" s="4"/>
      <c r="AY58" s="8"/>
      <c r="AZ58" s="7"/>
      <c r="BA58" s="7"/>
      <c r="BB58" s="7"/>
      <c r="BC58" s="4" t="s">
        <v>227</v>
      </c>
      <c r="BD58" s="8" t="s">
        <v>227</v>
      </c>
      <c r="BE58" s="4" t="s">
        <v>227</v>
      </c>
      <c r="BF58" s="8" t="s">
        <v>227</v>
      </c>
      <c r="BG58" s="7" t="s">
        <v>227</v>
      </c>
      <c r="BH58" s="7" t="s">
        <v>227</v>
      </c>
      <c r="BI58" s="7"/>
      <c r="BJ58" s="4">
        <v>205</v>
      </c>
      <c r="BK58" s="8">
        <v>7152.4</v>
      </c>
      <c r="BL58" s="2" t="s">
        <v>532</v>
      </c>
      <c r="BM58" s="7"/>
      <c r="BN58" s="7"/>
      <c r="BO58" s="4"/>
      <c r="BP58" s="8"/>
      <c r="BQ58" s="4"/>
      <c r="BR58" s="8"/>
      <c r="BS58" s="7"/>
      <c r="BT58" s="7"/>
      <c r="BU58" s="2" t="s">
        <v>533</v>
      </c>
      <c r="BV58" s="2" t="s">
        <v>227</v>
      </c>
      <c r="BW58" s="2" t="s">
        <v>227</v>
      </c>
      <c r="BX58" s="2" t="s">
        <v>235</v>
      </c>
      <c r="BY58" s="2" t="s">
        <v>236</v>
      </c>
      <c r="BZ58" s="2" t="s">
        <v>224</v>
      </c>
      <c r="CA58" s="2" t="s">
        <v>527</v>
      </c>
      <c r="CB58" s="2" t="s">
        <v>534</v>
      </c>
      <c r="CC58" s="2" t="s">
        <v>239</v>
      </c>
      <c r="CD58" s="2" t="s">
        <v>227</v>
      </c>
      <c r="CE58" s="4">
        <v>708</v>
      </c>
      <c r="CF58" s="4"/>
      <c r="CG58" s="4"/>
      <c r="CH58" s="4">
        <v>97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>
        <v>410</v>
      </c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>
        <v>680</v>
      </c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>
        <v>1090</v>
      </c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</row>
    <row r="59">
      <c r="A59" s="2" t="s">
        <v>535</v>
      </c>
      <c r="B59" s="2" t="s">
        <v>514</v>
      </c>
      <c r="C59" s="2" t="s">
        <v>515</v>
      </c>
      <c r="D59" s="2" t="s">
        <v>516</v>
      </c>
      <c r="E59" s="2" t="s">
        <v>517</v>
      </c>
      <c r="F59" s="2" t="s">
        <v>518</v>
      </c>
      <c r="G59" s="2" t="s">
        <v>518</v>
      </c>
      <c r="H59" s="2" t="s">
        <v>518</v>
      </c>
      <c r="I59" s="2" t="s">
        <v>519</v>
      </c>
      <c r="J59" s="2" t="s">
        <v>520</v>
      </c>
      <c r="K59" s="2" t="s">
        <v>536</v>
      </c>
      <c r="L59" s="3">
        <v>32.9</v>
      </c>
      <c r="M59" s="3">
        <v>34.55</v>
      </c>
      <c r="N59" s="3">
        <v>69.99</v>
      </c>
      <c r="O59" s="2" t="s">
        <v>224</v>
      </c>
      <c r="P59" s="2" t="s">
        <v>530</v>
      </c>
      <c r="Q59" s="2" t="s">
        <v>226</v>
      </c>
      <c r="R59" s="2" t="s">
        <v>227</v>
      </c>
      <c r="S59" s="2" t="s">
        <v>537</v>
      </c>
      <c r="T59" s="2" t="s">
        <v>227</v>
      </c>
      <c r="U59" s="2" t="s">
        <v>523</v>
      </c>
      <c r="V59" s="2" t="s">
        <v>230</v>
      </c>
      <c r="W59" s="2" t="s">
        <v>524</v>
      </c>
      <c r="X59" s="2" t="s">
        <v>227</v>
      </c>
      <c r="Y59" s="2" t="s">
        <v>232</v>
      </c>
      <c r="Z59" s="4">
        <v>1271</v>
      </c>
      <c r="AA59" s="4">
        <f>=ROUNDDOWN(26.4791666666667,0)</f>
      </c>
      <c r="AB59" s="5">
        <v>48</v>
      </c>
      <c r="AC59" s="2" t="s">
        <v>154</v>
      </c>
      <c r="AD59" s="4">
        <v>540</v>
      </c>
      <c r="AE59" s="4">
        <v>1080</v>
      </c>
      <c r="AF59" s="6">
        <v>69</v>
      </c>
      <c r="AG59" s="6"/>
      <c r="AH59" s="7">
        <v>1</v>
      </c>
      <c r="AI59" s="4"/>
      <c r="AJ59" s="4">
        <f>=ROUNDDOWN({0},0)</f>
      </c>
      <c r="AK59" s="5"/>
      <c r="AL59" s="2" t="s">
        <v>227</v>
      </c>
      <c r="AM59" s="4"/>
      <c r="AN59" s="4"/>
      <c r="AO59" s="7"/>
      <c r="AP59" s="4"/>
      <c r="AQ59" s="8"/>
      <c r="AR59" s="4"/>
      <c r="AS59" s="8"/>
      <c r="AT59" s="7"/>
      <c r="AU59" s="7"/>
      <c r="AV59" s="4"/>
      <c r="AW59" s="8"/>
      <c r="AX59" s="4"/>
      <c r="AY59" s="8"/>
      <c r="AZ59" s="7"/>
      <c r="BA59" s="7"/>
      <c r="BB59" s="7"/>
      <c r="BC59" s="4" t="s">
        <v>227</v>
      </c>
      <c r="BD59" s="8" t="s">
        <v>227</v>
      </c>
      <c r="BE59" s="4" t="s">
        <v>227</v>
      </c>
      <c r="BF59" s="8" t="s">
        <v>227</v>
      </c>
      <c r="BG59" s="7" t="s">
        <v>227</v>
      </c>
      <c r="BH59" s="7" t="s">
        <v>227</v>
      </c>
      <c r="BI59" s="7"/>
      <c r="BJ59" s="4">
        <v>163</v>
      </c>
      <c r="BK59" s="8">
        <v>5695.7</v>
      </c>
      <c r="BL59" s="2" t="s">
        <v>538</v>
      </c>
      <c r="BM59" s="7"/>
      <c r="BN59" s="7"/>
      <c r="BO59" s="4"/>
      <c r="BP59" s="8"/>
      <c r="BQ59" s="4"/>
      <c r="BR59" s="8"/>
      <c r="BS59" s="7"/>
      <c r="BT59" s="7"/>
      <c r="BU59" s="2" t="s">
        <v>539</v>
      </c>
      <c r="BV59" s="2" t="s">
        <v>227</v>
      </c>
      <c r="BW59" s="2" t="s">
        <v>227</v>
      </c>
      <c r="BX59" s="2" t="s">
        <v>235</v>
      </c>
      <c r="BY59" s="2" t="s">
        <v>236</v>
      </c>
      <c r="BZ59" s="2" t="s">
        <v>224</v>
      </c>
      <c r="CA59" s="2" t="s">
        <v>527</v>
      </c>
      <c r="CB59" s="2" t="s">
        <v>540</v>
      </c>
      <c r="CC59" s="2" t="s">
        <v>239</v>
      </c>
      <c r="CD59" s="2" t="s">
        <v>227</v>
      </c>
      <c r="CE59" s="4">
        <v>1128</v>
      </c>
      <c r="CF59" s="4"/>
      <c r="CG59" s="4"/>
      <c r="CH59" s="4">
        <v>143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>
        <v>540</v>
      </c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>
        <v>270</v>
      </c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>
        <v>270</v>
      </c>
      <c r="GX59" s="4"/>
    </row>
    <row r="60">
      <c r="A60" s="2" t="s">
        <v>541</v>
      </c>
      <c r="B60" s="2" t="s">
        <v>542</v>
      </c>
      <c r="C60" s="2" t="s">
        <v>543</v>
      </c>
      <c r="D60" s="2" t="s">
        <v>544</v>
      </c>
      <c r="E60" s="2" t="s">
        <v>545</v>
      </c>
      <c r="F60" s="2" t="s">
        <v>546</v>
      </c>
      <c r="G60" s="2" t="s">
        <v>546</v>
      </c>
      <c r="H60" s="2" t="s">
        <v>546</v>
      </c>
      <c r="I60" s="2" t="s">
        <v>547</v>
      </c>
      <c r="J60" s="2" t="s">
        <v>548</v>
      </c>
      <c r="K60" s="2" t="s">
        <v>549</v>
      </c>
      <c r="L60" s="3">
        <v>15.17</v>
      </c>
      <c r="M60" s="3">
        <v>15.93</v>
      </c>
      <c r="N60" s="3">
        <v>38.24</v>
      </c>
      <c r="O60" s="2" t="s">
        <v>224</v>
      </c>
      <c r="P60" s="2" t="s">
        <v>550</v>
      </c>
      <c r="Q60" s="2" t="s">
        <v>226</v>
      </c>
      <c r="R60" s="2" t="s">
        <v>227</v>
      </c>
      <c r="S60" s="2" t="s">
        <v>551</v>
      </c>
      <c r="T60" s="2" t="s">
        <v>227</v>
      </c>
      <c r="U60" s="2" t="s">
        <v>552</v>
      </c>
      <c r="V60" s="2" t="s">
        <v>553</v>
      </c>
      <c r="W60" s="2" t="s">
        <v>506</v>
      </c>
      <c r="X60" s="2" t="s">
        <v>554</v>
      </c>
      <c r="Y60" s="2" t="s">
        <v>555</v>
      </c>
      <c r="Z60" s="4">
        <v>309</v>
      </c>
      <c r="AA60" s="4">
        <f>=ROUNDDOWN(22.0714285714286,0)</f>
      </c>
      <c r="AB60" s="5">
        <v>14</v>
      </c>
      <c r="AC60" s="2" t="s">
        <v>227</v>
      </c>
      <c r="AD60" s="4"/>
      <c r="AE60" s="4"/>
      <c r="AF60" s="6">
        <v>63</v>
      </c>
      <c r="AG60" s="6"/>
      <c r="AH60" s="7">
        <v>1</v>
      </c>
      <c r="AI60" s="4"/>
      <c r="AJ60" s="4">
        <f>=ROUNDDOWN({0},0)</f>
      </c>
      <c r="AK60" s="5"/>
      <c r="AL60" s="2" t="s">
        <v>227</v>
      </c>
      <c r="AM60" s="4"/>
      <c r="AN60" s="4"/>
      <c r="AO60" s="7"/>
      <c r="AP60" s="4"/>
      <c r="AQ60" s="8"/>
      <c r="AR60" s="4"/>
      <c r="AS60" s="8"/>
      <c r="AT60" s="7"/>
      <c r="AU60" s="7"/>
      <c r="AV60" s="4"/>
      <c r="AW60" s="8"/>
      <c r="AX60" s="4"/>
      <c r="AY60" s="8"/>
      <c r="AZ60" s="7"/>
      <c r="BA60" s="7"/>
      <c r="BB60" s="7"/>
      <c r="BC60" s="4"/>
      <c r="BD60" s="8"/>
      <c r="BE60" s="4"/>
      <c r="BF60" s="8"/>
      <c r="BG60" s="7"/>
      <c r="BH60" s="7"/>
      <c r="BI60" s="7"/>
      <c r="BJ60" s="4">
        <v>47</v>
      </c>
      <c r="BK60" s="8">
        <v>924.6</v>
      </c>
      <c r="BL60" s="2" t="s">
        <v>556</v>
      </c>
      <c r="BM60" s="7"/>
      <c r="BN60" s="7"/>
      <c r="BO60" s="4"/>
      <c r="BP60" s="8"/>
      <c r="BQ60" s="4"/>
      <c r="BR60" s="8"/>
      <c r="BS60" s="7"/>
      <c r="BT60" s="7"/>
      <c r="BU60" s="2" t="s">
        <v>557</v>
      </c>
      <c r="BV60" s="2" t="s">
        <v>227</v>
      </c>
      <c r="BW60" s="2" t="s">
        <v>227</v>
      </c>
      <c r="BX60" s="2" t="s">
        <v>235</v>
      </c>
      <c r="BY60" s="2" t="s">
        <v>236</v>
      </c>
      <c r="BZ60" s="2" t="s">
        <v>224</v>
      </c>
      <c r="CA60" s="2" t="s">
        <v>558</v>
      </c>
      <c r="CB60" s="2" t="s">
        <v>559</v>
      </c>
      <c r="CC60" s="2" t="s">
        <v>239</v>
      </c>
      <c r="CD60" s="2" t="s">
        <v>227</v>
      </c>
      <c r="CE60" s="4"/>
      <c r="CF60" s="4">
        <v>309</v>
      </c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</row>
    <row r="61">
      <c r="A61" s="2" t="s">
        <v>560</v>
      </c>
      <c r="B61" s="2" t="s">
        <v>542</v>
      </c>
      <c r="C61" s="2" t="s">
        <v>360</v>
      </c>
      <c r="D61" s="2" t="s">
        <v>561</v>
      </c>
      <c r="E61" s="2" t="s">
        <v>562</v>
      </c>
      <c r="F61" s="2" t="s">
        <v>563</v>
      </c>
      <c r="G61" s="2" t="s">
        <v>563</v>
      </c>
      <c r="H61" s="2" t="s">
        <v>563</v>
      </c>
      <c r="I61" s="2" t="s">
        <v>564</v>
      </c>
      <c r="J61" s="2" t="s">
        <v>548</v>
      </c>
      <c r="K61" s="2" t="s">
        <v>565</v>
      </c>
      <c r="L61" s="3">
        <v>40.47</v>
      </c>
      <c r="M61" s="3">
        <v>42.49</v>
      </c>
      <c r="N61" s="3">
        <v>84.99</v>
      </c>
      <c r="O61" s="2" t="s">
        <v>224</v>
      </c>
      <c r="P61" s="2" t="s">
        <v>550</v>
      </c>
      <c r="Q61" s="2" t="s">
        <v>226</v>
      </c>
      <c r="R61" s="2" t="s">
        <v>227</v>
      </c>
      <c r="S61" s="2" t="s">
        <v>227</v>
      </c>
      <c r="T61" s="2" t="s">
        <v>227</v>
      </c>
      <c r="U61" s="2" t="s">
        <v>552</v>
      </c>
      <c r="V61" s="2" t="s">
        <v>566</v>
      </c>
      <c r="W61" s="2" t="s">
        <v>487</v>
      </c>
      <c r="X61" s="2" t="s">
        <v>506</v>
      </c>
      <c r="Y61" s="2" t="s">
        <v>567</v>
      </c>
      <c r="Z61" s="4">
        <v>175</v>
      </c>
      <c r="AA61" s="4">
        <f>=ROUNDDOWN(8.33333333333333,0)</f>
      </c>
      <c r="AB61" s="5">
        <v>21</v>
      </c>
      <c r="AC61" s="2" t="s">
        <v>163</v>
      </c>
      <c r="AD61" s="4">
        <v>230</v>
      </c>
      <c r="AE61" s="4">
        <v>230</v>
      </c>
      <c r="AF61" s="6">
        <v>65</v>
      </c>
      <c r="AG61" s="6"/>
      <c r="AH61" s="7">
        <v>0.8065</v>
      </c>
      <c r="AI61" s="4"/>
      <c r="AJ61" s="4">
        <f>=ROUNDDOWN({0},0)</f>
      </c>
      <c r="AK61" s="5"/>
      <c r="AL61" s="2" t="s">
        <v>227</v>
      </c>
      <c r="AM61" s="4"/>
      <c r="AN61" s="4"/>
      <c r="AO61" s="7"/>
      <c r="AP61" s="4"/>
      <c r="AQ61" s="8"/>
      <c r="AR61" s="4"/>
      <c r="AS61" s="8"/>
      <c r="AT61" s="7"/>
      <c r="AU61" s="7"/>
      <c r="AV61" s="4"/>
      <c r="AW61" s="8"/>
      <c r="AX61" s="4"/>
      <c r="AY61" s="8"/>
      <c r="AZ61" s="7"/>
      <c r="BA61" s="7"/>
      <c r="BB61" s="7"/>
      <c r="BC61" s="4"/>
      <c r="BD61" s="8"/>
      <c r="BE61" s="4"/>
      <c r="BF61" s="8"/>
      <c r="BG61" s="7"/>
      <c r="BH61" s="7"/>
      <c r="BI61" s="7"/>
      <c r="BJ61" s="4">
        <v>115</v>
      </c>
      <c r="BK61" s="8">
        <v>5472.9</v>
      </c>
      <c r="BL61" s="2" t="s">
        <v>568</v>
      </c>
      <c r="BM61" s="7"/>
      <c r="BN61" s="7"/>
      <c r="BO61" s="4"/>
      <c r="BP61" s="8"/>
      <c r="BQ61" s="4"/>
      <c r="BR61" s="8"/>
      <c r="BS61" s="7"/>
      <c r="BT61" s="7"/>
      <c r="BU61" s="2" t="s">
        <v>569</v>
      </c>
      <c r="BV61" s="2" t="s">
        <v>227</v>
      </c>
      <c r="BW61" s="2" t="s">
        <v>227</v>
      </c>
      <c r="BX61" s="2" t="s">
        <v>235</v>
      </c>
      <c r="BY61" s="2" t="s">
        <v>236</v>
      </c>
      <c r="BZ61" s="2" t="s">
        <v>224</v>
      </c>
      <c r="CA61" s="2" t="s">
        <v>570</v>
      </c>
      <c r="CB61" s="2" t="s">
        <v>571</v>
      </c>
      <c r="CC61" s="2" t="s">
        <v>239</v>
      </c>
      <c r="CD61" s="2" t="s">
        <v>227</v>
      </c>
      <c r="CE61" s="4"/>
      <c r="CF61" s="4">
        <v>175</v>
      </c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>
        <v>230</v>
      </c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</row>
    <row r="62">
      <c r="A62" s="2" t="s">
        <v>572</v>
      </c>
      <c r="B62" s="2" t="s">
        <v>573</v>
      </c>
      <c r="C62" s="2" t="s">
        <v>360</v>
      </c>
      <c r="D62" s="2" t="s">
        <v>574</v>
      </c>
      <c r="E62" s="2" t="s">
        <v>575</v>
      </c>
      <c r="F62" s="2" t="s">
        <v>576</v>
      </c>
      <c r="G62" s="2" t="s">
        <v>577</v>
      </c>
      <c r="H62" s="2" t="s">
        <v>578</v>
      </c>
      <c r="I62" s="2" t="s">
        <v>579</v>
      </c>
      <c r="J62" s="2" t="s">
        <v>548</v>
      </c>
      <c r="K62" s="2" t="s">
        <v>223</v>
      </c>
      <c r="L62" s="3">
        <v>238.5</v>
      </c>
      <c r="M62" s="3">
        <v>250.42</v>
      </c>
      <c r="N62" s="3">
        <v>499</v>
      </c>
      <c r="O62" s="2" t="s">
        <v>224</v>
      </c>
      <c r="P62" s="2" t="s">
        <v>580</v>
      </c>
      <c r="Q62" s="2" t="s">
        <v>226</v>
      </c>
      <c r="R62" s="2" t="s">
        <v>227</v>
      </c>
      <c r="S62" s="2" t="s">
        <v>227</v>
      </c>
      <c r="T62" s="2" t="s">
        <v>227</v>
      </c>
      <c r="U62" s="2" t="s">
        <v>552</v>
      </c>
      <c r="V62" s="2" t="s">
        <v>230</v>
      </c>
      <c r="W62" s="2" t="s">
        <v>581</v>
      </c>
      <c r="X62" s="2" t="s">
        <v>227</v>
      </c>
      <c r="Y62" s="2" t="s">
        <v>582</v>
      </c>
      <c r="Z62" s="4">
        <v>80</v>
      </c>
      <c r="AA62" s="4">
        <f>=ROUNDDOWN(26.6666666666667,0)</f>
      </c>
      <c r="AB62" s="5">
        <v>3</v>
      </c>
      <c r="AC62" s="2" t="s">
        <v>583</v>
      </c>
      <c r="AD62" s="4">
        <v>70</v>
      </c>
      <c r="AE62" s="4">
        <v>114</v>
      </c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227</v>
      </c>
      <c r="AM62" s="4"/>
      <c r="AN62" s="4"/>
      <c r="AO62" s="7"/>
      <c r="AP62" s="4"/>
      <c r="AQ62" s="8"/>
      <c r="AR62" s="4"/>
      <c r="AS62" s="8"/>
      <c r="AT62" s="7"/>
      <c r="AU62" s="7"/>
      <c r="AV62" s="4"/>
      <c r="AW62" s="8"/>
      <c r="AX62" s="4"/>
      <c r="AY62" s="8"/>
      <c r="AZ62" s="7"/>
      <c r="BA62" s="7"/>
      <c r="BB62" s="7"/>
      <c r="BC62" s="4"/>
      <c r="BD62" s="8"/>
      <c r="BE62" s="4"/>
      <c r="BF62" s="8"/>
      <c r="BG62" s="7"/>
      <c r="BH62" s="7"/>
      <c r="BI62" s="7"/>
      <c r="BJ62" s="4">
        <v>3</v>
      </c>
      <c r="BK62" s="8">
        <v>798.45</v>
      </c>
      <c r="BL62" s="2" t="s">
        <v>584</v>
      </c>
      <c r="BM62" s="7"/>
      <c r="BN62" s="7"/>
      <c r="BO62" s="4"/>
      <c r="BP62" s="8"/>
      <c r="BQ62" s="4"/>
      <c r="BR62" s="8"/>
      <c r="BS62" s="7"/>
      <c r="BT62" s="7"/>
      <c r="BU62" s="2" t="s">
        <v>585</v>
      </c>
      <c r="BV62" s="2" t="s">
        <v>227</v>
      </c>
      <c r="BW62" s="2" t="s">
        <v>227</v>
      </c>
      <c r="BX62" s="2" t="s">
        <v>235</v>
      </c>
      <c r="BY62" s="2" t="s">
        <v>236</v>
      </c>
      <c r="BZ62" s="2" t="s">
        <v>224</v>
      </c>
      <c r="CA62" s="2" t="s">
        <v>586</v>
      </c>
      <c r="CB62" s="2" t="s">
        <v>587</v>
      </c>
      <c r="CC62" s="2" t="s">
        <v>239</v>
      </c>
      <c r="CD62" s="2" t="s">
        <v>227</v>
      </c>
      <c r="CE62" s="4"/>
      <c r="CF62" s="4">
        <v>80</v>
      </c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>
        <v>70</v>
      </c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>
        <v>44</v>
      </c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</row>
    <row r="63">
      <c r="A63" s="2" t="s">
        <v>588</v>
      </c>
      <c r="B63" s="2" t="s">
        <v>514</v>
      </c>
      <c r="C63" s="2" t="s">
        <v>279</v>
      </c>
      <c r="D63" s="2" t="s">
        <v>516</v>
      </c>
      <c r="E63" s="2" t="s">
        <v>517</v>
      </c>
      <c r="F63" s="2" t="s">
        <v>589</v>
      </c>
      <c r="G63" s="2" t="s">
        <v>590</v>
      </c>
      <c r="H63" s="2" t="s">
        <v>591</v>
      </c>
      <c r="I63" s="2" t="s">
        <v>592</v>
      </c>
      <c r="J63" s="2" t="s">
        <v>593</v>
      </c>
      <c r="K63" s="2" t="s">
        <v>521</v>
      </c>
      <c r="L63" s="3">
        <v>18.4</v>
      </c>
      <c r="M63" s="3">
        <v>19.32</v>
      </c>
      <c r="N63" s="3">
        <v>39.99</v>
      </c>
      <c r="O63" s="2" t="s">
        <v>224</v>
      </c>
      <c r="P63" s="2" t="s">
        <v>550</v>
      </c>
      <c r="Q63" s="2" t="s">
        <v>226</v>
      </c>
      <c r="R63" s="2" t="s">
        <v>227</v>
      </c>
      <c r="S63" s="2" t="s">
        <v>227</v>
      </c>
      <c r="T63" s="2" t="s">
        <v>227</v>
      </c>
      <c r="U63" s="2" t="s">
        <v>594</v>
      </c>
      <c r="V63" s="2" t="s">
        <v>230</v>
      </c>
      <c r="W63" s="2" t="s">
        <v>231</v>
      </c>
      <c r="X63" s="2" t="s">
        <v>227</v>
      </c>
      <c r="Y63" s="2" t="s">
        <v>595</v>
      </c>
      <c r="Z63" s="4">
        <v>385</v>
      </c>
      <c r="AA63" s="4">
        <f>=ROUNDDOWN(5.5,0)</f>
      </c>
      <c r="AB63" s="5">
        <v>70</v>
      </c>
      <c r="AC63" s="2" t="s">
        <v>155</v>
      </c>
      <c r="AD63" s="4">
        <v>620</v>
      </c>
      <c r="AE63" s="4">
        <v>3100</v>
      </c>
      <c r="AF63" s="6">
        <v>73</v>
      </c>
      <c r="AG63" s="6"/>
      <c r="AH63" s="7">
        <v>1</v>
      </c>
      <c r="AI63" s="4"/>
      <c r="AJ63" s="4">
        <f>=ROUNDDOWN({0},0)</f>
      </c>
      <c r="AK63" s="5"/>
      <c r="AL63" s="2" t="s">
        <v>227</v>
      </c>
      <c r="AM63" s="4"/>
      <c r="AN63" s="4"/>
      <c r="AO63" s="7"/>
      <c r="AP63" s="4"/>
      <c r="AQ63" s="8"/>
      <c r="AR63" s="4"/>
      <c r="AS63" s="8"/>
      <c r="AT63" s="7"/>
      <c r="AU63" s="7"/>
      <c r="AV63" s="4"/>
      <c r="AW63" s="8"/>
      <c r="AX63" s="4"/>
      <c r="AY63" s="8"/>
      <c r="AZ63" s="7"/>
      <c r="BA63" s="7"/>
      <c r="BB63" s="7"/>
      <c r="BC63" s="4" t="s">
        <v>227</v>
      </c>
      <c r="BD63" s="8" t="s">
        <v>227</v>
      </c>
      <c r="BE63" s="4" t="s">
        <v>227</v>
      </c>
      <c r="BF63" s="8" t="s">
        <v>227</v>
      </c>
      <c r="BG63" s="7" t="s">
        <v>227</v>
      </c>
      <c r="BH63" s="7" t="s">
        <v>227</v>
      </c>
      <c r="BI63" s="7"/>
      <c r="BJ63" s="4">
        <v>252</v>
      </c>
      <c r="BK63" s="8">
        <v>4598.24</v>
      </c>
      <c r="BL63" s="2" t="s">
        <v>596</v>
      </c>
      <c r="BM63" s="7"/>
      <c r="BN63" s="7"/>
      <c r="BO63" s="4"/>
      <c r="BP63" s="8"/>
      <c r="BQ63" s="4"/>
      <c r="BR63" s="8"/>
      <c r="BS63" s="7"/>
      <c r="BT63" s="7"/>
      <c r="BU63" s="2" t="s">
        <v>597</v>
      </c>
      <c r="BV63" s="2" t="s">
        <v>227</v>
      </c>
      <c r="BW63" s="2" t="s">
        <v>227</v>
      </c>
      <c r="BX63" s="2" t="s">
        <v>235</v>
      </c>
      <c r="BY63" s="2" t="s">
        <v>236</v>
      </c>
      <c r="BZ63" s="2" t="s">
        <v>224</v>
      </c>
      <c r="CA63" s="2" t="s">
        <v>598</v>
      </c>
      <c r="CB63" s="2" t="s">
        <v>599</v>
      </c>
      <c r="CC63" s="2" t="s">
        <v>239</v>
      </c>
      <c r="CD63" s="2" t="s">
        <v>227</v>
      </c>
      <c r="CE63" s="4">
        <v>385</v>
      </c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>
        <v>620</v>
      </c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>
        <v>1240</v>
      </c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>
        <v>620</v>
      </c>
      <c r="GS63" s="4"/>
      <c r="GT63" s="4"/>
      <c r="GU63" s="4"/>
      <c r="GV63" s="4">
        <v>620</v>
      </c>
      <c r="GW63" s="4"/>
      <c r="GX63" s="4"/>
    </row>
    <row r="64">
      <c r="A64" s="2" t="s">
        <v>600</v>
      </c>
      <c r="B64" s="2" t="s">
        <v>514</v>
      </c>
      <c r="C64" s="2" t="s">
        <v>279</v>
      </c>
      <c r="D64" s="2" t="s">
        <v>516</v>
      </c>
      <c r="E64" s="2" t="s">
        <v>517</v>
      </c>
      <c r="F64" s="2" t="s">
        <v>589</v>
      </c>
      <c r="G64" s="2" t="s">
        <v>590</v>
      </c>
      <c r="H64" s="2" t="s">
        <v>591</v>
      </c>
      <c r="I64" s="2" t="s">
        <v>592</v>
      </c>
      <c r="J64" s="2" t="s">
        <v>593</v>
      </c>
      <c r="K64" s="2" t="s">
        <v>601</v>
      </c>
      <c r="L64" s="3">
        <v>18.4</v>
      </c>
      <c r="M64" s="3">
        <v>19.32</v>
      </c>
      <c r="N64" s="3">
        <v>39.99</v>
      </c>
      <c r="O64" s="2" t="s">
        <v>224</v>
      </c>
      <c r="P64" s="2" t="s">
        <v>225</v>
      </c>
      <c r="Q64" s="2" t="s">
        <v>226</v>
      </c>
      <c r="R64" s="2" t="s">
        <v>227</v>
      </c>
      <c r="S64" s="2" t="s">
        <v>227</v>
      </c>
      <c r="T64" s="2" t="s">
        <v>227</v>
      </c>
      <c r="U64" s="2" t="s">
        <v>594</v>
      </c>
      <c r="V64" s="2" t="s">
        <v>230</v>
      </c>
      <c r="W64" s="2" t="s">
        <v>231</v>
      </c>
      <c r="X64" s="2" t="s">
        <v>227</v>
      </c>
      <c r="Y64" s="2" t="s">
        <v>595</v>
      </c>
      <c r="Z64" s="4">
        <v>356</v>
      </c>
      <c r="AA64" s="4">
        <f>=ROUNDDOWN(6.47272727272727,0)</f>
      </c>
      <c r="AB64" s="5">
        <v>55</v>
      </c>
      <c r="AC64" s="2" t="s">
        <v>366</v>
      </c>
      <c r="AD64" s="4">
        <v>620</v>
      </c>
      <c r="AE64" s="4">
        <v>1550</v>
      </c>
      <c r="AF64" s="6">
        <v>73</v>
      </c>
      <c r="AG64" s="6"/>
      <c r="AH64" s="7">
        <v>1</v>
      </c>
      <c r="AI64" s="4"/>
      <c r="AJ64" s="4">
        <f>=ROUNDDOWN({0},0)</f>
      </c>
      <c r="AK64" s="5"/>
      <c r="AL64" s="2" t="s">
        <v>227</v>
      </c>
      <c r="AM64" s="4"/>
      <c r="AN64" s="4"/>
      <c r="AO64" s="7"/>
      <c r="AP64" s="4"/>
      <c r="AQ64" s="8"/>
      <c r="AR64" s="4"/>
      <c r="AS64" s="8"/>
      <c r="AT64" s="7"/>
      <c r="AU64" s="7"/>
      <c r="AV64" s="4"/>
      <c r="AW64" s="8"/>
      <c r="AX64" s="4"/>
      <c r="AY64" s="8"/>
      <c r="AZ64" s="7"/>
      <c r="BA64" s="7"/>
      <c r="BB64" s="7"/>
      <c r="BC64" s="4" t="s">
        <v>227</v>
      </c>
      <c r="BD64" s="8" t="s">
        <v>227</v>
      </c>
      <c r="BE64" s="4" t="s">
        <v>227</v>
      </c>
      <c r="BF64" s="8" t="s">
        <v>227</v>
      </c>
      <c r="BG64" s="7" t="s">
        <v>227</v>
      </c>
      <c r="BH64" s="7" t="s">
        <v>227</v>
      </c>
      <c r="BI64" s="7"/>
      <c r="BJ64" s="4">
        <v>236</v>
      </c>
      <c r="BK64" s="8">
        <v>4231</v>
      </c>
      <c r="BL64" s="2" t="s">
        <v>602</v>
      </c>
      <c r="BM64" s="7"/>
      <c r="BN64" s="7"/>
      <c r="BO64" s="4"/>
      <c r="BP64" s="8"/>
      <c r="BQ64" s="4"/>
      <c r="BR64" s="8"/>
      <c r="BS64" s="7"/>
      <c r="BT64" s="7"/>
      <c r="BU64" s="2" t="s">
        <v>603</v>
      </c>
      <c r="BV64" s="2" t="s">
        <v>227</v>
      </c>
      <c r="BW64" s="2" t="s">
        <v>227</v>
      </c>
      <c r="BX64" s="2" t="s">
        <v>235</v>
      </c>
      <c r="BY64" s="2" t="s">
        <v>236</v>
      </c>
      <c r="BZ64" s="2" t="s">
        <v>224</v>
      </c>
      <c r="CA64" s="2" t="s">
        <v>598</v>
      </c>
      <c r="CB64" s="2" t="s">
        <v>604</v>
      </c>
      <c r="CC64" s="2" t="s">
        <v>239</v>
      </c>
      <c r="CD64" s="2" t="s">
        <v>227</v>
      </c>
      <c r="CE64" s="4">
        <v>356</v>
      </c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>
        <v>620</v>
      </c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>
        <v>620</v>
      </c>
      <c r="GS64" s="4"/>
      <c r="GT64" s="4"/>
      <c r="GU64" s="4"/>
      <c r="GV64" s="4">
        <v>310</v>
      </c>
      <c r="GW64" s="4"/>
      <c r="GX64" s="4"/>
    </row>
    <row r="65">
      <c r="A65" s="2" t="s">
        <v>605</v>
      </c>
      <c r="B65" s="2" t="s">
        <v>514</v>
      </c>
      <c r="C65" s="2" t="s">
        <v>279</v>
      </c>
      <c r="D65" s="2" t="s">
        <v>516</v>
      </c>
      <c r="E65" s="2" t="s">
        <v>517</v>
      </c>
      <c r="F65" s="2" t="s">
        <v>589</v>
      </c>
      <c r="G65" s="2" t="s">
        <v>590</v>
      </c>
      <c r="H65" s="2" t="s">
        <v>591</v>
      </c>
      <c r="I65" s="2" t="s">
        <v>592</v>
      </c>
      <c r="J65" s="2" t="s">
        <v>593</v>
      </c>
      <c r="K65" s="2" t="s">
        <v>448</v>
      </c>
      <c r="L65" s="3">
        <v>18.4</v>
      </c>
      <c r="M65" s="3">
        <v>19.32</v>
      </c>
      <c r="N65" s="3">
        <v>39.99</v>
      </c>
      <c r="O65" s="2" t="s">
        <v>224</v>
      </c>
      <c r="P65" s="2" t="s">
        <v>225</v>
      </c>
      <c r="Q65" s="2" t="s">
        <v>226</v>
      </c>
      <c r="R65" s="2" t="s">
        <v>227</v>
      </c>
      <c r="S65" s="2" t="s">
        <v>227</v>
      </c>
      <c r="T65" s="2" t="s">
        <v>227</v>
      </c>
      <c r="U65" s="2" t="s">
        <v>594</v>
      </c>
      <c r="V65" s="2" t="s">
        <v>230</v>
      </c>
      <c r="W65" s="2" t="s">
        <v>231</v>
      </c>
      <c r="X65" s="2" t="s">
        <v>227</v>
      </c>
      <c r="Y65" s="2" t="s">
        <v>595</v>
      </c>
      <c r="Z65" s="4">
        <v>672</v>
      </c>
      <c r="AA65" s="4">
        <f>=ROUNDDOWN(12.6792452830189,0)</f>
      </c>
      <c r="AB65" s="5">
        <v>53</v>
      </c>
      <c r="AC65" s="2" t="s">
        <v>366</v>
      </c>
      <c r="AD65" s="4">
        <v>930</v>
      </c>
      <c r="AE65" s="4">
        <v>1550</v>
      </c>
      <c r="AF65" s="6">
        <v>73</v>
      </c>
      <c r="AG65" s="6"/>
      <c r="AH65" s="7">
        <v>1</v>
      </c>
      <c r="AI65" s="4"/>
      <c r="AJ65" s="4">
        <f>=ROUNDDOWN({0},0)</f>
      </c>
      <c r="AK65" s="5"/>
      <c r="AL65" s="2" t="s">
        <v>227</v>
      </c>
      <c r="AM65" s="4"/>
      <c r="AN65" s="4"/>
      <c r="AO65" s="7"/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 t="s">
        <v>227</v>
      </c>
      <c r="BD65" s="8" t="s">
        <v>227</v>
      </c>
      <c r="BE65" s="4" t="s">
        <v>227</v>
      </c>
      <c r="BF65" s="8" t="s">
        <v>227</v>
      </c>
      <c r="BG65" s="7" t="s">
        <v>227</v>
      </c>
      <c r="BH65" s="7" t="s">
        <v>227</v>
      </c>
      <c r="BI65" s="7"/>
      <c r="BJ65" s="4">
        <v>185</v>
      </c>
      <c r="BK65" s="8">
        <v>3393.48</v>
      </c>
      <c r="BL65" s="2" t="s">
        <v>606</v>
      </c>
      <c r="BM65" s="7"/>
      <c r="BN65" s="7"/>
      <c r="BO65" s="4"/>
      <c r="BP65" s="8"/>
      <c r="BQ65" s="4"/>
      <c r="BR65" s="8"/>
      <c r="BS65" s="7"/>
      <c r="BT65" s="7"/>
      <c r="BU65" s="2" t="s">
        <v>607</v>
      </c>
      <c r="BV65" s="2" t="s">
        <v>227</v>
      </c>
      <c r="BW65" s="2" t="s">
        <v>227</v>
      </c>
      <c r="BX65" s="2" t="s">
        <v>235</v>
      </c>
      <c r="BY65" s="2" t="s">
        <v>236</v>
      </c>
      <c r="BZ65" s="2" t="s">
        <v>224</v>
      </c>
      <c r="CA65" s="2" t="s">
        <v>598</v>
      </c>
      <c r="CB65" s="2" t="s">
        <v>608</v>
      </c>
      <c r="CC65" s="2" t="s">
        <v>239</v>
      </c>
      <c r="CD65" s="2" t="s">
        <v>227</v>
      </c>
      <c r="CE65" s="4">
        <v>672</v>
      </c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>
        <v>930</v>
      </c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>
        <v>620</v>
      </c>
      <c r="GS65" s="4"/>
      <c r="GT65" s="4"/>
      <c r="GU65" s="4"/>
      <c r="GV65" s="4"/>
      <c r="GW65" s="4"/>
      <c r="GX65" s="4"/>
    </row>
    <row r="66">
      <c r="A66" s="2" t="s">
        <v>609</v>
      </c>
      <c r="B66" s="2" t="s">
        <v>514</v>
      </c>
      <c r="C66" s="2" t="s">
        <v>279</v>
      </c>
      <c r="D66" s="2" t="s">
        <v>516</v>
      </c>
      <c r="E66" s="2" t="s">
        <v>517</v>
      </c>
      <c r="F66" s="2" t="s">
        <v>589</v>
      </c>
      <c r="G66" s="2" t="s">
        <v>590</v>
      </c>
      <c r="H66" s="2" t="s">
        <v>591</v>
      </c>
      <c r="I66" s="2" t="s">
        <v>592</v>
      </c>
      <c r="J66" s="2" t="s">
        <v>593</v>
      </c>
      <c r="K66" s="2" t="s">
        <v>610</v>
      </c>
      <c r="L66" s="3">
        <v>18.4</v>
      </c>
      <c r="M66" s="3">
        <v>19.32</v>
      </c>
      <c r="N66" s="3">
        <v>39.99</v>
      </c>
      <c r="O66" s="2" t="s">
        <v>224</v>
      </c>
      <c r="P66" s="2" t="s">
        <v>225</v>
      </c>
      <c r="Q66" s="2" t="s">
        <v>226</v>
      </c>
      <c r="R66" s="2" t="s">
        <v>227</v>
      </c>
      <c r="S66" s="2" t="s">
        <v>611</v>
      </c>
      <c r="T66" s="2" t="s">
        <v>286</v>
      </c>
      <c r="U66" s="2" t="s">
        <v>594</v>
      </c>
      <c r="V66" s="2" t="s">
        <v>230</v>
      </c>
      <c r="W66" s="2" t="s">
        <v>231</v>
      </c>
      <c r="X66" s="2" t="s">
        <v>227</v>
      </c>
      <c r="Y66" s="2" t="s">
        <v>612</v>
      </c>
      <c r="Z66" s="4">
        <v>690</v>
      </c>
      <c r="AA66" s="4">
        <f>=ROUNDDOWN(15.6818181818182,0)</f>
      </c>
      <c r="AB66" s="5">
        <v>44</v>
      </c>
      <c r="AC66" s="2" t="s">
        <v>366</v>
      </c>
      <c r="AD66" s="4">
        <v>930</v>
      </c>
      <c r="AE66" s="4">
        <v>1550</v>
      </c>
      <c r="AF66" s="6">
        <v>73</v>
      </c>
      <c r="AG66" s="6"/>
      <c r="AH66" s="7">
        <v>1</v>
      </c>
      <c r="AI66" s="4"/>
      <c r="AJ66" s="4">
        <f>=ROUNDDOWN({0},0)</f>
      </c>
      <c r="AK66" s="5"/>
      <c r="AL66" s="2" t="s">
        <v>227</v>
      </c>
      <c r="AM66" s="4"/>
      <c r="AN66" s="4"/>
      <c r="AO66" s="7"/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 t="s">
        <v>227</v>
      </c>
      <c r="BD66" s="8" t="s">
        <v>227</v>
      </c>
      <c r="BE66" s="4" t="s">
        <v>227</v>
      </c>
      <c r="BF66" s="8" t="s">
        <v>227</v>
      </c>
      <c r="BG66" s="7" t="s">
        <v>227</v>
      </c>
      <c r="BH66" s="7" t="s">
        <v>227</v>
      </c>
      <c r="BI66" s="7"/>
      <c r="BJ66" s="4">
        <v>134</v>
      </c>
      <c r="BK66" s="8">
        <v>2483.15</v>
      </c>
      <c r="BL66" s="2" t="s">
        <v>613</v>
      </c>
      <c r="BM66" s="7"/>
      <c r="BN66" s="7"/>
      <c r="BO66" s="4"/>
      <c r="BP66" s="8"/>
      <c r="BQ66" s="4"/>
      <c r="BR66" s="8"/>
      <c r="BS66" s="7"/>
      <c r="BT66" s="7"/>
      <c r="BU66" s="2" t="s">
        <v>614</v>
      </c>
      <c r="BV66" s="2" t="s">
        <v>227</v>
      </c>
      <c r="BW66" s="2" t="s">
        <v>227</v>
      </c>
      <c r="BX66" s="2" t="s">
        <v>235</v>
      </c>
      <c r="BY66" s="2" t="s">
        <v>236</v>
      </c>
      <c r="BZ66" s="2" t="s">
        <v>224</v>
      </c>
      <c r="CA66" s="2" t="s">
        <v>615</v>
      </c>
      <c r="CB66" s="2" t="s">
        <v>616</v>
      </c>
      <c r="CC66" s="2" t="s">
        <v>239</v>
      </c>
      <c r="CD66" s="2" t="s">
        <v>227</v>
      </c>
      <c r="CE66" s="4">
        <v>690</v>
      </c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>
        <v>930</v>
      </c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>
        <v>310</v>
      </c>
      <c r="GS66" s="4"/>
      <c r="GT66" s="4"/>
      <c r="GU66" s="4"/>
      <c r="GV66" s="4">
        <v>310</v>
      </c>
      <c r="GW66" s="4"/>
      <c r="GX66" s="4"/>
    </row>
    <row r="67">
      <c r="A67" s="2" t="s">
        <v>617</v>
      </c>
      <c r="B67" s="2" t="s">
        <v>618</v>
      </c>
      <c r="C67" s="2" t="s">
        <v>619</v>
      </c>
      <c r="D67" s="2" t="s">
        <v>620</v>
      </c>
      <c r="E67" s="2" t="s">
        <v>621</v>
      </c>
      <c r="F67" s="2" t="s">
        <v>622</v>
      </c>
      <c r="G67" s="2" t="s">
        <v>623</v>
      </c>
      <c r="H67" s="2" t="s">
        <v>624</v>
      </c>
      <c r="I67" s="2" t="s">
        <v>625</v>
      </c>
      <c r="J67" s="2" t="s">
        <v>626</v>
      </c>
      <c r="K67" s="2" t="s">
        <v>627</v>
      </c>
      <c r="L67" s="3">
        <v>26.95</v>
      </c>
      <c r="M67" s="3">
        <v>28.3</v>
      </c>
      <c r="N67" s="3">
        <v>54.99</v>
      </c>
      <c r="O67" s="2" t="s">
        <v>224</v>
      </c>
      <c r="P67" s="2" t="s">
        <v>225</v>
      </c>
      <c r="Q67" s="2" t="s">
        <v>226</v>
      </c>
      <c r="R67" s="2" t="s">
        <v>227</v>
      </c>
      <c r="S67" s="2" t="s">
        <v>628</v>
      </c>
      <c r="T67" s="2" t="s">
        <v>375</v>
      </c>
      <c r="U67" s="2" t="s">
        <v>287</v>
      </c>
      <c r="V67" s="2" t="s">
        <v>629</v>
      </c>
      <c r="W67" s="2" t="s">
        <v>231</v>
      </c>
      <c r="X67" s="2" t="s">
        <v>581</v>
      </c>
      <c r="Y67" s="2" t="s">
        <v>232</v>
      </c>
      <c r="Z67" s="4">
        <v>63</v>
      </c>
      <c r="AA67" s="4">
        <f>=ROUNDDOWN(4.5,0)</f>
      </c>
      <c r="AB67" s="5">
        <v>14</v>
      </c>
      <c r="AC67" s="2" t="s">
        <v>630</v>
      </c>
      <c r="AD67" s="4">
        <v>110</v>
      </c>
      <c r="AE67" s="4">
        <v>387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227</v>
      </c>
      <c r="AM67" s="4"/>
      <c r="AN67" s="4"/>
      <c r="AO67" s="7"/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/>
      <c r="BD67" s="8"/>
      <c r="BE67" s="4"/>
      <c r="BF67" s="8"/>
      <c r="BG67" s="7"/>
      <c r="BH67" s="7"/>
      <c r="BI67" s="7"/>
      <c r="BJ67" s="4">
        <v>32</v>
      </c>
      <c r="BK67" s="8">
        <v>936.23</v>
      </c>
      <c r="BL67" s="2" t="s">
        <v>631</v>
      </c>
      <c r="BM67" s="7"/>
      <c r="BN67" s="7"/>
      <c r="BO67" s="4"/>
      <c r="BP67" s="8"/>
      <c r="BQ67" s="4"/>
      <c r="BR67" s="8"/>
      <c r="BS67" s="7"/>
      <c r="BT67" s="7"/>
      <c r="BU67" s="2" t="s">
        <v>632</v>
      </c>
      <c r="BV67" s="2" t="s">
        <v>227</v>
      </c>
      <c r="BW67" s="2" t="s">
        <v>227</v>
      </c>
      <c r="BX67" s="2" t="s">
        <v>235</v>
      </c>
      <c r="BY67" s="2" t="s">
        <v>236</v>
      </c>
      <c r="BZ67" s="2" t="s">
        <v>224</v>
      </c>
      <c r="CA67" s="2" t="s">
        <v>237</v>
      </c>
      <c r="CB67" s="2" t="s">
        <v>633</v>
      </c>
      <c r="CC67" s="2" t="s">
        <v>239</v>
      </c>
      <c r="CD67" s="2" t="s">
        <v>227</v>
      </c>
      <c r="CE67" s="4">
        <v>63</v>
      </c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>
        <v>110</v>
      </c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>
        <v>157</v>
      </c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>
        <v>120</v>
      </c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</row>
    <row r="68">
      <c r="A68" s="2" t="s">
        <v>634</v>
      </c>
      <c r="B68" s="2" t="s">
        <v>635</v>
      </c>
      <c r="C68" s="2" t="s">
        <v>636</v>
      </c>
      <c r="D68" s="2" t="s">
        <v>637</v>
      </c>
      <c r="E68" s="2" t="s">
        <v>638</v>
      </c>
      <c r="F68" s="2" t="s">
        <v>639</v>
      </c>
      <c r="G68" s="2" t="s">
        <v>639</v>
      </c>
      <c r="H68" s="2" t="s">
        <v>639</v>
      </c>
      <c r="I68" s="2" t="s">
        <v>640</v>
      </c>
      <c r="J68" s="2" t="s">
        <v>641</v>
      </c>
      <c r="K68" s="2" t="s">
        <v>432</v>
      </c>
      <c r="L68" s="3">
        <v>22.49</v>
      </c>
      <c r="M68" s="3">
        <v>23.61</v>
      </c>
      <c r="N68" s="3">
        <v>49.99</v>
      </c>
      <c r="O68" s="2" t="s">
        <v>224</v>
      </c>
      <c r="P68" s="2" t="s">
        <v>225</v>
      </c>
      <c r="Q68" s="2" t="s">
        <v>226</v>
      </c>
      <c r="R68" s="2" t="s">
        <v>227</v>
      </c>
      <c r="S68" s="2" t="s">
        <v>227</v>
      </c>
      <c r="T68" s="2" t="s">
        <v>227</v>
      </c>
      <c r="U68" s="2" t="s">
        <v>552</v>
      </c>
      <c r="V68" s="2" t="s">
        <v>566</v>
      </c>
      <c r="W68" s="2" t="s">
        <v>231</v>
      </c>
      <c r="X68" s="2" t="s">
        <v>227</v>
      </c>
      <c r="Y68" s="2" t="s">
        <v>642</v>
      </c>
      <c r="Z68" s="4">
        <v>79</v>
      </c>
      <c r="AA68" s="4">
        <f>=ROUNDDOWN(41.5789473684211,0)</f>
      </c>
      <c r="AB68" s="5">
        <v>1.9</v>
      </c>
      <c r="AC68" s="2" t="s">
        <v>227</v>
      </c>
      <c r="AD68" s="4"/>
      <c r="AE68" s="4"/>
      <c r="AF68" s="6">
        <v>65</v>
      </c>
      <c r="AG68" s="6"/>
      <c r="AH68" s="7">
        <v>0.9355</v>
      </c>
      <c r="AI68" s="4"/>
      <c r="AJ68" s="4">
        <f>=ROUNDDOWN({0},0)</f>
      </c>
      <c r="AK68" s="5"/>
      <c r="AL68" s="2" t="s">
        <v>227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227</v>
      </c>
      <c r="AW68" s="8" t="s">
        <v>227</v>
      </c>
      <c r="AX68" s="4" t="s">
        <v>227</v>
      </c>
      <c r="AY68" s="8" t="s">
        <v>227</v>
      </c>
      <c r="AZ68" s="7" t="s">
        <v>227</v>
      </c>
      <c r="BA68" s="7" t="s">
        <v>227</v>
      </c>
      <c r="BB68" s="7"/>
      <c r="BC68" s="4" t="s">
        <v>227</v>
      </c>
      <c r="BD68" s="8" t="s">
        <v>227</v>
      </c>
      <c r="BE68" s="4" t="s">
        <v>227</v>
      </c>
      <c r="BF68" s="8" t="s">
        <v>227</v>
      </c>
      <c r="BG68" s="7" t="s">
        <v>227</v>
      </c>
      <c r="BH68" s="7" t="s">
        <v>227</v>
      </c>
      <c r="BI68" s="7"/>
      <c r="BJ68" s="4">
        <v>8</v>
      </c>
      <c r="BK68" s="8">
        <v>203.92</v>
      </c>
      <c r="BL68" s="2" t="s">
        <v>498</v>
      </c>
      <c r="BM68" s="7"/>
      <c r="BN68" s="7"/>
      <c r="BO68" s="4"/>
      <c r="BP68" s="8"/>
      <c r="BQ68" s="4"/>
      <c r="BR68" s="8"/>
      <c r="BS68" s="7"/>
      <c r="BT68" s="7"/>
      <c r="BU68" s="2" t="s">
        <v>643</v>
      </c>
      <c r="BV68" s="2" t="s">
        <v>227</v>
      </c>
      <c r="BW68" s="2" t="s">
        <v>227</v>
      </c>
      <c r="BX68" s="2" t="s">
        <v>235</v>
      </c>
      <c r="BY68" s="2" t="s">
        <v>236</v>
      </c>
      <c r="BZ68" s="2" t="s">
        <v>224</v>
      </c>
      <c r="CA68" s="2" t="s">
        <v>644</v>
      </c>
      <c r="CB68" s="2" t="s">
        <v>645</v>
      </c>
      <c r="CC68" s="2" t="s">
        <v>239</v>
      </c>
      <c r="CD68" s="2" t="s">
        <v>227</v>
      </c>
      <c r="CE68" s="4">
        <v>79</v>
      </c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</row>
    <row r="69">
      <c r="A69" s="2" t="s">
        <v>646</v>
      </c>
      <c r="B69" s="2" t="s">
        <v>635</v>
      </c>
      <c r="C69" s="2" t="s">
        <v>636</v>
      </c>
      <c r="D69" s="2" t="s">
        <v>637</v>
      </c>
      <c r="E69" s="2" t="s">
        <v>638</v>
      </c>
      <c r="F69" s="2" t="s">
        <v>639</v>
      </c>
      <c r="G69" s="2" t="s">
        <v>639</v>
      </c>
      <c r="H69" s="2" t="s">
        <v>639</v>
      </c>
      <c r="I69" s="2" t="s">
        <v>647</v>
      </c>
      <c r="J69" s="2" t="s">
        <v>648</v>
      </c>
      <c r="K69" s="2" t="s">
        <v>432</v>
      </c>
      <c r="L69" s="3">
        <v>26.14</v>
      </c>
      <c r="M69" s="3">
        <v>27.45</v>
      </c>
      <c r="N69" s="3">
        <v>57.99</v>
      </c>
      <c r="O69" s="2" t="s">
        <v>224</v>
      </c>
      <c r="P69" s="2" t="s">
        <v>225</v>
      </c>
      <c r="Q69" s="2" t="s">
        <v>226</v>
      </c>
      <c r="R69" s="2" t="s">
        <v>227</v>
      </c>
      <c r="S69" s="2" t="s">
        <v>227</v>
      </c>
      <c r="T69" s="2" t="s">
        <v>227</v>
      </c>
      <c r="U69" s="2" t="s">
        <v>552</v>
      </c>
      <c r="V69" s="2" t="s">
        <v>566</v>
      </c>
      <c r="W69" s="2" t="s">
        <v>231</v>
      </c>
      <c r="X69" s="2" t="s">
        <v>227</v>
      </c>
      <c r="Y69" s="2" t="s">
        <v>642</v>
      </c>
      <c r="Z69" s="4">
        <v>286</v>
      </c>
      <c r="AA69" s="4">
        <f>=ROUNDDOWN(143,0)</f>
      </c>
      <c r="AB69" s="5">
        <v>2</v>
      </c>
      <c r="AC69" s="2" t="s">
        <v>227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227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227</v>
      </c>
      <c r="AW69" s="8" t="s">
        <v>227</v>
      </c>
      <c r="AX69" s="4" t="s">
        <v>227</v>
      </c>
      <c r="AY69" s="8" t="s">
        <v>227</v>
      </c>
      <c r="AZ69" s="7" t="s">
        <v>227</v>
      </c>
      <c r="BA69" s="7" t="s">
        <v>227</v>
      </c>
      <c r="BB69" s="7"/>
      <c r="BC69" s="4" t="s">
        <v>227</v>
      </c>
      <c r="BD69" s="8" t="s">
        <v>227</v>
      </c>
      <c r="BE69" s="4" t="s">
        <v>227</v>
      </c>
      <c r="BF69" s="8" t="s">
        <v>227</v>
      </c>
      <c r="BG69" s="7" t="s">
        <v>227</v>
      </c>
      <c r="BH69" s="7" t="s">
        <v>227</v>
      </c>
      <c r="BI69" s="7"/>
      <c r="BJ69" s="4">
        <v>8</v>
      </c>
      <c r="BK69" s="8">
        <v>281.04</v>
      </c>
      <c r="BL69" s="2" t="s">
        <v>649</v>
      </c>
      <c r="BM69" s="7"/>
      <c r="BN69" s="7"/>
      <c r="BO69" s="4"/>
      <c r="BP69" s="8"/>
      <c r="BQ69" s="4"/>
      <c r="BR69" s="8"/>
      <c r="BS69" s="7"/>
      <c r="BT69" s="7"/>
      <c r="BU69" s="2" t="s">
        <v>650</v>
      </c>
      <c r="BV69" s="2" t="s">
        <v>227</v>
      </c>
      <c r="BW69" s="2" t="s">
        <v>227</v>
      </c>
      <c r="BX69" s="2" t="s">
        <v>235</v>
      </c>
      <c r="BY69" s="2" t="s">
        <v>236</v>
      </c>
      <c r="BZ69" s="2" t="s">
        <v>224</v>
      </c>
      <c r="CA69" s="2" t="s">
        <v>644</v>
      </c>
      <c r="CB69" s="2" t="s">
        <v>227</v>
      </c>
      <c r="CC69" s="2" t="s">
        <v>239</v>
      </c>
      <c r="CD69" s="2" t="s">
        <v>227</v>
      </c>
      <c r="CE69" s="4">
        <v>286</v>
      </c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</row>
    <row r="70">
      <c r="A70" s="2" t="s">
        <v>651</v>
      </c>
      <c r="B70" s="2" t="s">
        <v>635</v>
      </c>
      <c r="C70" s="2" t="s">
        <v>636</v>
      </c>
      <c r="D70" s="2" t="s">
        <v>637</v>
      </c>
      <c r="E70" s="2" t="s">
        <v>638</v>
      </c>
      <c r="F70" s="2" t="s">
        <v>639</v>
      </c>
      <c r="G70" s="2" t="s">
        <v>639</v>
      </c>
      <c r="H70" s="2" t="s">
        <v>639</v>
      </c>
      <c r="I70" s="2" t="s">
        <v>652</v>
      </c>
      <c r="J70" s="2" t="s">
        <v>653</v>
      </c>
      <c r="K70" s="2" t="s">
        <v>432</v>
      </c>
      <c r="L70" s="3">
        <v>34.46</v>
      </c>
      <c r="M70" s="3">
        <v>36.18</v>
      </c>
      <c r="N70" s="3">
        <v>76.99</v>
      </c>
      <c r="O70" s="2" t="s">
        <v>224</v>
      </c>
      <c r="P70" s="2" t="s">
        <v>225</v>
      </c>
      <c r="Q70" s="2" t="s">
        <v>226</v>
      </c>
      <c r="R70" s="2" t="s">
        <v>227</v>
      </c>
      <c r="S70" s="2" t="s">
        <v>227</v>
      </c>
      <c r="T70" s="2" t="s">
        <v>227</v>
      </c>
      <c r="U70" s="2" t="s">
        <v>552</v>
      </c>
      <c r="V70" s="2" t="s">
        <v>566</v>
      </c>
      <c r="W70" s="2" t="s">
        <v>231</v>
      </c>
      <c r="X70" s="2" t="s">
        <v>227</v>
      </c>
      <c r="Y70" s="2" t="s">
        <v>642</v>
      </c>
      <c r="Z70" s="4">
        <v>375</v>
      </c>
      <c r="AA70" s="4">
        <f>=ROUNDDOWN(187.5,0)</f>
      </c>
      <c r="AB70" s="5">
        <v>2</v>
      </c>
      <c r="AC70" s="2" t="s">
        <v>227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227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227</v>
      </c>
      <c r="AW70" s="8" t="s">
        <v>227</v>
      </c>
      <c r="AX70" s="4" t="s">
        <v>227</v>
      </c>
      <c r="AY70" s="8" t="s">
        <v>227</v>
      </c>
      <c r="AZ70" s="7" t="s">
        <v>227</v>
      </c>
      <c r="BA70" s="7" t="s">
        <v>227</v>
      </c>
      <c r="BB70" s="7"/>
      <c r="BC70" s="4" t="s">
        <v>227</v>
      </c>
      <c r="BD70" s="8" t="s">
        <v>227</v>
      </c>
      <c r="BE70" s="4" t="s">
        <v>227</v>
      </c>
      <c r="BF70" s="8" t="s">
        <v>227</v>
      </c>
      <c r="BG70" s="7" t="s">
        <v>227</v>
      </c>
      <c r="BH70" s="7" t="s">
        <v>227</v>
      </c>
      <c r="BI70" s="7"/>
      <c r="BJ70" s="4">
        <v>7</v>
      </c>
      <c r="BK70" s="8">
        <v>316.62</v>
      </c>
      <c r="BL70" s="2" t="s">
        <v>654</v>
      </c>
      <c r="BM70" s="7"/>
      <c r="BN70" s="7"/>
      <c r="BO70" s="4"/>
      <c r="BP70" s="8"/>
      <c r="BQ70" s="4"/>
      <c r="BR70" s="8"/>
      <c r="BS70" s="7"/>
      <c r="BT70" s="7"/>
      <c r="BU70" s="2" t="s">
        <v>655</v>
      </c>
      <c r="BV70" s="2" t="s">
        <v>227</v>
      </c>
      <c r="BW70" s="2" t="s">
        <v>227</v>
      </c>
      <c r="BX70" s="2" t="s">
        <v>235</v>
      </c>
      <c r="BY70" s="2" t="s">
        <v>236</v>
      </c>
      <c r="BZ70" s="2" t="s">
        <v>224</v>
      </c>
      <c r="CA70" s="2" t="s">
        <v>644</v>
      </c>
      <c r="CB70" s="2" t="s">
        <v>227</v>
      </c>
      <c r="CC70" s="2" t="s">
        <v>239</v>
      </c>
      <c r="CD70" s="2" t="s">
        <v>227</v>
      </c>
      <c r="CE70" s="4">
        <v>375</v>
      </c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</row>
    <row r="71">
      <c r="A71" s="2" t="s">
        <v>656</v>
      </c>
      <c r="B71" s="2" t="s">
        <v>635</v>
      </c>
      <c r="C71" s="2" t="s">
        <v>636</v>
      </c>
      <c r="D71" s="2" t="s">
        <v>637</v>
      </c>
      <c r="E71" s="2" t="s">
        <v>638</v>
      </c>
      <c r="F71" s="2" t="s">
        <v>639</v>
      </c>
      <c r="G71" s="2" t="s">
        <v>639</v>
      </c>
      <c r="H71" s="2" t="s">
        <v>639</v>
      </c>
      <c r="I71" s="2" t="s">
        <v>640</v>
      </c>
      <c r="J71" s="2" t="s">
        <v>641</v>
      </c>
      <c r="K71" s="2" t="s">
        <v>657</v>
      </c>
      <c r="L71" s="3">
        <v>22.49</v>
      </c>
      <c r="M71" s="3">
        <v>23.61</v>
      </c>
      <c r="N71" s="3">
        <v>49.99</v>
      </c>
      <c r="O71" s="2" t="s">
        <v>224</v>
      </c>
      <c r="P71" s="2" t="s">
        <v>225</v>
      </c>
      <c r="Q71" s="2" t="s">
        <v>226</v>
      </c>
      <c r="R71" s="2" t="s">
        <v>227</v>
      </c>
      <c r="S71" s="2" t="s">
        <v>227</v>
      </c>
      <c r="T71" s="2" t="s">
        <v>227</v>
      </c>
      <c r="U71" s="2" t="s">
        <v>552</v>
      </c>
      <c r="V71" s="2" t="s">
        <v>566</v>
      </c>
      <c r="W71" s="2" t="s">
        <v>231</v>
      </c>
      <c r="X71" s="2" t="s">
        <v>227</v>
      </c>
      <c r="Y71" s="2" t="s">
        <v>642</v>
      </c>
      <c r="Z71" s="4">
        <v>152</v>
      </c>
      <c r="AA71" s="4">
        <f>=ROUNDDOWN(304,0)</f>
      </c>
      <c r="AB71" s="5">
        <v>0.5</v>
      </c>
      <c r="AC71" s="2" t="s">
        <v>227</v>
      </c>
      <c r="AD71" s="4"/>
      <c r="AE71" s="4"/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227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227</v>
      </c>
      <c r="AW71" s="8" t="s">
        <v>227</v>
      </c>
      <c r="AX71" s="4" t="s">
        <v>227</v>
      </c>
      <c r="AY71" s="8" t="s">
        <v>227</v>
      </c>
      <c r="AZ71" s="7" t="s">
        <v>227</v>
      </c>
      <c r="BA71" s="7" t="s">
        <v>227</v>
      </c>
      <c r="BB71" s="7"/>
      <c r="BC71" s="4" t="s">
        <v>227</v>
      </c>
      <c r="BD71" s="8" t="s">
        <v>227</v>
      </c>
      <c r="BE71" s="4" t="s">
        <v>227</v>
      </c>
      <c r="BF71" s="8" t="s">
        <v>227</v>
      </c>
      <c r="BG71" s="7" t="s">
        <v>227</v>
      </c>
      <c r="BH71" s="7" t="s">
        <v>227</v>
      </c>
      <c r="BI71" s="7"/>
      <c r="BJ71" s="4">
        <v>9</v>
      </c>
      <c r="BK71" s="8">
        <v>305.91</v>
      </c>
      <c r="BL71" s="2" t="s">
        <v>498</v>
      </c>
      <c r="BM71" s="7"/>
      <c r="BN71" s="7"/>
      <c r="BO71" s="4"/>
      <c r="BP71" s="8"/>
      <c r="BQ71" s="4"/>
      <c r="BR71" s="8"/>
      <c r="BS71" s="7"/>
      <c r="BT71" s="7"/>
      <c r="BU71" s="2" t="s">
        <v>658</v>
      </c>
      <c r="BV71" s="2" t="s">
        <v>227</v>
      </c>
      <c r="BW71" s="2" t="s">
        <v>227</v>
      </c>
      <c r="BX71" s="2" t="s">
        <v>235</v>
      </c>
      <c r="BY71" s="2" t="s">
        <v>236</v>
      </c>
      <c r="BZ71" s="2" t="s">
        <v>224</v>
      </c>
      <c r="CA71" s="2" t="s">
        <v>644</v>
      </c>
      <c r="CB71" s="2" t="s">
        <v>659</v>
      </c>
      <c r="CC71" s="2" t="s">
        <v>239</v>
      </c>
      <c r="CD71" s="2" t="s">
        <v>227</v>
      </c>
      <c r="CE71" s="4">
        <v>152</v>
      </c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</row>
    <row r="72">
      <c r="A72" s="2" t="s">
        <v>660</v>
      </c>
      <c r="B72" s="2" t="s">
        <v>635</v>
      </c>
      <c r="C72" s="2" t="s">
        <v>636</v>
      </c>
      <c r="D72" s="2" t="s">
        <v>637</v>
      </c>
      <c r="E72" s="2" t="s">
        <v>638</v>
      </c>
      <c r="F72" s="2" t="s">
        <v>639</v>
      </c>
      <c r="G72" s="2" t="s">
        <v>639</v>
      </c>
      <c r="H72" s="2" t="s">
        <v>639</v>
      </c>
      <c r="I72" s="2" t="s">
        <v>647</v>
      </c>
      <c r="J72" s="2" t="s">
        <v>648</v>
      </c>
      <c r="K72" s="2" t="s">
        <v>657</v>
      </c>
      <c r="L72" s="3">
        <v>26.14</v>
      </c>
      <c r="M72" s="3">
        <v>27.45</v>
      </c>
      <c r="N72" s="3">
        <v>57.99</v>
      </c>
      <c r="O72" s="2" t="s">
        <v>224</v>
      </c>
      <c r="P72" s="2" t="s">
        <v>225</v>
      </c>
      <c r="Q72" s="2" t="s">
        <v>226</v>
      </c>
      <c r="R72" s="2" t="s">
        <v>227</v>
      </c>
      <c r="S72" s="2" t="s">
        <v>227</v>
      </c>
      <c r="T72" s="2" t="s">
        <v>227</v>
      </c>
      <c r="U72" s="2" t="s">
        <v>552</v>
      </c>
      <c r="V72" s="2" t="s">
        <v>566</v>
      </c>
      <c r="W72" s="2" t="s">
        <v>231</v>
      </c>
      <c r="X72" s="2" t="s">
        <v>227</v>
      </c>
      <c r="Y72" s="2" t="s">
        <v>642</v>
      </c>
      <c r="Z72" s="4">
        <v>254</v>
      </c>
      <c r="AA72" s="4">
        <f>=ROUNDDOWN(127,0)</f>
      </c>
      <c r="AB72" s="5">
        <v>2</v>
      </c>
      <c r="AC72" s="2" t="s">
        <v>227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227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227</v>
      </c>
      <c r="AW72" s="8" t="s">
        <v>227</v>
      </c>
      <c r="AX72" s="4" t="s">
        <v>227</v>
      </c>
      <c r="AY72" s="8" t="s">
        <v>227</v>
      </c>
      <c r="AZ72" s="7" t="s">
        <v>227</v>
      </c>
      <c r="BA72" s="7" t="s">
        <v>227</v>
      </c>
      <c r="BB72" s="7"/>
      <c r="BC72" s="4" t="s">
        <v>227</v>
      </c>
      <c r="BD72" s="8" t="s">
        <v>227</v>
      </c>
      <c r="BE72" s="4" t="s">
        <v>227</v>
      </c>
      <c r="BF72" s="8" t="s">
        <v>227</v>
      </c>
      <c r="BG72" s="7" t="s">
        <v>227</v>
      </c>
      <c r="BH72" s="7" t="s">
        <v>227</v>
      </c>
      <c r="BI72" s="7"/>
      <c r="BJ72" s="4">
        <v>12</v>
      </c>
      <c r="BK72" s="8">
        <v>429.07</v>
      </c>
      <c r="BL72" s="2" t="s">
        <v>654</v>
      </c>
      <c r="BM72" s="7"/>
      <c r="BN72" s="7"/>
      <c r="BO72" s="4"/>
      <c r="BP72" s="8"/>
      <c r="BQ72" s="4"/>
      <c r="BR72" s="8"/>
      <c r="BS72" s="7"/>
      <c r="BT72" s="7"/>
      <c r="BU72" s="2" t="s">
        <v>661</v>
      </c>
      <c r="BV72" s="2" t="s">
        <v>227</v>
      </c>
      <c r="BW72" s="2" t="s">
        <v>227</v>
      </c>
      <c r="BX72" s="2" t="s">
        <v>235</v>
      </c>
      <c r="BY72" s="2" t="s">
        <v>236</v>
      </c>
      <c r="BZ72" s="2" t="s">
        <v>224</v>
      </c>
      <c r="CA72" s="2" t="s">
        <v>644</v>
      </c>
      <c r="CB72" s="2" t="s">
        <v>662</v>
      </c>
      <c r="CC72" s="2" t="s">
        <v>239</v>
      </c>
      <c r="CD72" s="2" t="s">
        <v>227</v>
      </c>
      <c r="CE72" s="4">
        <v>254</v>
      </c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</row>
    <row r="73">
      <c r="A73" s="2" t="s">
        <v>663</v>
      </c>
      <c r="B73" s="2" t="s">
        <v>635</v>
      </c>
      <c r="C73" s="2" t="s">
        <v>636</v>
      </c>
      <c r="D73" s="2" t="s">
        <v>637</v>
      </c>
      <c r="E73" s="2" t="s">
        <v>638</v>
      </c>
      <c r="F73" s="2" t="s">
        <v>639</v>
      </c>
      <c r="G73" s="2" t="s">
        <v>639</v>
      </c>
      <c r="H73" s="2" t="s">
        <v>639</v>
      </c>
      <c r="I73" s="2" t="s">
        <v>652</v>
      </c>
      <c r="J73" s="2" t="s">
        <v>653</v>
      </c>
      <c r="K73" s="2" t="s">
        <v>657</v>
      </c>
      <c r="L73" s="3">
        <v>34.46</v>
      </c>
      <c r="M73" s="3">
        <v>36.18</v>
      </c>
      <c r="N73" s="3">
        <v>76.99</v>
      </c>
      <c r="O73" s="2" t="s">
        <v>224</v>
      </c>
      <c r="P73" s="2" t="s">
        <v>225</v>
      </c>
      <c r="Q73" s="2" t="s">
        <v>226</v>
      </c>
      <c r="R73" s="2" t="s">
        <v>227</v>
      </c>
      <c r="S73" s="2" t="s">
        <v>227</v>
      </c>
      <c r="T73" s="2" t="s">
        <v>227</v>
      </c>
      <c r="U73" s="2" t="s">
        <v>552</v>
      </c>
      <c r="V73" s="2" t="s">
        <v>566</v>
      </c>
      <c r="W73" s="2" t="s">
        <v>231</v>
      </c>
      <c r="X73" s="2" t="s">
        <v>227</v>
      </c>
      <c r="Y73" s="2" t="s">
        <v>642</v>
      </c>
      <c r="Z73" s="4">
        <v>88</v>
      </c>
      <c r="AA73" s="4">
        <f>=ROUNDDOWN(88,0)</f>
      </c>
      <c r="AB73" s="5">
        <v>1</v>
      </c>
      <c r="AC73" s="2" t="s">
        <v>227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227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227</v>
      </c>
      <c r="AW73" s="8" t="s">
        <v>227</v>
      </c>
      <c r="AX73" s="4" t="s">
        <v>227</v>
      </c>
      <c r="AY73" s="8" t="s">
        <v>227</v>
      </c>
      <c r="AZ73" s="7" t="s">
        <v>227</v>
      </c>
      <c r="BA73" s="7" t="s">
        <v>227</v>
      </c>
      <c r="BB73" s="7"/>
      <c r="BC73" s="4" t="s">
        <v>227</v>
      </c>
      <c r="BD73" s="8" t="s">
        <v>227</v>
      </c>
      <c r="BE73" s="4" t="s">
        <v>227</v>
      </c>
      <c r="BF73" s="8" t="s">
        <v>227</v>
      </c>
      <c r="BG73" s="7" t="s">
        <v>227</v>
      </c>
      <c r="BH73" s="7" t="s">
        <v>227</v>
      </c>
      <c r="BI73" s="7"/>
      <c r="BJ73" s="4">
        <v>9</v>
      </c>
      <c r="BK73" s="8">
        <v>420.66</v>
      </c>
      <c r="BL73" s="2" t="s">
        <v>664</v>
      </c>
      <c r="BM73" s="7"/>
      <c r="BN73" s="7"/>
      <c r="BO73" s="4"/>
      <c r="BP73" s="8"/>
      <c r="BQ73" s="4"/>
      <c r="BR73" s="8"/>
      <c r="BS73" s="7"/>
      <c r="BT73" s="7"/>
      <c r="BU73" s="2" t="s">
        <v>665</v>
      </c>
      <c r="BV73" s="2" t="s">
        <v>227</v>
      </c>
      <c r="BW73" s="2" t="s">
        <v>227</v>
      </c>
      <c r="BX73" s="2" t="s">
        <v>235</v>
      </c>
      <c r="BY73" s="2" t="s">
        <v>236</v>
      </c>
      <c r="BZ73" s="2" t="s">
        <v>224</v>
      </c>
      <c r="CA73" s="2" t="s">
        <v>644</v>
      </c>
      <c r="CB73" s="2" t="s">
        <v>645</v>
      </c>
      <c r="CC73" s="2" t="s">
        <v>239</v>
      </c>
      <c r="CD73" s="2" t="s">
        <v>227</v>
      </c>
      <c r="CE73" s="4">
        <v>88</v>
      </c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</row>
    <row r="74">
      <c r="A74" s="2" t="s">
        <v>666</v>
      </c>
      <c r="B74" s="2" t="s">
        <v>667</v>
      </c>
      <c r="C74" s="2" t="s">
        <v>668</v>
      </c>
      <c r="D74" s="2" t="s">
        <v>620</v>
      </c>
      <c r="E74" s="2" t="s">
        <v>669</v>
      </c>
      <c r="F74" s="2" t="s">
        <v>670</v>
      </c>
      <c r="G74" s="2" t="s">
        <v>670</v>
      </c>
      <c r="H74" s="2" t="s">
        <v>670</v>
      </c>
      <c r="I74" s="2" t="s">
        <v>671</v>
      </c>
      <c r="J74" s="2" t="s">
        <v>626</v>
      </c>
      <c r="K74" s="2" t="s">
        <v>672</v>
      </c>
      <c r="L74" s="3">
        <v>44.1</v>
      </c>
      <c r="M74" s="3">
        <v>46.3</v>
      </c>
      <c r="N74" s="3">
        <v>89.99</v>
      </c>
      <c r="O74" s="2" t="s">
        <v>224</v>
      </c>
      <c r="P74" s="2" t="s">
        <v>225</v>
      </c>
      <c r="Q74" s="2" t="s">
        <v>226</v>
      </c>
      <c r="R74" s="2" t="s">
        <v>227</v>
      </c>
      <c r="S74" s="2" t="s">
        <v>673</v>
      </c>
      <c r="T74" s="2" t="s">
        <v>286</v>
      </c>
      <c r="U74" s="2" t="s">
        <v>674</v>
      </c>
      <c r="V74" s="2" t="s">
        <v>675</v>
      </c>
      <c r="W74" s="2" t="s">
        <v>676</v>
      </c>
      <c r="X74" s="2" t="s">
        <v>677</v>
      </c>
      <c r="Y74" s="2" t="s">
        <v>232</v>
      </c>
      <c r="Z74" s="4">
        <v>187</v>
      </c>
      <c r="AA74" s="4">
        <f>=ROUNDDOWN(37.4,0)</f>
      </c>
      <c r="AB74" s="5">
        <v>5</v>
      </c>
      <c r="AC74" s="2" t="s">
        <v>227</v>
      </c>
      <c r="AD74" s="4"/>
      <c r="AE74" s="4"/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227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227</v>
      </c>
      <c r="AW74" s="8" t="s">
        <v>227</v>
      </c>
      <c r="AX74" s="4" t="s">
        <v>227</v>
      </c>
      <c r="AY74" s="8" t="s">
        <v>227</v>
      </c>
      <c r="AZ74" s="7" t="s">
        <v>227</v>
      </c>
      <c r="BA74" s="7" t="s">
        <v>227</v>
      </c>
      <c r="BB74" s="7"/>
      <c r="BC74" s="4" t="s">
        <v>227</v>
      </c>
      <c r="BD74" s="8" t="s">
        <v>227</v>
      </c>
      <c r="BE74" s="4" t="s">
        <v>227</v>
      </c>
      <c r="BF74" s="8" t="s">
        <v>227</v>
      </c>
      <c r="BG74" s="7" t="s">
        <v>227</v>
      </c>
      <c r="BH74" s="7" t="s">
        <v>227</v>
      </c>
      <c r="BI74" s="7"/>
      <c r="BJ74" s="4">
        <v>7</v>
      </c>
      <c r="BK74" s="8">
        <v>345.3</v>
      </c>
      <c r="BL74" s="2" t="s">
        <v>312</v>
      </c>
      <c r="BM74" s="7"/>
      <c r="BN74" s="7"/>
      <c r="BO74" s="4"/>
      <c r="BP74" s="8"/>
      <c r="BQ74" s="4"/>
      <c r="BR74" s="8"/>
      <c r="BS74" s="7"/>
      <c r="BT74" s="7"/>
      <c r="BU74" s="2" t="s">
        <v>678</v>
      </c>
      <c r="BV74" s="2" t="s">
        <v>227</v>
      </c>
      <c r="BW74" s="2" t="s">
        <v>227</v>
      </c>
      <c r="BX74" s="2" t="s">
        <v>235</v>
      </c>
      <c r="BY74" s="2" t="s">
        <v>236</v>
      </c>
      <c r="BZ74" s="2" t="s">
        <v>224</v>
      </c>
      <c r="CA74" s="2" t="s">
        <v>679</v>
      </c>
      <c r="CB74" s="2" t="s">
        <v>680</v>
      </c>
      <c r="CC74" s="2" t="s">
        <v>239</v>
      </c>
      <c r="CD74" s="2" t="s">
        <v>227</v>
      </c>
      <c r="CE74" s="4">
        <v>157</v>
      </c>
      <c r="CF74" s="4">
        <v>7</v>
      </c>
      <c r="CG74" s="4"/>
      <c r="CH74" s="4">
        <v>23</v>
      </c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</row>
    <row r="75">
      <c r="A75" s="2" t="s">
        <v>681</v>
      </c>
      <c r="B75" s="2" t="s">
        <v>667</v>
      </c>
      <c r="C75" s="2" t="s">
        <v>668</v>
      </c>
      <c r="D75" s="2" t="s">
        <v>620</v>
      </c>
      <c r="E75" s="2" t="s">
        <v>669</v>
      </c>
      <c r="F75" s="2" t="s">
        <v>670</v>
      </c>
      <c r="G75" s="2" t="s">
        <v>670</v>
      </c>
      <c r="H75" s="2" t="s">
        <v>670</v>
      </c>
      <c r="I75" s="2" t="s">
        <v>671</v>
      </c>
      <c r="J75" s="2" t="s">
        <v>682</v>
      </c>
      <c r="K75" s="2" t="s">
        <v>672</v>
      </c>
      <c r="L75" s="3">
        <v>58.5</v>
      </c>
      <c r="M75" s="3">
        <v>61.42</v>
      </c>
      <c r="N75" s="3">
        <v>119.99</v>
      </c>
      <c r="O75" s="2" t="s">
        <v>224</v>
      </c>
      <c r="P75" s="2" t="s">
        <v>225</v>
      </c>
      <c r="Q75" s="2" t="s">
        <v>226</v>
      </c>
      <c r="R75" s="2" t="s">
        <v>227</v>
      </c>
      <c r="S75" s="2" t="s">
        <v>673</v>
      </c>
      <c r="T75" s="2" t="s">
        <v>286</v>
      </c>
      <c r="U75" s="2" t="s">
        <v>674</v>
      </c>
      <c r="V75" s="2" t="s">
        <v>675</v>
      </c>
      <c r="W75" s="2" t="s">
        <v>676</v>
      </c>
      <c r="X75" s="2" t="s">
        <v>677</v>
      </c>
      <c r="Y75" s="2" t="s">
        <v>232</v>
      </c>
      <c r="Z75" s="4">
        <v>134</v>
      </c>
      <c r="AA75" s="4">
        <f>=ROUNDDOWN(33.5,0)</f>
      </c>
      <c r="AB75" s="5">
        <v>4</v>
      </c>
      <c r="AC75" s="2" t="s">
        <v>227</v>
      </c>
      <c r="AD75" s="4"/>
      <c r="AE75" s="4"/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227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227</v>
      </c>
      <c r="AW75" s="8" t="s">
        <v>227</v>
      </c>
      <c r="AX75" s="4" t="s">
        <v>227</v>
      </c>
      <c r="AY75" s="8" t="s">
        <v>227</v>
      </c>
      <c r="AZ75" s="7" t="s">
        <v>227</v>
      </c>
      <c r="BA75" s="7" t="s">
        <v>227</v>
      </c>
      <c r="BB75" s="7"/>
      <c r="BC75" s="4" t="s">
        <v>227</v>
      </c>
      <c r="BD75" s="8" t="s">
        <v>227</v>
      </c>
      <c r="BE75" s="4" t="s">
        <v>227</v>
      </c>
      <c r="BF75" s="8" t="s">
        <v>227</v>
      </c>
      <c r="BG75" s="7" t="s">
        <v>227</v>
      </c>
      <c r="BH75" s="7" t="s">
        <v>227</v>
      </c>
      <c r="BI75" s="7"/>
      <c r="BJ75" s="4">
        <v>6</v>
      </c>
      <c r="BK75" s="8">
        <v>429.58</v>
      </c>
      <c r="BL75" s="2" t="s">
        <v>683</v>
      </c>
      <c r="BM75" s="7"/>
      <c r="BN75" s="7"/>
      <c r="BO75" s="4"/>
      <c r="BP75" s="8"/>
      <c r="BQ75" s="4"/>
      <c r="BR75" s="8"/>
      <c r="BS75" s="7"/>
      <c r="BT75" s="7"/>
      <c r="BU75" s="2" t="s">
        <v>684</v>
      </c>
      <c r="BV75" s="2" t="s">
        <v>227</v>
      </c>
      <c r="BW75" s="2" t="s">
        <v>227</v>
      </c>
      <c r="BX75" s="2" t="s">
        <v>235</v>
      </c>
      <c r="BY75" s="2" t="s">
        <v>236</v>
      </c>
      <c r="BZ75" s="2" t="s">
        <v>224</v>
      </c>
      <c r="CA75" s="2" t="s">
        <v>679</v>
      </c>
      <c r="CB75" s="2" t="s">
        <v>685</v>
      </c>
      <c r="CC75" s="2" t="s">
        <v>239</v>
      </c>
      <c r="CD75" s="2" t="s">
        <v>227</v>
      </c>
      <c r="CE75" s="4">
        <v>84</v>
      </c>
      <c r="CF75" s="4">
        <v>34</v>
      </c>
      <c r="CG75" s="4"/>
      <c r="CH75" s="4">
        <v>16</v>
      </c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</row>
    <row r="76">
      <c r="A76" s="2" t="s">
        <v>686</v>
      </c>
      <c r="B76" s="2" t="s">
        <v>667</v>
      </c>
      <c r="C76" s="2" t="s">
        <v>668</v>
      </c>
      <c r="D76" s="2" t="s">
        <v>687</v>
      </c>
      <c r="E76" s="2" t="s">
        <v>688</v>
      </c>
      <c r="F76" s="2" t="s">
        <v>670</v>
      </c>
      <c r="G76" s="2" t="s">
        <v>670</v>
      </c>
      <c r="H76" s="2" t="s">
        <v>670</v>
      </c>
      <c r="I76" s="2" t="s">
        <v>689</v>
      </c>
      <c r="J76" s="2" t="s">
        <v>626</v>
      </c>
      <c r="K76" s="2" t="s">
        <v>627</v>
      </c>
      <c r="L76" s="3">
        <v>54</v>
      </c>
      <c r="M76" s="3">
        <v>56.7</v>
      </c>
      <c r="N76" s="3">
        <v>109.99</v>
      </c>
      <c r="O76" s="2" t="s">
        <v>224</v>
      </c>
      <c r="P76" s="2" t="s">
        <v>485</v>
      </c>
      <c r="Q76" s="2" t="s">
        <v>226</v>
      </c>
      <c r="R76" s="2" t="s">
        <v>227</v>
      </c>
      <c r="S76" s="2" t="s">
        <v>690</v>
      </c>
      <c r="T76" s="2" t="s">
        <v>286</v>
      </c>
      <c r="U76" s="2" t="s">
        <v>674</v>
      </c>
      <c r="V76" s="2" t="s">
        <v>675</v>
      </c>
      <c r="W76" s="2" t="s">
        <v>676</v>
      </c>
      <c r="X76" s="2" t="s">
        <v>677</v>
      </c>
      <c r="Y76" s="2" t="s">
        <v>232</v>
      </c>
      <c r="Z76" s="4">
        <v>212</v>
      </c>
      <c r="AA76" s="4">
        <f>=ROUNDDOWN(26.5,0)</f>
      </c>
      <c r="AB76" s="5">
        <v>8</v>
      </c>
      <c r="AC76" s="2" t="s">
        <v>153</v>
      </c>
      <c r="AD76" s="4">
        <v>100</v>
      </c>
      <c r="AE76" s="4">
        <v>300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227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227</v>
      </c>
      <c r="AW76" s="8" t="s">
        <v>227</v>
      </c>
      <c r="AX76" s="4" t="s">
        <v>227</v>
      </c>
      <c r="AY76" s="8" t="s">
        <v>227</v>
      </c>
      <c r="AZ76" s="7" t="s">
        <v>227</v>
      </c>
      <c r="BA76" s="7" t="s">
        <v>227</v>
      </c>
      <c r="BB76" s="7" t="s">
        <v>227</v>
      </c>
      <c r="BC76" s="4" t="s">
        <v>227</v>
      </c>
      <c r="BD76" s="8" t="s">
        <v>227</v>
      </c>
      <c r="BE76" s="4" t="s">
        <v>227</v>
      </c>
      <c r="BF76" s="8" t="s">
        <v>227</v>
      </c>
      <c r="BG76" s="7" t="s">
        <v>227</v>
      </c>
      <c r="BH76" s="7" t="s">
        <v>227</v>
      </c>
      <c r="BI76" s="7"/>
      <c r="BJ76" s="4">
        <v>24</v>
      </c>
      <c r="BK76" s="8">
        <v>1524.97</v>
      </c>
      <c r="BL76" s="2" t="s">
        <v>312</v>
      </c>
      <c r="BM76" s="7"/>
      <c r="BN76" s="7"/>
      <c r="BO76" s="4"/>
      <c r="BP76" s="8"/>
      <c r="BQ76" s="4"/>
      <c r="BR76" s="8"/>
      <c r="BS76" s="7"/>
      <c r="BT76" s="7"/>
      <c r="BU76" s="2" t="s">
        <v>691</v>
      </c>
      <c r="BV76" s="2" t="s">
        <v>227</v>
      </c>
      <c r="BW76" s="2" t="s">
        <v>227</v>
      </c>
      <c r="BX76" s="2" t="s">
        <v>235</v>
      </c>
      <c r="BY76" s="2" t="s">
        <v>236</v>
      </c>
      <c r="BZ76" s="2" t="s">
        <v>224</v>
      </c>
      <c r="CA76" s="2" t="s">
        <v>679</v>
      </c>
      <c r="CB76" s="2" t="s">
        <v>680</v>
      </c>
      <c r="CC76" s="2" t="s">
        <v>239</v>
      </c>
      <c r="CD76" s="2" t="s">
        <v>227</v>
      </c>
      <c r="CE76" s="4">
        <v>166</v>
      </c>
      <c r="CF76" s="4"/>
      <c r="CG76" s="4"/>
      <c r="CH76" s="4">
        <v>46</v>
      </c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>
        <v>100</v>
      </c>
      <c r="EP76" s="4"/>
      <c r="EQ76" s="4">
        <v>200</v>
      </c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</row>
    <row r="77">
      <c r="A77" s="2" t="s">
        <v>692</v>
      </c>
      <c r="B77" s="2" t="s">
        <v>667</v>
      </c>
      <c r="C77" s="2" t="s">
        <v>668</v>
      </c>
      <c r="D77" s="2" t="s">
        <v>620</v>
      </c>
      <c r="E77" s="2" t="s">
        <v>669</v>
      </c>
      <c r="F77" s="2" t="s">
        <v>670</v>
      </c>
      <c r="G77" s="2" t="s">
        <v>670</v>
      </c>
      <c r="H77" s="2" t="s">
        <v>670</v>
      </c>
      <c r="I77" s="2" t="s">
        <v>671</v>
      </c>
      <c r="J77" s="2" t="s">
        <v>626</v>
      </c>
      <c r="K77" s="2" t="s">
        <v>627</v>
      </c>
      <c r="L77" s="3">
        <v>44.1</v>
      </c>
      <c r="M77" s="3">
        <v>46.3</v>
      </c>
      <c r="N77" s="3">
        <v>89.99</v>
      </c>
      <c r="O77" s="2" t="s">
        <v>224</v>
      </c>
      <c r="P77" s="2" t="s">
        <v>225</v>
      </c>
      <c r="Q77" s="2" t="s">
        <v>226</v>
      </c>
      <c r="R77" s="2" t="s">
        <v>227</v>
      </c>
      <c r="S77" s="2" t="s">
        <v>690</v>
      </c>
      <c r="T77" s="2" t="s">
        <v>286</v>
      </c>
      <c r="U77" s="2" t="s">
        <v>674</v>
      </c>
      <c r="V77" s="2" t="s">
        <v>675</v>
      </c>
      <c r="W77" s="2" t="s">
        <v>676</v>
      </c>
      <c r="X77" s="2" t="s">
        <v>677</v>
      </c>
      <c r="Y77" s="2" t="s">
        <v>232</v>
      </c>
      <c r="Z77" s="4">
        <v>167</v>
      </c>
      <c r="AA77" s="4">
        <f>=ROUNDDOWN(27.8333333333333,0)</f>
      </c>
      <c r="AB77" s="5">
        <v>6</v>
      </c>
      <c r="AC77" s="2" t="s">
        <v>155</v>
      </c>
      <c r="AD77" s="4">
        <v>50</v>
      </c>
      <c r="AE77" s="4">
        <v>50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227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227</v>
      </c>
      <c r="AW77" s="8" t="s">
        <v>227</v>
      </c>
      <c r="AX77" s="4" t="s">
        <v>227</v>
      </c>
      <c r="AY77" s="8" t="s">
        <v>227</v>
      </c>
      <c r="AZ77" s="7" t="s">
        <v>227</v>
      </c>
      <c r="BA77" s="7" t="s">
        <v>227</v>
      </c>
      <c r="BB77" s="7" t="s">
        <v>227</v>
      </c>
      <c r="BC77" s="4" t="s">
        <v>227</v>
      </c>
      <c r="BD77" s="8" t="s">
        <v>227</v>
      </c>
      <c r="BE77" s="4" t="s">
        <v>227</v>
      </c>
      <c r="BF77" s="8" t="s">
        <v>227</v>
      </c>
      <c r="BG77" s="7" t="s">
        <v>227</v>
      </c>
      <c r="BH77" s="7" t="s">
        <v>227</v>
      </c>
      <c r="BI77" s="7"/>
      <c r="BJ77" s="4">
        <v>25</v>
      </c>
      <c r="BK77" s="8">
        <v>1284.8</v>
      </c>
      <c r="BL77" s="2" t="s">
        <v>693</v>
      </c>
      <c r="BM77" s="7"/>
      <c r="BN77" s="7"/>
      <c r="BO77" s="4"/>
      <c r="BP77" s="8"/>
      <c r="BQ77" s="4"/>
      <c r="BR77" s="8"/>
      <c r="BS77" s="7"/>
      <c r="BT77" s="7"/>
      <c r="BU77" s="2" t="s">
        <v>694</v>
      </c>
      <c r="BV77" s="2" t="s">
        <v>227</v>
      </c>
      <c r="BW77" s="2" t="s">
        <v>227</v>
      </c>
      <c r="BX77" s="2" t="s">
        <v>235</v>
      </c>
      <c r="BY77" s="2" t="s">
        <v>236</v>
      </c>
      <c r="BZ77" s="2" t="s">
        <v>224</v>
      </c>
      <c r="CA77" s="2" t="s">
        <v>679</v>
      </c>
      <c r="CB77" s="2" t="s">
        <v>695</v>
      </c>
      <c r="CC77" s="2" t="s">
        <v>239</v>
      </c>
      <c r="CD77" s="2" t="s">
        <v>227</v>
      </c>
      <c r="CE77" s="4">
        <v>167</v>
      </c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>
        <v>50</v>
      </c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</row>
    <row r="78">
      <c r="A78" s="2" t="s">
        <v>696</v>
      </c>
      <c r="B78" s="2" t="s">
        <v>697</v>
      </c>
      <c r="C78" s="2" t="s">
        <v>698</v>
      </c>
      <c r="D78" s="2" t="s">
        <v>687</v>
      </c>
      <c r="E78" s="2" t="s">
        <v>699</v>
      </c>
      <c r="F78" s="2" t="s">
        <v>700</v>
      </c>
      <c r="G78" s="2" t="s">
        <v>700</v>
      </c>
      <c r="H78" s="2" t="s">
        <v>700</v>
      </c>
      <c r="I78" s="2" t="s">
        <v>701</v>
      </c>
      <c r="J78" s="2" t="s">
        <v>257</v>
      </c>
      <c r="K78" s="2" t="s">
        <v>702</v>
      </c>
      <c r="L78" s="3">
        <v>63.11</v>
      </c>
      <c r="M78" s="3">
        <v>66.27</v>
      </c>
      <c r="N78" s="3">
        <v>132.99</v>
      </c>
      <c r="O78" s="2" t="s">
        <v>224</v>
      </c>
      <c r="P78" s="2" t="s">
        <v>485</v>
      </c>
      <c r="Q78" s="2" t="s">
        <v>226</v>
      </c>
      <c r="R78" s="2" t="s">
        <v>227</v>
      </c>
      <c r="S78" s="2" t="s">
        <v>703</v>
      </c>
      <c r="T78" s="2" t="s">
        <v>704</v>
      </c>
      <c r="U78" s="2" t="s">
        <v>287</v>
      </c>
      <c r="V78" s="2" t="s">
        <v>230</v>
      </c>
      <c r="W78" s="2" t="s">
        <v>705</v>
      </c>
      <c r="X78" s="2" t="s">
        <v>706</v>
      </c>
      <c r="Y78" s="2" t="s">
        <v>707</v>
      </c>
      <c r="Z78" s="4">
        <v>169</v>
      </c>
      <c r="AA78" s="4">
        <f>=ROUNDDOWN(24.8529411764706,0)</f>
      </c>
      <c r="AB78" s="5">
        <v>6.8</v>
      </c>
      <c r="AC78" s="2" t="s">
        <v>708</v>
      </c>
      <c r="AD78" s="4">
        <v>240</v>
      </c>
      <c r="AE78" s="4">
        <v>700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227</v>
      </c>
      <c r="AM78" s="4"/>
      <c r="AN78" s="4"/>
      <c r="AO78" s="7"/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/>
      <c r="BD78" s="8"/>
      <c r="BE78" s="4"/>
      <c r="BF78" s="8"/>
      <c r="BG78" s="7"/>
      <c r="BH78" s="7"/>
      <c r="BI78" s="7"/>
      <c r="BJ78" s="4">
        <v>9</v>
      </c>
      <c r="BK78" s="8">
        <v>535.03</v>
      </c>
      <c r="BL78" s="2" t="s">
        <v>709</v>
      </c>
      <c r="BM78" s="7"/>
      <c r="BN78" s="7"/>
      <c r="BO78" s="4"/>
      <c r="BP78" s="8"/>
      <c r="BQ78" s="4"/>
      <c r="BR78" s="8"/>
      <c r="BS78" s="7"/>
      <c r="BT78" s="7"/>
      <c r="BU78" s="2" t="s">
        <v>710</v>
      </c>
      <c r="BV78" s="2" t="s">
        <v>227</v>
      </c>
      <c r="BW78" s="2" t="s">
        <v>227</v>
      </c>
      <c r="BX78" s="2" t="s">
        <v>711</v>
      </c>
      <c r="BY78" s="2" t="s">
        <v>236</v>
      </c>
      <c r="BZ78" s="2" t="s">
        <v>224</v>
      </c>
      <c r="CA78" s="2" t="s">
        <v>712</v>
      </c>
      <c r="CB78" s="2" t="s">
        <v>713</v>
      </c>
      <c r="CC78" s="2" t="s">
        <v>239</v>
      </c>
      <c r="CD78" s="2" t="s">
        <v>227</v>
      </c>
      <c r="CE78" s="4">
        <v>169</v>
      </c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>
        <v>240</v>
      </c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>
        <v>300</v>
      </c>
      <c r="ES78" s="4"/>
      <c r="ET78" s="4"/>
      <c r="EU78" s="4"/>
      <c r="EV78" s="4"/>
      <c r="EW78" s="4"/>
      <c r="EX78" s="4"/>
      <c r="EY78" s="4"/>
      <c r="EZ78" s="4">
        <v>50</v>
      </c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>
        <v>110</v>
      </c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</row>
    <row r="79">
      <c r="A79" s="2" t="s">
        <v>714</v>
      </c>
      <c r="B79" s="2" t="s">
        <v>715</v>
      </c>
      <c r="C79" s="2" t="s">
        <v>360</v>
      </c>
      <c r="D79" s="2" t="s">
        <v>716</v>
      </c>
      <c r="E79" s="2" t="s">
        <v>717</v>
      </c>
      <c r="F79" s="2" t="s">
        <v>718</v>
      </c>
      <c r="G79" s="2" t="s">
        <v>719</v>
      </c>
      <c r="H79" s="2" t="s">
        <v>720</v>
      </c>
      <c r="I79" s="2" t="s">
        <v>721</v>
      </c>
      <c r="J79" s="2" t="s">
        <v>722</v>
      </c>
      <c r="K79" s="2" t="s">
        <v>223</v>
      </c>
      <c r="L79" s="3">
        <v>15.75</v>
      </c>
      <c r="M79" s="3">
        <v>16.54</v>
      </c>
      <c r="N79" s="3">
        <v>34.99</v>
      </c>
      <c r="O79" s="2" t="s">
        <v>224</v>
      </c>
      <c r="P79" s="2" t="s">
        <v>225</v>
      </c>
      <c r="Q79" s="2" t="s">
        <v>226</v>
      </c>
      <c r="R79" s="2" t="s">
        <v>227</v>
      </c>
      <c r="S79" s="2" t="s">
        <v>723</v>
      </c>
      <c r="T79" s="2" t="s">
        <v>227</v>
      </c>
      <c r="U79" s="2" t="s">
        <v>227</v>
      </c>
      <c r="V79" s="2" t="s">
        <v>724</v>
      </c>
      <c r="W79" s="2" t="s">
        <v>581</v>
      </c>
      <c r="X79" s="2" t="s">
        <v>725</v>
      </c>
      <c r="Y79" s="2" t="s">
        <v>232</v>
      </c>
      <c r="Z79" s="4">
        <v>350</v>
      </c>
      <c r="AA79" s="4">
        <f>=ROUNDDOWN(29.1666666666667,0)</f>
      </c>
      <c r="AB79" s="5">
        <v>12</v>
      </c>
      <c r="AC79" s="2" t="s">
        <v>187</v>
      </c>
      <c r="AD79" s="4">
        <v>100</v>
      </c>
      <c r="AE79" s="4">
        <v>300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227</v>
      </c>
      <c r="AM79" s="4"/>
      <c r="AN79" s="4"/>
      <c r="AO79" s="7"/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 t="s">
        <v>227</v>
      </c>
      <c r="BD79" s="8" t="s">
        <v>227</v>
      </c>
      <c r="BE79" s="4" t="s">
        <v>227</v>
      </c>
      <c r="BF79" s="8" t="s">
        <v>227</v>
      </c>
      <c r="BG79" s="7" t="s">
        <v>227</v>
      </c>
      <c r="BH79" s="7" t="s">
        <v>227</v>
      </c>
      <c r="BI79" s="7"/>
      <c r="BJ79" s="4">
        <v>39</v>
      </c>
      <c r="BK79" s="8">
        <v>659.19</v>
      </c>
      <c r="BL79" s="2" t="s">
        <v>726</v>
      </c>
      <c r="BM79" s="7"/>
      <c r="BN79" s="7"/>
      <c r="BO79" s="4"/>
      <c r="BP79" s="8"/>
      <c r="BQ79" s="4"/>
      <c r="BR79" s="8"/>
      <c r="BS79" s="7"/>
      <c r="BT79" s="7"/>
      <c r="BU79" s="2" t="s">
        <v>727</v>
      </c>
      <c r="BV79" s="2" t="s">
        <v>227</v>
      </c>
      <c r="BW79" s="2" t="s">
        <v>227</v>
      </c>
      <c r="BX79" s="2" t="s">
        <v>235</v>
      </c>
      <c r="BY79" s="2" t="s">
        <v>236</v>
      </c>
      <c r="BZ79" s="2" t="s">
        <v>224</v>
      </c>
      <c r="CA79" s="2" t="s">
        <v>237</v>
      </c>
      <c r="CB79" s="2" t="s">
        <v>728</v>
      </c>
      <c r="CC79" s="2" t="s">
        <v>239</v>
      </c>
      <c r="CD79" s="2" t="s">
        <v>227</v>
      </c>
      <c r="CE79" s="4">
        <v>350</v>
      </c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>
        <v>100</v>
      </c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>
        <v>200</v>
      </c>
      <c r="GV79" s="4"/>
      <c r="GW79" s="4"/>
      <c r="GX79" s="4"/>
    </row>
    <row r="80">
      <c r="A80" s="2" t="s">
        <v>729</v>
      </c>
      <c r="B80" s="2" t="s">
        <v>715</v>
      </c>
      <c r="C80" s="2" t="s">
        <v>360</v>
      </c>
      <c r="D80" s="2" t="s">
        <v>716</v>
      </c>
      <c r="E80" s="2" t="s">
        <v>717</v>
      </c>
      <c r="F80" s="2" t="s">
        <v>718</v>
      </c>
      <c r="G80" s="2" t="s">
        <v>719</v>
      </c>
      <c r="H80" s="2" t="s">
        <v>720</v>
      </c>
      <c r="I80" s="2" t="s">
        <v>721</v>
      </c>
      <c r="J80" s="2" t="s">
        <v>722</v>
      </c>
      <c r="K80" s="2" t="s">
        <v>410</v>
      </c>
      <c r="L80" s="3">
        <v>15.75</v>
      </c>
      <c r="M80" s="3">
        <v>16.54</v>
      </c>
      <c r="N80" s="3">
        <v>34.99</v>
      </c>
      <c r="O80" s="2" t="s">
        <v>224</v>
      </c>
      <c r="P80" s="2" t="s">
        <v>225</v>
      </c>
      <c r="Q80" s="2" t="s">
        <v>226</v>
      </c>
      <c r="R80" s="2" t="s">
        <v>227</v>
      </c>
      <c r="S80" s="2" t="s">
        <v>730</v>
      </c>
      <c r="T80" s="2" t="s">
        <v>227</v>
      </c>
      <c r="U80" s="2" t="s">
        <v>227</v>
      </c>
      <c r="V80" s="2" t="s">
        <v>724</v>
      </c>
      <c r="W80" s="2" t="s">
        <v>581</v>
      </c>
      <c r="X80" s="2" t="s">
        <v>725</v>
      </c>
      <c r="Y80" s="2" t="s">
        <v>731</v>
      </c>
      <c r="Z80" s="4">
        <v>255</v>
      </c>
      <c r="AA80" s="4">
        <f>=ROUNDDOWN(10.625,0)</f>
      </c>
      <c r="AB80" s="5">
        <v>24</v>
      </c>
      <c r="AC80" s="2" t="s">
        <v>732</v>
      </c>
      <c r="AD80" s="4">
        <v>156</v>
      </c>
      <c r="AE80" s="4">
        <v>528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227</v>
      </c>
      <c r="AM80" s="4"/>
      <c r="AN80" s="4"/>
      <c r="AO80" s="7"/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227</v>
      </c>
      <c r="BD80" s="8" t="s">
        <v>227</v>
      </c>
      <c r="BE80" s="4" t="s">
        <v>227</v>
      </c>
      <c r="BF80" s="8" t="s">
        <v>227</v>
      </c>
      <c r="BG80" s="7" t="s">
        <v>227</v>
      </c>
      <c r="BH80" s="7" t="s">
        <v>227</v>
      </c>
      <c r="BI80" s="7"/>
      <c r="BJ80" s="4">
        <v>76</v>
      </c>
      <c r="BK80" s="8">
        <v>1225.96</v>
      </c>
      <c r="BL80" s="2" t="s">
        <v>733</v>
      </c>
      <c r="BM80" s="7"/>
      <c r="BN80" s="7"/>
      <c r="BO80" s="4"/>
      <c r="BP80" s="8"/>
      <c r="BQ80" s="4"/>
      <c r="BR80" s="8"/>
      <c r="BS80" s="7"/>
      <c r="BT80" s="7"/>
      <c r="BU80" s="2" t="s">
        <v>734</v>
      </c>
      <c r="BV80" s="2" t="s">
        <v>227</v>
      </c>
      <c r="BW80" s="2" t="s">
        <v>227</v>
      </c>
      <c r="BX80" s="2" t="s">
        <v>235</v>
      </c>
      <c r="BY80" s="2" t="s">
        <v>236</v>
      </c>
      <c r="BZ80" s="2" t="s">
        <v>224</v>
      </c>
      <c r="CA80" s="2" t="s">
        <v>394</v>
      </c>
      <c r="CB80" s="2" t="s">
        <v>735</v>
      </c>
      <c r="CC80" s="2" t="s">
        <v>239</v>
      </c>
      <c r="CD80" s="2" t="s">
        <v>227</v>
      </c>
      <c r="CE80" s="4">
        <v>255</v>
      </c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>
        <v>156</v>
      </c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>
        <v>192</v>
      </c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>
        <v>180</v>
      </c>
      <c r="GV80" s="4"/>
      <c r="GW80" s="4"/>
      <c r="GX80" s="4"/>
    </row>
    <row r="81">
      <c r="A81" s="2" t="s">
        <v>736</v>
      </c>
      <c r="B81" s="2" t="s">
        <v>715</v>
      </c>
      <c r="C81" s="2" t="s">
        <v>360</v>
      </c>
      <c r="D81" s="2" t="s">
        <v>716</v>
      </c>
      <c r="E81" s="2" t="s">
        <v>717</v>
      </c>
      <c r="F81" s="2" t="s">
        <v>718</v>
      </c>
      <c r="G81" s="2" t="s">
        <v>719</v>
      </c>
      <c r="H81" s="2" t="s">
        <v>720</v>
      </c>
      <c r="I81" s="2" t="s">
        <v>721</v>
      </c>
      <c r="J81" s="2" t="s">
        <v>722</v>
      </c>
      <c r="K81" s="2" t="s">
        <v>737</v>
      </c>
      <c r="L81" s="3">
        <v>15.75</v>
      </c>
      <c r="M81" s="3">
        <v>16.54</v>
      </c>
      <c r="N81" s="3">
        <v>34.99</v>
      </c>
      <c r="O81" s="2" t="s">
        <v>224</v>
      </c>
      <c r="P81" s="2" t="s">
        <v>225</v>
      </c>
      <c r="Q81" s="2" t="s">
        <v>226</v>
      </c>
      <c r="R81" s="2" t="s">
        <v>227</v>
      </c>
      <c r="S81" s="2" t="s">
        <v>738</v>
      </c>
      <c r="T81" s="2" t="s">
        <v>227</v>
      </c>
      <c r="U81" s="2" t="s">
        <v>227</v>
      </c>
      <c r="V81" s="2" t="s">
        <v>724</v>
      </c>
      <c r="W81" s="2" t="s">
        <v>581</v>
      </c>
      <c r="X81" s="2" t="s">
        <v>725</v>
      </c>
      <c r="Y81" s="2" t="s">
        <v>232</v>
      </c>
      <c r="Z81" s="4">
        <v>425</v>
      </c>
      <c r="AA81" s="4">
        <f>=ROUNDDOWN(26.5625,0)</f>
      </c>
      <c r="AB81" s="5">
        <v>16</v>
      </c>
      <c r="AC81" s="2" t="s">
        <v>739</v>
      </c>
      <c r="AD81" s="4">
        <v>154</v>
      </c>
      <c r="AE81" s="4">
        <v>328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227</v>
      </c>
      <c r="AM81" s="4"/>
      <c r="AN81" s="4"/>
      <c r="AO81" s="7"/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227</v>
      </c>
      <c r="BD81" s="8" t="s">
        <v>227</v>
      </c>
      <c r="BE81" s="4" t="s">
        <v>227</v>
      </c>
      <c r="BF81" s="8" t="s">
        <v>227</v>
      </c>
      <c r="BG81" s="7" t="s">
        <v>227</v>
      </c>
      <c r="BH81" s="7" t="s">
        <v>227</v>
      </c>
      <c r="BI81" s="7"/>
      <c r="BJ81" s="4">
        <v>65</v>
      </c>
      <c r="BK81" s="8">
        <v>1271.94</v>
      </c>
      <c r="BL81" s="2" t="s">
        <v>740</v>
      </c>
      <c r="BM81" s="7"/>
      <c r="BN81" s="7"/>
      <c r="BO81" s="4"/>
      <c r="BP81" s="8"/>
      <c r="BQ81" s="4"/>
      <c r="BR81" s="8"/>
      <c r="BS81" s="7"/>
      <c r="BT81" s="7"/>
      <c r="BU81" s="2" t="s">
        <v>741</v>
      </c>
      <c r="BV81" s="2" t="s">
        <v>227</v>
      </c>
      <c r="BW81" s="2" t="s">
        <v>227</v>
      </c>
      <c r="BX81" s="2" t="s">
        <v>235</v>
      </c>
      <c r="BY81" s="2" t="s">
        <v>236</v>
      </c>
      <c r="BZ81" s="2" t="s">
        <v>224</v>
      </c>
      <c r="CA81" s="2" t="s">
        <v>237</v>
      </c>
      <c r="CB81" s="2" t="s">
        <v>742</v>
      </c>
      <c r="CC81" s="2" t="s">
        <v>239</v>
      </c>
      <c r="CD81" s="2" t="s">
        <v>227</v>
      </c>
      <c r="CE81" s="4">
        <v>425</v>
      </c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>
        <v>154</v>
      </c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>
        <v>174</v>
      </c>
    </row>
    <row r="82">
      <c r="A82" s="2" t="s">
        <v>743</v>
      </c>
      <c r="B82" s="2" t="s">
        <v>744</v>
      </c>
      <c r="C82" s="2" t="s">
        <v>360</v>
      </c>
      <c r="D82" s="2" t="s">
        <v>745</v>
      </c>
      <c r="E82" s="2" t="s">
        <v>746</v>
      </c>
      <c r="F82" s="2" t="s">
        <v>718</v>
      </c>
      <c r="G82" s="2" t="s">
        <v>719</v>
      </c>
      <c r="H82" s="2" t="s">
        <v>720</v>
      </c>
      <c r="I82" s="2" t="s">
        <v>747</v>
      </c>
      <c r="J82" s="2" t="s">
        <v>748</v>
      </c>
      <c r="K82" s="2" t="s">
        <v>657</v>
      </c>
      <c r="L82" s="3">
        <v>13.8</v>
      </c>
      <c r="M82" s="3">
        <v>14.49</v>
      </c>
      <c r="N82" s="3">
        <v>29.99</v>
      </c>
      <c r="O82" s="2" t="s">
        <v>224</v>
      </c>
      <c r="P82" s="2" t="s">
        <v>225</v>
      </c>
      <c r="Q82" s="2" t="s">
        <v>226</v>
      </c>
      <c r="R82" s="2" t="s">
        <v>227</v>
      </c>
      <c r="S82" s="2" t="s">
        <v>749</v>
      </c>
      <c r="T82" s="2" t="s">
        <v>286</v>
      </c>
      <c r="U82" s="2" t="s">
        <v>552</v>
      </c>
      <c r="V82" s="2" t="s">
        <v>750</v>
      </c>
      <c r="W82" s="2" t="s">
        <v>581</v>
      </c>
      <c r="X82" s="2" t="s">
        <v>227</v>
      </c>
      <c r="Y82" s="2" t="s">
        <v>751</v>
      </c>
      <c r="Z82" s="4">
        <v>155</v>
      </c>
      <c r="AA82" s="4">
        <f>=ROUNDDOWN(8.61111111111111,0)</f>
      </c>
      <c r="AB82" s="5">
        <v>18</v>
      </c>
      <c r="AC82" s="2" t="s">
        <v>752</v>
      </c>
      <c r="AD82" s="4">
        <v>378</v>
      </c>
      <c r="AE82" s="4">
        <v>378</v>
      </c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227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227</v>
      </c>
      <c r="AW82" s="8" t="s">
        <v>227</v>
      </c>
      <c r="AX82" s="4" t="s">
        <v>227</v>
      </c>
      <c r="AY82" s="8" t="s">
        <v>227</v>
      </c>
      <c r="AZ82" s="7" t="s">
        <v>227</v>
      </c>
      <c r="BA82" s="7" t="s">
        <v>227</v>
      </c>
      <c r="BB82" s="7"/>
      <c r="BC82" s="4" t="s">
        <v>227</v>
      </c>
      <c r="BD82" s="8" t="s">
        <v>227</v>
      </c>
      <c r="BE82" s="4" t="s">
        <v>227</v>
      </c>
      <c r="BF82" s="8" t="s">
        <v>227</v>
      </c>
      <c r="BG82" s="7" t="s">
        <v>227</v>
      </c>
      <c r="BH82" s="7" t="s">
        <v>227</v>
      </c>
      <c r="BI82" s="7"/>
      <c r="BJ82" s="4">
        <v>93</v>
      </c>
      <c r="BK82" s="8">
        <v>1374.57</v>
      </c>
      <c r="BL82" s="2" t="s">
        <v>753</v>
      </c>
      <c r="BM82" s="7"/>
      <c r="BN82" s="7"/>
      <c r="BO82" s="4"/>
      <c r="BP82" s="8"/>
      <c r="BQ82" s="4"/>
      <c r="BR82" s="8"/>
      <c r="BS82" s="7"/>
      <c r="BT82" s="7"/>
      <c r="BU82" s="2" t="s">
        <v>754</v>
      </c>
      <c r="BV82" s="2" t="s">
        <v>227</v>
      </c>
      <c r="BW82" s="2" t="s">
        <v>227</v>
      </c>
      <c r="BX82" s="2" t="s">
        <v>235</v>
      </c>
      <c r="BY82" s="2" t="s">
        <v>236</v>
      </c>
      <c r="BZ82" s="2" t="s">
        <v>224</v>
      </c>
      <c r="CA82" s="2" t="s">
        <v>755</v>
      </c>
      <c r="CB82" s="2" t="s">
        <v>756</v>
      </c>
      <c r="CC82" s="2" t="s">
        <v>239</v>
      </c>
      <c r="CD82" s="2" t="s">
        <v>227</v>
      </c>
      <c r="CE82" s="4">
        <v>155</v>
      </c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>
        <v>378</v>
      </c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</row>
    <row r="83">
      <c r="A83" s="2" t="s">
        <v>757</v>
      </c>
      <c r="B83" s="2" t="s">
        <v>744</v>
      </c>
      <c r="C83" s="2" t="s">
        <v>360</v>
      </c>
      <c r="D83" s="2" t="s">
        <v>745</v>
      </c>
      <c r="E83" s="2" t="s">
        <v>746</v>
      </c>
      <c r="F83" s="2" t="s">
        <v>718</v>
      </c>
      <c r="G83" s="2" t="s">
        <v>719</v>
      </c>
      <c r="H83" s="2" t="s">
        <v>720</v>
      </c>
      <c r="I83" s="2" t="s">
        <v>747</v>
      </c>
      <c r="J83" s="2" t="s">
        <v>758</v>
      </c>
      <c r="K83" s="2" t="s">
        <v>657</v>
      </c>
      <c r="L83" s="3">
        <v>20.64</v>
      </c>
      <c r="M83" s="3">
        <v>21.67</v>
      </c>
      <c r="N83" s="3">
        <v>42.99</v>
      </c>
      <c r="O83" s="2" t="s">
        <v>224</v>
      </c>
      <c r="P83" s="2" t="s">
        <v>225</v>
      </c>
      <c r="Q83" s="2" t="s">
        <v>226</v>
      </c>
      <c r="R83" s="2" t="s">
        <v>227</v>
      </c>
      <c r="S83" s="2" t="s">
        <v>749</v>
      </c>
      <c r="T83" s="2" t="s">
        <v>286</v>
      </c>
      <c r="U83" s="2" t="s">
        <v>552</v>
      </c>
      <c r="V83" s="2" t="s">
        <v>750</v>
      </c>
      <c r="W83" s="2" t="s">
        <v>581</v>
      </c>
      <c r="X83" s="2" t="s">
        <v>227</v>
      </c>
      <c r="Y83" s="2" t="s">
        <v>751</v>
      </c>
      <c r="Z83" s="4">
        <v>244</v>
      </c>
      <c r="AA83" s="4">
        <f>=ROUNDDOWN(27.1111111111111,0)</f>
      </c>
      <c r="AB83" s="5">
        <v>9</v>
      </c>
      <c r="AC83" s="2" t="s">
        <v>752</v>
      </c>
      <c r="AD83" s="4">
        <v>96</v>
      </c>
      <c r="AE83" s="4">
        <v>96</v>
      </c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227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227</v>
      </c>
      <c r="AW83" s="8" t="s">
        <v>227</v>
      </c>
      <c r="AX83" s="4" t="s">
        <v>227</v>
      </c>
      <c r="AY83" s="8" t="s">
        <v>227</v>
      </c>
      <c r="AZ83" s="7" t="s">
        <v>227</v>
      </c>
      <c r="BA83" s="7" t="s">
        <v>227</v>
      </c>
      <c r="BB83" s="7"/>
      <c r="BC83" s="4" t="s">
        <v>227</v>
      </c>
      <c r="BD83" s="8" t="s">
        <v>227</v>
      </c>
      <c r="BE83" s="4" t="s">
        <v>227</v>
      </c>
      <c r="BF83" s="8" t="s">
        <v>227</v>
      </c>
      <c r="BG83" s="7" t="s">
        <v>227</v>
      </c>
      <c r="BH83" s="7" t="s">
        <v>227</v>
      </c>
      <c r="BI83" s="7"/>
      <c r="BJ83" s="4">
        <v>41</v>
      </c>
      <c r="BK83" s="8">
        <v>922.8</v>
      </c>
      <c r="BL83" s="2" t="s">
        <v>753</v>
      </c>
      <c r="BM83" s="7"/>
      <c r="BN83" s="7"/>
      <c r="BO83" s="4"/>
      <c r="BP83" s="8"/>
      <c r="BQ83" s="4"/>
      <c r="BR83" s="8"/>
      <c r="BS83" s="7"/>
      <c r="BT83" s="7"/>
      <c r="BU83" s="2" t="s">
        <v>759</v>
      </c>
      <c r="BV83" s="2" t="s">
        <v>227</v>
      </c>
      <c r="BW83" s="2" t="s">
        <v>227</v>
      </c>
      <c r="BX83" s="2" t="s">
        <v>235</v>
      </c>
      <c r="BY83" s="2" t="s">
        <v>236</v>
      </c>
      <c r="BZ83" s="2" t="s">
        <v>224</v>
      </c>
      <c r="CA83" s="2" t="s">
        <v>751</v>
      </c>
      <c r="CB83" s="2" t="s">
        <v>760</v>
      </c>
      <c r="CC83" s="2" t="s">
        <v>239</v>
      </c>
      <c r="CD83" s="2" t="s">
        <v>227</v>
      </c>
      <c r="CE83" s="4">
        <v>244</v>
      </c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>
        <v>96</v>
      </c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</row>
    <row r="84">
      <c r="A84" s="2" t="s">
        <v>761</v>
      </c>
      <c r="B84" s="2" t="s">
        <v>715</v>
      </c>
      <c r="C84" s="2" t="s">
        <v>360</v>
      </c>
      <c r="D84" s="2" t="s">
        <v>716</v>
      </c>
      <c r="E84" s="2" t="s">
        <v>717</v>
      </c>
      <c r="F84" s="2" t="s">
        <v>718</v>
      </c>
      <c r="G84" s="2" t="s">
        <v>719</v>
      </c>
      <c r="H84" s="2" t="s">
        <v>720</v>
      </c>
      <c r="I84" s="2" t="s">
        <v>721</v>
      </c>
      <c r="J84" s="2" t="s">
        <v>722</v>
      </c>
      <c r="K84" s="2" t="s">
        <v>762</v>
      </c>
      <c r="L84" s="3">
        <v>15.75</v>
      </c>
      <c r="M84" s="3">
        <v>16.54</v>
      </c>
      <c r="N84" s="3">
        <v>34.99</v>
      </c>
      <c r="O84" s="2" t="s">
        <v>224</v>
      </c>
      <c r="P84" s="2" t="s">
        <v>225</v>
      </c>
      <c r="Q84" s="2" t="s">
        <v>226</v>
      </c>
      <c r="R84" s="2" t="s">
        <v>227</v>
      </c>
      <c r="S84" s="2" t="s">
        <v>763</v>
      </c>
      <c r="T84" s="2" t="s">
        <v>227</v>
      </c>
      <c r="U84" s="2" t="s">
        <v>227</v>
      </c>
      <c r="V84" s="2" t="s">
        <v>724</v>
      </c>
      <c r="W84" s="2" t="s">
        <v>581</v>
      </c>
      <c r="X84" s="2" t="s">
        <v>725</v>
      </c>
      <c r="Y84" s="2" t="s">
        <v>232</v>
      </c>
      <c r="Z84" s="4">
        <v>381</v>
      </c>
      <c r="AA84" s="4">
        <f>=ROUNDDOWN(25.4,0)</f>
      </c>
      <c r="AB84" s="5">
        <v>15</v>
      </c>
      <c r="AC84" s="2" t="s">
        <v>169</v>
      </c>
      <c r="AD84" s="4">
        <v>194</v>
      </c>
      <c r="AE84" s="4">
        <v>474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227</v>
      </c>
      <c r="AM84" s="4"/>
      <c r="AN84" s="4"/>
      <c r="AO84" s="7">
        <v>0.5484</v>
      </c>
      <c r="AP84" s="4"/>
      <c r="AQ84" s="8"/>
      <c r="AR84" s="4"/>
      <c r="AS84" s="8"/>
      <c r="AT84" s="7"/>
      <c r="AU84" s="7"/>
      <c r="AV84" s="4" t="s">
        <v>227</v>
      </c>
      <c r="AW84" s="8" t="s">
        <v>227</v>
      </c>
      <c r="AX84" s="4" t="s">
        <v>227</v>
      </c>
      <c r="AY84" s="8" t="s">
        <v>227</v>
      </c>
      <c r="AZ84" s="7" t="s">
        <v>227</v>
      </c>
      <c r="BA84" s="7" t="s">
        <v>227</v>
      </c>
      <c r="BB84" s="7"/>
      <c r="BC84" s="4" t="s">
        <v>227</v>
      </c>
      <c r="BD84" s="8" t="s">
        <v>227</v>
      </c>
      <c r="BE84" s="4" t="s">
        <v>227</v>
      </c>
      <c r="BF84" s="8" t="s">
        <v>227</v>
      </c>
      <c r="BG84" s="7" t="s">
        <v>227</v>
      </c>
      <c r="BH84" s="7" t="s">
        <v>227</v>
      </c>
      <c r="BI84" s="7"/>
      <c r="BJ84" s="4">
        <v>55</v>
      </c>
      <c r="BK84" s="8">
        <v>935.05</v>
      </c>
      <c r="BL84" s="2" t="s">
        <v>764</v>
      </c>
      <c r="BM84" s="7"/>
      <c r="BN84" s="7"/>
      <c r="BO84" s="4"/>
      <c r="BP84" s="8"/>
      <c r="BQ84" s="4"/>
      <c r="BR84" s="8"/>
      <c r="BS84" s="7"/>
      <c r="BT84" s="7"/>
      <c r="BU84" s="2" t="s">
        <v>765</v>
      </c>
      <c r="BV84" s="2" t="s">
        <v>227</v>
      </c>
      <c r="BW84" s="2" t="s">
        <v>227</v>
      </c>
      <c r="BX84" s="2" t="s">
        <v>235</v>
      </c>
      <c r="BY84" s="2" t="s">
        <v>236</v>
      </c>
      <c r="BZ84" s="2" t="s">
        <v>224</v>
      </c>
      <c r="CA84" s="2" t="s">
        <v>237</v>
      </c>
      <c r="CB84" s="2" t="s">
        <v>766</v>
      </c>
      <c r="CC84" s="2" t="s">
        <v>239</v>
      </c>
      <c r="CD84" s="2" t="s">
        <v>227</v>
      </c>
      <c r="CE84" s="4">
        <v>381</v>
      </c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>
        <v>194</v>
      </c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>
        <v>280</v>
      </c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</row>
    <row r="85">
      <c r="A85" s="2" t="s">
        <v>767</v>
      </c>
      <c r="B85" s="2" t="s">
        <v>744</v>
      </c>
      <c r="C85" s="2" t="s">
        <v>360</v>
      </c>
      <c r="D85" s="2" t="s">
        <v>768</v>
      </c>
      <c r="E85" s="2" t="s">
        <v>769</v>
      </c>
      <c r="F85" s="2" t="s">
        <v>718</v>
      </c>
      <c r="G85" s="2" t="s">
        <v>719</v>
      </c>
      <c r="H85" s="2" t="s">
        <v>720</v>
      </c>
      <c r="I85" s="2" t="s">
        <v>770</v>
      </c>
      <c r="J85" s="2" t="s">
        <v>771</v>
      </c>
      <c r="K85" s="2" t="s">
        <v>762</v>
      </c>
      <c r="L85" s="3">
        <v>13.2</v>
      </c>
      <c r="M85" s="3">
        <v>13.86</v>
      </c>
      <c r="N85" s="3">
        <v>29.99</v>
      </c>
      <c r="O85" s="2" t="s">
        <v>224</v>
      </c>
      <c r="P85" s="2" t="s">
        <v>225</v>
      </c>
      <c r="Q85" s="2" t="s">
        <v>226</v>
      </c>
      <c r="R85" s="2" t="s">
        <v>227</v>
      </c>
      <c r="S85" s="2" t="s">
        <v>763</v>
      </c>
      <c r="T85" s="2" t="s">
        <v>227</v>
      </c>
      <c r="U85" s="2" t="s">
        <v>227</v>
      </c>
      <c r="V85" s="2" t="s">
        <v>724</v>
      </c>
      <c r="W85" s="2" t="s">
        <v>581</v>
      </c>
      <c r="X85" s="2" t="s">
        <v>227</v>
      </c>
      <c r="Y85" s="2" t="s">
        <v>232</v>
      </c>
      <c r="Z85" s="4">
        <v>354</v>
      </c>
      <c r="AA85" s="4">
        <f>=ROUNDDOWN(19.6666666666667,0)</f>
      </c>
      <c r="AB85" s="5">
        <v>18</v>
      </c>
      <c r="AC85" s="2" t="s">
        <v>732</v>
      </c>
      <c r="AD85" s="4">
        <v>80</v>
      </c>
      <c r="AE85" s="4">
        <v>280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227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227</v>
      </c>
      <c r="AW85" s="8" t="s">
        <v>227</v>
      </c>
      <c r="AX85" s="4" t="s">
        <v>227</v>
      </c>
      <c r="AY85" s="8" t="s">
        <v>227</v>
      </c>
      <c r="AZ85" s="7" t="s">
        <v>227</v>
      </c>
      <c r="BA85" s="7" t="s">
        <v>227</v>
      </c>
      <c r="BB85" s="7"/>
      <c r="BC85" s="4" t="s">
        <v>227</v>
      </c>
      <c r="BD85" s="8" t="s">
        <v>227</v>
      </c>
      <c r="BE85" s="4" t="s">
        <v>227</v>
      </c>
      <c r="BF85" s="8" t="s">
        <v>227</v>
      </c>
      <c r="BG85" s="7" t="s">
        <v>227</v>
      </c>
      <c r="BH85" s="7" t="s">
        <v>227</v>
      </c>
      <c r="BI85" s="7"/>
      <c r="BJ85" s="4">
        <v>110</v>
      </c>
      <c r="BK85" s="8">
        <v>1640.63</v>
      </c>
      <c r="BL85" s="2" t="s">
        <v>772</v>
      </c>
      <c r="BM85" s="7"/>
      <c r="BN85" s="7"/>
      <c r="BO85" s="4"/>
      <c r="BP85" s="8"/>
      <c r="BQ85" s="4"/>
      <c r="BR85" s="8"/>
      <c r="BS85" s="7"/>
      <c r="BT85" s="7"/>
      <c r="BU85" s="2" t="s">
        <v>773</v>
      </c>
      <c r="BV85" s="2" t="s">
        <v>227</v>
      </c>
      <c r="BW85" s="2" t="s">
        <v>227</v>
      </c>
      <c r="BX85" s="2" t="s">
        <v>235</v>
      </c>
      <c r="BY85" s="2" t="s">
        <v>236</v>
      </c>
      <c r="BZ85" s="2" t="s">
        <v>224</v>
      </c>
      <c r="CA85" s="2" t="s">
        <v>237</v>
      </c>
      <c r="CB85" s="2" t="s">
        <v>774</v>
      </c>
      <c r="CC85" s="2" t="s">
        <v>239</v>
      </c>
      <c r="CD85" s="2" t="s">
        <v>227</v>
      </c>
      <c r="CE85" s="4">
        <v>254</v>
      </c>
      <c r="CF85" s="4"/>
      <c r="CG85" s="4"/>
      <c r="CH85" s="4"/>
      <c r="CI85" s="4"/>
      <c r="CJ85" s="4"/>
      <c r="CK85" s="4">
        <v>100</v>
      </c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>
        <v>80</v>
      </c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>
        <v>200</v>
      </c>
      <c r="GT85" s="4"/>
      <c r="GU85" s="4"/>
      <c r="GV85" s="4"/>
      <c r="GW85" s="4"/>
      <c r="GX85" s="4"/>
    </row>
    <row r="86">
      <c r="A86" s="2" t="s">
        <v>775</v>
      </c>
      <c r="B86" s="2" t="s">
        <v>715</v>
      </c>
      <c r="C86" s="2" t="s">
        <v>360</v>
      </c>
      <c r="D86" s="2" t="s">
        <v>716</v>
      </c>
      <c r="E86" s="2" t="s">
        <v>717</v>
      </c>
      <c r="F86" s="2" t="s">
        <v>776</v>
      </c>
      <c r="G86" s="2" t="s">
        <v>777</v>
      </c>
      <c r="H86" s="2" t="s">
        <v>778</v>
      </c>
      <c r="I86" s="2" t="s">
        <v>779</v>
      </c>
      <c r="J86" s="2" t="s">
        <v>722</v>
      </c>
      <c r="K86" s="2" t="s">
        <v>780</v>
      </c>
      <c r="L86" s="3">
        <v>18.24</v>
      </c>
      <c r="M86" s="3">
        <v>19.15</v>
      </c>
      <c r="N86" s="3">
        <v>37.99</v>
      </c>
      <c r="O86" s="2" t="s">
        <v>224</v>
      </c>
      <c r="P86" s="2" t="s">
        <v>225</v>
      </c>
      <c r="Q86" s="2" t="s">
        <v>226</v>
      </c>
      <c r="R86" s="2" t="s">
        <v>227</v>
      </c>
      <c r="S86" s="2" t="s">
        <v>781</v>
      </c>
      <c r="T86" s="2" t="s">
        <v>227</v>
      </c>
      <c r="U86" s="2" t="s">
        <v>552</v>
      </c>
      <c r="V86" s="2" t="s">
        <v>782</v>
      </c>
      <c r="W86" s="2" t="s">
        <v>231</v>
      </c>
      <c r="X86" s="2" t="s">
        <v>725</v>
      </c>
      <c r="Y86" s="2" t="s">
        <v>783</v>
      </c>
      <c r="Z86" s="4">
        <v>409</v>
      </c>
      <c r="AA86" s="4">
        <f>=ROUNDDOWN(51.125,0)</f>
      </c>
      <c r="AB86" s="5">
        <v>8</v>
      </c>
      <c r="AC86" s="2" t="s">
        <v>583</v>
      </c>
      <c r="AD86" s="4">
        <v>260</v>
      </c>
      <c r="AE86" s="4">
        <v>260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227</v>
      </c>
      <c r="AM86" s="4"/>
      <c r="AN86" s="4"/>
      <c r="AO86" s="7"/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 t="s">
        <v>227</v>
      </c>
      <c r="BD86" s="8" t="s">
        <v>227</v>
      </c>
      <c r="BE86" s="4" t="s">
        <v>227</v>
      </c>
      <c r="BF86" s="8" t="s">
        <v>227</v>
      </c>
      <c r="BG86" s="7" t="s">
        <v>227</v>
      </c>
      <c r="BH86" s="7" t="s">
        <v>227</v>
      </c>
      <c r="BI86" s="7"/>
      <c r="BJ86" s="4">
        <v>37</v>
      </c>
      <c r="BK86" s="8">
        <v>713.67</v>
      </c>
      <c r="BL86" s="2" t="s">
        <v>784</v>
      </c>
      <c r="BM86" s="7"/>
      <c r="BN86" s="7"/>
      <c r="BO86" s="4"/>
      <c r="BP86" s="8"/>
      <c r="BQ86" s="4"/>
      <c r="BR86" s="8"/>
      <c r="BS86" s="7"/>
      <c r="BT86" s="7"/>
      <c r="BU86" s="2" t="s">
        <v>785</v>
      </c>
      <c r="BV86" s="2" t="s">
        <v>227</v>
      </c>
      <c r="BW86" s="2" t="s">
        <v>227</v>
      </c>
      <c r="BX86" s="2" t="s">
        <v>235</v>
      </c>
      <c r="BY86" s="2" t="s">
        <v>236</v>
      </c>
      <c r="BZ86" s="2" t="s">
        <v>224</v>
      </c>
      <c r="CA86" s="2" t="s">
        <v>293</v>
      </c>
      <c r="CB86" s="2" t="s">
        <v>227</v>
      </c>
      <c r="CC86" s="2" t="s">
        <v>239</v>
      </c>
      <c r="CD86" s="2" t="s">
        <v>227</v>
      </c>
      <c r="CE86" s="4">
        <v>409</v>
      </c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>
        <v>260</v>
      </c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</row>
    <row r="87">
      <c r="A87" s="2" t="s">
        <v>786</v>
      </c>
      <c r="B87" s="2" t="s">
        <v>715</v>
      </c>
      <c r="C87" s="2" t="s">
        <v>360</v>
      </c>
      <c r="D87" s="2" t="s">
        <v>716</v>
      </c>
      <c r="E87" s="2" t="s">
        <v>717</v>
      </c>
      <c r="F87" s="2" t="s">
        <v>776</v>
      </c>
      <c r="G87" s="2" t="s">
        <v>777</v>
      </c>
      <c r="H87" s="2" t="s">
        <v>778</v>
      </c>
      <c r="I87" s="2" t="s">
        <v>787</v>
      </c>
      <c r="J87" s="2" t="s">
        <v>722</v>
      </c>
      <c r="K87" s="2" t="s">
        <v>410</v>
      </c>
      <c r="L87" s="3">
        <v>17.48</v>
      </c>
      <c r="M87" s="3">
        <v>18.35</v>
      </c>
      <c r="N87" s="3">
        <v>37.99</v>
      </c>
      <c r="O87" s="2" t="s">
        <v>224</v>
      </c>
      <c r="P87" s="2" t="s">
        <v>225</v>
      </c>
      <c r="Q87" s="2" t="s">
        <v>226</v>
      </c>
      <c r="R87" s="2" t="s">
        <v>227</v>
      </c>
      <c r="S87" s="2" t="s">
        <v>788</v>
      </c>
      <c r="T87" s="2" t="s">
        <v>227</v>
      </c>
      <c r="U87" s="2" t="s">
        <v>552</v>
      </c>
      <c r="V87" s="2" t="s">
        <v>782</v>
      </c>
      <c r="W87" s="2" t="s">
        <v>231</v>
      </c>
      <c r="X87" s="2" t="s">
        <v>725</v>
      </c>
      <c r="Y87" s="2" t="s">
        <v>789</v>
      </c>
      <c r="Z87" s="4">
        <v>1013</v>
      </c>
      <c r="AA87" s="4">
        <f>=ROUNDDOWN(48.2380952380952,0)</f>
      </c>
      <c r="AB87" s="5">
        <v>21</v>
      </c>
      <c r="AC87" s="2" t="s">
        <v>227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227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227</v>
      </c>
      <c r="AW87" s="8" t="s">
        <v>227</v>
      </c>
      <c r="AX87" s="4" t="s">
        <v>227</v>
      </c>
      <c r="AY87" s="8" t="s">
        <v>227</v>
      </c>
      <c r="AZ87" s="7" t="s">
        <v>227</v>
      </c>
      <c r="BA87" s="7" t="s">
        <v>227</v>
      </c>
      <c r="BB87" s="7" t="s">
        <v>227</v>
      </c>
      <c r="BC87" s="4" t="s">
        <v>227</v>
      </c>
      <c r="BD87" s="8" t="s">
        <v>227</v>
      </c>
      <c r="BE87" s="4" t="s">
        <v>227</v>
      </c>
      <c r="BF87" s="8" t="s">
        <v>227</v>
      </c>
      <c r="BG87" s="7" t="s">
        <v>227</v>
      </c>
      <c r="BH87" s="7" t="s">
        <v>227</v>
      </c>
      <c r="BI87" s="7"/>
      <c r="BJ87" s="4">
        <v>26</v>
      </c>
      <c r="BK87" s="8">
        <v>488.78</v>
      </c>
      <c r="BL87" s="2" t="s">
        <v>790</v>
      </c>
      <c r="BM87" s="7"/>
      <c r="BN87" s="7"/>
      <c r="BO87" s="4"/>
      <c r="BP87" s="8"/>
      <c r="BQ87" s="4"/>
      <c r="BR87" s="8"/>
      <c r="BS87" s="7"/>
      <c r="BT87" s="7"/>
      <c r="BU87" s="2" t="s">
        <v>791</v>
      </c>
      <c r="BV87" s="2" t="s">
        <v>227</v>
      </c>
      <c r="BW87" s="2" t="s">
        <v>227</v>
      </c>
      <c r="BX87" s="2" t="s">
        <v>235</v>
      </c>
      <c r="BY87" s="2" t="s">
        <v>236</v>
      </c>
      <c r="BZ87" s="2" t="s">
        <v>224</v>
      </c>
      <c r="CA87" s="2" t="s">
        <v>293</v>
      </c>
      <c r="CB87" s="2" t="s">
        <v>792</v>
      </c>
      <c r="CC87" s="2" t="s">
        <v>239</v>
      </c>
      <c r="CD87" s="2" t="s">
        <v>227</v>
      </c>
      <c r="CE87" s="4">
        <v>1013</v>
      </c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</row>
    <row r="88">
      <c r="A88" s="2" t="s">
        <v>793</v>
      </c>
      <c r="B88" s="2" t="s">
        <v>715</v>
      </c>
      <c r="C88" s="2" t="s">
        <v>360</v>
      </c>
      <c r="D88" s="2" t="s">
        <v>716</v>
      </c>
      <c r="E88" s="2" t="s">
        <v>717</v>
      </c>
      <c r="F88" s="2" t="s">
        <v>776</v>
      </c>
      <c r="G88" s="2" t="s">
        <v>777</v>
      </c>
      <c r="H88" s="2" t="s">
        <v>778</v>
      </c>
      <c r="I88" s="2" t="s">
        <v>779</v>
      </c>
      <c r="J88" s="2" t="s">
        <v>722</v>
      </c>
      <c r="K88" s="2" t="s">
        <v>410</v>
      </c>
      <c r="L88" s="3">
        <v>18.24</v>
      </c>
      <c r="M88" s="3">
        <v>19.15</v>
      </c>
      <c r="N88" s="3">
        <v>37.99</v>
      </c>
      <c r="O88" s="2" t="s">
        <v>224</v>
      </c>
      <c r="P88" s="2" t="s">
        <v>225</v>
      </c>
      <c r="Q88" s="2" t="s">
        <v>226</v>
      </c>
      <c r="R88" s="2" t="s">
        <v>227</v>
      </c>
      <c r="S88" s="2" t="s">
        <v>788</v>
      </c>
      <c r="T88" s="2" t="s">
        <v>227</v>
      </c>
      <c r="U88" s="2" t="s">
        <v>552</v>
      </c>
      <c r="V88" s="2" t="s">
        <v>782</v>
      </c>
      <c r="W88" s="2" t="s">
        <v>231</v>
      </c>
      <c r="X88" s="2" t="s">
        <v>725</v>
      </c>
      <c r="Y88" s="2" t="s">
        <v>783</v>
      </c>
      <c r="Z88" s="4">
        <v>215</v>
      </c>
      <c r="AA88" s="4">
        <f>=ROUNDDOWN(35.8333333333333,0)</f>
      </c>
      <c r="AB88" s="5">
        <v>6</v>
      </c>
      <c r="AC88" s="2" t="s">
        <v>227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227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227</v>
      </c>
      <c r="AW88" s="8" t="s">
        <v>227</v>
      </c>
      <c r="AX88" s="4" t="s">
        <v>227</v>
      </c>
      <c r="AY88" s="8" t="s">
        <v>227</v>
      </c>
      <c r="AZ88" s="7" t="s">
        <v>227</v>
      </c>
      <c r="BA88" s="7" t="s">
        <v>227</v>
      </c>
      <c r="BB88" s="7" t="s">
        <v>227</v>
      </c>
      <c r="BC88" s="4" t="s">
        <v>227</v>
      </c>
      <c r="BD88" s="8" t="s">
        <v>227</v>
      </c>
      <c r="BE88" s="4" t="s">
        <v>227</v>
      </c>
      <c r="BF88" s="8" t="s">
        <v>227</v>
      </c>
      <c r="BG88" s="7" t="s">
        <v>227</v>
      </c>
      <c r="BH88" s="7" t="s">
        <v>227</v>
      </c>
      <c r="BI88" s="7"/>
      <c r="BJ88" s="4">
        <v>2</v>
      </c>
      <c r="BK88" s="8">
        <v>35.24</v>
      </c>
      <c r="BL88" s="2" t="s">
        <v>367</v>
      </c>
      <c r="BM88" s="7"/>
      <c r="BN88" s="7"/>
      <c r="BO88" s="4"/>
      <c r="BP88" s="8"/>
      <c r="BQ88" s="4"/>
      <c r="BR88" s="8"/>
      <c r="BS88" s="7"/>
      <c r="BT88" s="7"/>
      <c r="BU88" s="2" t="s">
        <v>794</v>
      </c>
      <c r="BV88" s="2" t="s">
        <v>227</v>
      </c>
      <c r="BW88" s="2" t="s">
        <v>227</v>
      </c>
      <c r="BX88" s="2" t="s">
        <v>235</v>
      </c>
      <c r="BY88" s="2" t="s">
        <v>236</v>
      </c>
      <c r="BZ88" s="2" t="s">
        <v>224</v>
      </c>
      <c r="CA88" s="2" t="s">
        <v>293</v>
      </c>
      <c r="CB88" s="2" t="s">
        <v>795</v>
      </c>
      <c r="CC88" s="2" t="s">
        <v>239</v>
      </c>
      <c r="CD88" s="2" t="s">
        <v>227</v>
      </c>
      <c r="CE88" s="4">
        <v>215</v>
      </c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</row>
    <row r="89">
      <c r="A89" s="2" t="s">
        <v>796</v>
      </c>
      <c r="B89" s="2" t="s">
        <v>715</v>
      </c>
      <c r="C89" s="2" t="s">
        <v>360</v>
      </c>
      <c r="D89" s="2" t="s">
        <v>716</v>
      </c>
      <c r="E89" s="2" t="s">
        <v>717</v>
      </c>
      <c r="F89" s="2" t="s">
        <v>776</v>
      </c>
      <c r="G89" s="2" t="s">
        <v>777</v>
      </c>
      <c r="H89" s="2" t="s">
        <v>778</v>
      </c>
      <c r="I89" s="2" t="s">
        <v>779</v>
      </c>
      <c r="J89" s="2" t="s">
        <v>722</v>
      </c>
      <c r="K89" s="2" t="s">
        <v>737</v>
      </c>
      <c r="L89" s="3">
        <v>18.24</v>
      </c>
      <c r="M89" s="3">
        <v>19.15</v>
      </c>
      <c r="N89" s="3">
        <v>37.99</v>
      </c>
      <c r="O89" s="2" t="s">
        <v>224</v>
      </c>
      <c r="P89" s="2" t="s">
        <v>225</v>
      </c>
      <c r="Q89" s="2" t="s">
        <v>226</v>
      </c>
      <c r="R89" s="2" t="s">
        <v>227</v>
      </c>
      <c r="S89" s="2" t="s">
        <v>797</v>
      </c>
      <c r="T89" s="2" t="s">
        <v>227</v>
      </c>
      <c r="U89" s="2" t="s">
        <v>552</v>
      </c>
      <c r="V89" s="2" t="s">
        <v>782</v>
      </c>
      <c r="W89" s="2" t="s">
        <v>231</v>
      </c>
      <c r="X89" s="2" t="s">
        <v>725</v>
      </c>
      <c r="Y89" s="2" t="s">
        <v>798</v>
      </c>
      <c r="Z89" s="4">
        <v>655</v>
      </c>
      <c r="AA89" s="4">
        <f>=ROUNDDOWN(18.7142857142857,0)</f>
      </c>
      <c r="AB89" s="5">
        <v>35</v>
      </c>
      <c r="AC89" s="2" t="s">
        <v>583</v>
      </c>
      <c r="AD89" s="4">
        <v>200</v>
      </c>
      <c r="AE89" s="4">
        <v>400</v>
      </c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227</v>
      </c>
      <c r="AM89" s="4"/>
      <c r="AN89" s="4"/>
      <c r="AO89" s="7"/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 t="s">
        <v>227</v>
      </c>
      <c r="BD89" s="8" t="s">
        <v>227</v>
      </c>
      <c r="BE89" s="4" t="s">
        <v>227</v>
      </c>
      <c r="BF89" s="8" t="s">
        <v>227</v>
      </c>
      <c r="BG89" s="7" t="s">
        <v>227</v>
      </c>
      <c r="BH89" s="7" t="s">
        <v>227</v>
      </c>
      <c r="BI89" s="7"/>
      <c r="BJ89" s="4">
        <v>226</v>
      </c>
      <c r="BK89" s="8">
        <v>4177.89</v>
      </c>
      <c r="BL89" s="2" t="s">
        <v>799</v>
      </c>
      <c r="BM89" s="7"/>
      <c r="BN89" s="7"/>
      <c r="BO89" s="4"/>
      <c r="BP89" s="8"/>
      <c r="BQ89" s="4"/>
      <c r="BR89" s="8"/>
      <c r="BS89" s="7"/>
      <c r="BT89" s="7"/>
      <c r="BU89" s="2" t="s">
        <v>800</v>
      </c>
      <c r="BV89" s="2" t="s">
        <v>227</v>
      </c>
      <c r="BW89" s="2" t="s">
        <v>227</v>
      </c>
      <c r="BX89" s="2" t="s">
        <v>235</v>
      </c>
      <c r="BY89" s="2" t="s">
        <v>236</v>
      </c>
      <c r="BZ89" s="2" t="s">
        <v>224</v>
      </c>
      <c r="CA89" s="2" t="s">
        <v>801</v>
      </c>
      <c r="CB89" s="2" t="s">
        <v>802</v>
      </c>
      <c r="CC89" s="2" t="s">
        <v>239</v>
      </c>
      <c r="CD89" s="2" t="s">
        <v>227</v>
      </c>
      <c r="CE89" s="4">
        <v>655</v>
      </c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>
        <v>200</v>
      </c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>
        <v>200</v>
      </c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</row>
    <row r="90">
      <c r="A90" s="2" t="s">
        <v>803</v>
      </c>
      <c r="B90" s="2" t="s">
        <v>715</v>
      </c>
      <c r="C90" s="2" t="s">
        <v>360</v>
      </c>
      <c r="D90" s="2" t="s">
        <v>716</v>
      </c>
      <c r="E90" s="2" t="s">
        <v>717</v>
      </c>
      <c r="F90" s="2" t="s">
        <v>804</v>
      </c>
      <c r="G90" s="2" t="s">
        <v>805</v>
      </c>
      <c r="H90" s="2" t="s">
        <v>806</v>
      </c>
      <c r="I90" s="2" t="s">
        <v>807</v>
      </c>
      <c r="J90" s="2" t="s">
        <v>808</v>
      </c>
      <c r="K90" s="2" t="s">
        <v>223</v>
      </c>
      <c r="L90" s="3">
        <v>19.35</v>
      </c>
      <c r="M90" s="3">
        <v>20.32</v>
      </c>
      <c r="N90" s="3">
        <v>42.99</v>
      </c>
      <c r="O90" s="2" t="s">
        <v>224</v>
      </c>
      <c r="P90" s="2" t="s">
        <v>225</v>
      </c>
      <c r="Q90" s="2" t="s">
        <v>226</v>
      </c>
      <c r="R90" s="2" t="s">
        <v>227</v>
      </c>
      <c r="S90" s="2" t="s">
        <v>809</v>
      </c>
      <c r="T90" s="2" t="s">
        <v>227</v>
      </c>
      <c r="U90" s="2" t="s">
        <v>227</v>
      </c>
      <c r="V90" s="2" t="s">
        <v>301</v>
      </c>
      <c r="W90" s="2" t="s">
        <v>581</v>
      </c>
      <c r="X90" s="2" t="s">
        <v>725</v>
      </c>
      <c r="Y90" s="2" t="s">
        <v>232</v>
      </c>
      <c r="Z90" s="4">
        <v>151</v>
      </c>
      <c r="AA90" s="4">
        <f>=ROUNDDOWN(15.1,0)</f>
      </c>
      <c r="AB90" s="5">
        <v>10</v>
      </c>
      <c r="AC90" s="2" t="s">
        <v>810</v>
      </c>
      <c r="AD90" s="4">
        <v>112</v>
      </c>
      <c r="AE90" s="4">
        <v>148</v>
      </c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227</v>
      </c>
      <c r="AM90" s="4"/>
      <c r="AN90" s="4"/>
      <c r="AO90" s="7"/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 t="s">
        <v>227</v>
      </c>
      <c r="BD90" s="8" t="s">
        <v>227</v>
      </c>
      <c r="BE90" s="4" t="s">
        <v>227</v>
      </c>
      <c r="BF90" s="8" t="s">
        <v>227</v>
      </c>
      <c r="BG90" s="7" t="s">
        <v>227</v>
      </c>
      <c r="BH90" s="7" t="s">
        <v>227</v>
      </c>
      <c r="BI90" s="7"/>
      <c r="BJ90" s="4">
        <v>32</v>
      </c>
      <c r="BK90" s="8">
        <v>644.44</v>
      </c>
      <c r="BL90" s="2" t="s">
        <v>811</v>
      </c>
      <c r="BM90" s="7"/>
      <c r="BN90" s="7"/>
      <c r="BO90" s="4"/>
      <c r="BP90" s="8"/>
      <c r="BQ90" s="4"/>
      <c r="BR90" s="8"/>
      <c r="BS90" s="7"/>
      <c r="BT90" s="7"/>
      <c r="BU90" s="2" t="s">
        <v>812</v>
      </c>
      <c r="BV90" s="2" t="s">
        <v>227</v>
      </c>
      <c r="BW90" s="2" t="s">
        <v>227</v>
      </c>
      <c r="BX90" s="2" t="s">
        <v>235</v>
      </c>
      <c r="BY90" s="2" t="s">
        <v>236</v>
      </c>
      <c r="BZ90" s="2" t="s">
        <v>224</v>
      </c>
      <c r="CA90" s="2" t="s">
        <v>237</v>
      </c>
      <c r="CB90" s="2" t="s">
        <v>813</v>
      </c>
      <c r="CC90" s="2" t="s">
        <v>239</v>
      </c>
      <c r="CD90" s="2" t="s">
        <v>227</v>
      </c>
      <c r="CE90" s="4">
        <v>151</v>
      </c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>
        <v>112</v>
      </c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>
        <v>36</v>
      </c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</row>
    <row r="91">
      <c r="A91" s="2" t="s">
        <v>814</v>
      </c>
      <c r="B91" s="2" t="s">
        <v>715</v>
      </c>
      <c r="C91" s="2" t="s">
        <v>360</v>
      </c>
      <c r="D91" s="2" t="s">
        <v>815</v>
      </c>
      <c r="E91" s="2" t="s">
        <v>816</v>
      </c>
      <c r="F91" s="2" t="s">
        <v>804</v>
      </c>
      <c r="G91" s="2" t="s">
        <v>805</v>
      </c>
      <c r="H91" s="2" t="s">
        <v>806</v>
      </c>
      <c r="I91" s="2" t="s">
        <v>817</v>
      </c>
      <c r="J91" s="2" t="s">
        <v>818</v>
      </c>
      <c r="K91" s="2" t="s">
        <v>657</v>
      </c>
      <c r="L91" s="3">
        <v>11.76</v>
      </c>
      <c r="M91" s="3">
        <v>12.35</v>
      </c>
      <c r="N91" s="3">
        <v>27.99</v>
      </c>
      <c r="O91" s="2" t="s">
        <v>224</v>
      </c>
      <c r="P91" s="2" t="s">
        <v>225</v>
      </c>
      <c r="Q91" s="2" t="s">
        <v>226</v>
      </c>
      <c r="R91" s="2" t="s">
        <v>227</v>
      </c>
      <c r="S91" s="2" t="s">
        <v>819</v>
      </c>
      <c r="T91" s="2" t="s">
        <v>227</v>
      </c>
      <c r="U91" s="2" t="s">
        <v>227</v>
      </c>
      <c r="V91" s="2" t="s">
        <v>301</v>
      </c>
      <c r="W91" s="2" t="s">
        <v>581</v>
      </c>
      <c r="X91" s="2" t="s">
        <v>227</v>
      </c>
      <c r="Y91" s="2" t="s">
        <v>820</v>
      </c>
      <c r="Z91" s="4">
        <v>292</v>
      </c>
      <c r="AA91" s="4">
        <f>=ROUNDDOWN(18.25,0)</f>
      </c>
      <c r="AB91" s="5">
        <v>16</v>
      </c>
      <c r="AC91" s="2" t="s">
        <v>821</v>
      </c>
      <c r="AD91" s="4">
        <v>136</v>
      </c>
      <c r="AE91" s="4">
        <v>380</v>
      </c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227</v>
      </c>
      <c r="AM91" s="4"/>
      <c r="AN91" s="4"/>
      <c r="AO91" s="7"/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 t="s">
        <v>227</v>
      </c>
      <c r="BD91" s="8" t="s">
        <v>227</v>
      </c>
      <c r="BE91" s="4" t="s">
        <v>227</v>
      </c>
      <c r="BF91" s="8" t="s">
        <v>227</v>
      </c>
      <c r="BG91" s="7" t="s">
        <v>227</v>
      </c>
      <c r="BH91" s="7" t="s">
        <v>227</v>
      </c>
      <c r="BI91" s="7"/>
      <c r="BJ91" s="4">
        <v>72</v>
      </c>
      <c r="BK91" s="8">
        <v>911.18</v>
      </c>
      <c r="BL91" s="2" t="s">
        <v>822</v>
      </c>
      <c r="BM91" s="7"/>
      <c r="BN91" s="7"/>
      <c r="BO91" s="4"/>
      <c r="BP91" s="8"/>
      <c r="BQ91" s="4"/>
      <c r="BR91" s="8"/>
      <c r="BS91" s="7"/>
      <c r="BT91" s="7"/>
      <c r="BU91" s="2" t="s">
        <v>823</v>
      </c>
      <c r="BV91" s="2" t="s">
        <v>227</v>
      </c>
      <c r="BW91" s="2" t="s">
        <v>227</v>
      </c>
      <c r="BX91" s="2" t="s">
        <v>235</v>
      </c>
      <c r="BY91" s="2" t="s">
        <v>236</v>
      </c>
      <c r="BZ91" s="2" t="s">
        <v>224</v>
      </c>
      <c r="CA91" s="2" t="s">
        <v>824</v>
      </c>
      <c r="CB91" s="2" t="s">
        <v>825</v>
      </c>
      <c r="CC91" s="2" t="s">
        <v>239</v>
      </c>
      <c r="CD91" s="2" t="s">
        <v>227</v>
      </c>
      <c r="CE91" s="4">
        <v>292</v>
      </c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>
        <v>136</v>
      </c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>
        <v>244</v>
      </c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</row>
    <row r="92">
      <c r="A92" s="2" t="s">
        <v>826</v>
      </c>
      <c r="B92" s="2" t="s">
        <v>715</v>
      </c>
      <c r="C92" s="2" t="s">
        <v>360</v>
      </c>
      <c r="D92" s="2" t="s">
        <v>716</v>
      </c>
      <c r="E92" s="2" t="s">
        <v>717</v>
      </c>
      <c r="F92" s="2" t="s">
        <v>804</v>
      </c>
      <c r="G92" s="2" t="s">
        <v>805</v>
      </c>
      <c r="H92" s="2" t="s">
        <v>806</v>
      </c>
      <c r="I92" s="2" t="s">
        <v>807</v>
      </c>
      <c r="J92" s="2" t="s">
        <v>808</v>
      </c>
      <c r="K92" s="2" t="s">
        <v>827</v>
      </c>
      <c r="L92" s="3">
        <v>19.35</v>
      </c>
      <c r="M92" s="3">
        <v>20.32</v>
      </c>
      <c r="N92" s="3">
        <v>42.99</v>
      </c>
      <c r="O92" s="2" t="s">
        <v>224</v>
      </c>
      <c r="P92" s="2" t="s">
        <v>225</v>
      </c>
      <c r="Q92" s="2" t="s">
        <v>226</v>
      </c>
      <c r="R92" s="2" t="s">
        <v>227</v>
      </c>
      <c r="S92" s="2" t="s">
        <v>828</v>
      </c>
      <c r="T92" s="2" t="s">
        <v>227</v>
      </c>
      <c r="U92" s="2" t="s">
        <v>227</v>
      </c>
      <c r="V92" s="2" t="s">
        <v>301</v>
      </c>
      <c r="W92" s="2" t="s">
        <v>581</v>
      </c>
      <c r="X92" s="2" t="s">
        <v>725</v>
      </c>
      <c r="Y92" s="2" t="s">
        <v>232</v>
      </c>
      <c r="Z92" s="4">
        <v>206</v>
      </c>
      <c r="AA92" s="4">
        <f>=ROUNDDOWN(29.4285714285714,0)</f>
      </c>
      <c r="AB92" s="5">
        <v>7</v>
      </c>
      <c r="AC92" s="2" t="s">
        <v>227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227</v>
      </c>
      <c r="AM92" s="4"/>
      <c r="AN92" s="4"/>
      <c r="AO92" s="7"/>
      <c r="AP92" s="4"/>
      <c r="AQ92" s="8"/>
      <c r="AR92" s="4"/>
      <c r="AS92" s="8"/>
      <c r="AT92" s="7"/>
      <c r="AU92" s="7"/>
      <c r="AV92" s="4"/>
      <c r="AW92" s="8"/>
      <c r="AX92" s="4"/>
      <c r="AY92" s="8"/>
      <c r="AZ92" s="7"/>
      <c r="BA92" s="7"/>
      <c r="BB92" s="7"/>
      <c r="BC92" s="4" t="s">
        <v>227</v>
      </c>
      <c r="BD92" s="8" t="s">
        <v>227</v>
      </c>
      <c r="BE92" s="4" t="s">
        <v>227</v>
      </c>
      <c r="BF92" s="8" t="s">
        <v>227</v>
      </c>
      <c r="BG92" s="7" t="s">
        <v>227</v>
      </c>
      <c r="BH92" s="7" t="s">
        <v>227</v>
      </c>
      <c r="BI92" s="7"/>
      <c r="BJ92" s="4">
        <v>27</v>
      </c>
      <c r="BK92" s="8">
        <v>550.37</v>
      </c>
      <c r="BL92" s="2" t="s">
        <v>829</v>
      </c>
      <c r="BM92" s="7"/>
      <c r="BN92" s="7"/>
      <c r="BO92" s="4"/>
      <c r="BP92" s="8"/>
      <c r="BQ92" s="4"/>
      <c r="BR92" s="8"/>
      <c r="BS92" s="7"/>
      <c r="BT92" s="7"/>
      <c r="BU92" s="2" t="s">
        <v>830</v>
      </c>
      <c r="BV92" s="2" t="s">
        <v>227</v>
      </c>
      <c r="BW92" s="2" t="s">
        <v>227</v>
      </c>
      <c r="BX92" s="2" t="s">
        <v>235</v>
      </c>
      <c r="BY92" s="2" t="s">
        <v>236</v>
      </c>
      <c r="BZ92" s="2" t="s">
        <v>224</v>
      </c>
      <c r="CA92" s="2" t="s">
        <v>237</v>
      </c>
      <c r="CB92" s="2" t="s">
        <v>443</v>
      </c>
      <c r="CC92" s="2" t="s">
        <v>239</v>
      </c>
      <c r="CD92" s="2" t="s">
        <v>227</v>
      </c>
      <c r="CE92" s="4">
        <v>206</v>
      </c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</row>
    <row r="93">
      <c r="A93" s="2" t="s">
        <v>831</v>
      </c>
      <c r="B93" s="2" t="s">
        <v>573</v>
      </c>
      <c r="C93" s="2" t="s">
        <v>543</v>
      </c>
      <c r="D93" s="2" t="s">
        <v>832</v>
      </c>
      <c r="E93" s="2" t="s">
        <v>833</v>
      </c>
      <c r="F93" s="2" t="s">
        <v>834</v>
      </c>
      <c r="G93" s="2" t="s">
        <v>834</v>
      </c>
      <c r="H93" s="2" t="s">
        <v>834</v>
      </c>
      <c r="I93" s="2" t="s">
        <v>835</v>
      </c>
      <c r="J93" s="2" t="s">
        <v>548</v>
      </c>
      <c r="K93" s="2" t="s">
        <v>223</v>
      </c>
      <c r="L93" s="3">
        <v>247.5</v>
      </c>
      <c r="M93" s="3">
        <v>259.88</v>
      </c>
      <c r="N93" s="3">
        <v>519</v>
      </c>
      <c r="O93" s="2" t="s">
        <v>224</v>
      </c>
      <c r="P93" s="2" t="s">
        <v>225</v>
      </c>
      <c r="Q93" s="2" t="s">
        <v>226</v>
      </c>
      <c r="R93" s="2" t="s">
        <v>227</v>
      </c>
      <c r="S93" s="2" t="s">
        <v>227</v>
      </c>
      <c r="T93" s="2" t="s">
        <v>227</v>
      </c>
      <c r="U93" s="2" t="s">
        <v>552</v>
      </c>
      <c r="V93" s="2" t="s">
        <v>230</v>
      </c>
      <c r="W93" s="2" t="s">
        <v>836</v>
      </c>
      <c r="X93" s="2" t="s">
        <v>837</v>
      </c>
      <c r="Y93" s="2" t="s">
        <v>838</v>
      </c>
      <c r="Z93" s="4">
        <v>3</v>
      </c>
      <c r="AA93" s="4">
        <f>=ROUNDDOWN(0.428571428571429,0)</f>
      </c>
      <c r="AB93" s="5">
        <v>7</v>
      </c>
      <c r="AC93" s="2" t="s">
        <v>839</v>
      </c>
      <c r="AD93" s="4">
        <v>100</v>
      </c>
      <c r="AE93" s="4">
        <v>200</v>
      </c>
      <c r="AF93" s="6">
        <v>68</v>
      </c>
      <c r="AG93" s="6"/>
      <c r="AH93" s="7">
        <v>0.3871</v>
      </c>
      <c r="AI93" s="4"/>
      <c r="AJ93" s="4">
        <f>=ROUNDDOWN({0},0)</f>
      </c>
      <c r="AK93" s="5"/>
      <c r="AL93" s="2" t="s">
        <v>227</v>
      </c>
      <c r="AM93" s="4"/>
      <c r="AN93" s="4"/>
      <c r="AO93" s="7"/>
      <c r="AP93" s="4"/>
      <c r="AQ93" s="8"/>
      <c r="AR93" s="4"/>
      <c r="AS93" s="8"/>
      <c r="AT93" s="7"/>
      <c r="AU93" s="7"/>
      <c r="AV93" s="4"/>
      <c r="AW93" s="8"/>
      <c r="AX93" s="4"/>
      <c r="AY93" s="8"/>
      <c r="AZ93" s="7"/>
      <c r="BA93" s="7"/>
      <c r="BB93" s="7"/>
      <c r="BC93" s="4" t="s">
        <v>227</v>
      </c>
      <c r="BD93" s="8" t="s">
        <v>227</v>
      </c>
      <c r="BE93" s="4" t="s">
        <v>227</v>
      </c>
      <c r="BF93" s="8" t="s">
        <v>227</v>
      </c>
      <c r="BG93" s="7" t="s">
        <v>227</v>
      </c>
      <c r="BH93" s="7" t="s">
        <v>227</v>
      </c>
      <c r="BI93" s="7"/>
      <c r="BJ93" s="4">
        <v>8</v>
      </c>
      <c r="BK93" s="8">
        <v>1822.22</v>
      </c>
      <c r="BL93" s="2" t="s">
        <v>840</v>
      </c>
      <c r="BM93" s="7"/>
      <c r="BN93" s="7"/>
      <c r="BO93" s="4"/>
      <c r="BP93" s="8"/>
      <c r="BQ93" s="4"/>
      <c r="BR93" s="8"/>
      <c r="BS93" s="7"/>
      <c r="BT93" s="7"/>
      <c r="BU93" s="2" t="s">
        <v>841</v>
      </c>
      <c r="BV93" s="2" t="s">
        <v>227</v>
      </c>
      <c r="BW93" s="2" t="s">
        <v>227</v>
      </c>
      <c r="BX93" s="2" t="s">
        <v>235</v>
      </c>
      <c r="BY93" s="2" t="s">
        <v>236</v>
      </c>
      <c r="BZ93" s="2" t="s">
        <v>224</v>
      </c>
      <c r="CA93" s="2" t="s">
        <v>842</v>
      </c>
      <c r="CB93" s="2" t="s">
        <v>843</v>
      </c>
      <c r="CC93" s="2" t="s">
        <v>239</v>
      </c>
      <c r="CD93" s="2" t="s">
        <v>227</v>
      </c>
      <c r="CE93" s="4"/>
      <c r="CF93" s="4">
        <v>3</v>
      </c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>
        <v>100</v>
      </c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>
        <v>100</v>
      </c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</row>
    <row r="94">
      <c r="A94" s="2" t="s">
        <v>844</v>
      </c>
      <c r="B94" s="2" t="s">
        <v>715</v>
      </c>
      <c r="C94" s="2" t="s">
        <v>360</v>
      </c>
      <c r="D94" s="2" t="s">
        <v>716</v>
      </c>
      <c r="E94" s="2" t="s">
        <v>717</v>
      </c>
      <c r="F94" s="2" t="s">
        <v>834</v>
      </c>
      <c r="G94" s="2" t="s">
        <v>845</v>
      </c>
      <c r="H94" s="2" t="s">
        <v>846</v>
      </c>
      <c r="I94" s="2" t="s">
        <v>847</v>
      </c>
      <c r="J94" s="2" t="s">
        <v>848</v>
      </c>
      <c r="K94" s="2" t="s">
        <v>264</v>
      </c>
      <c r="L94" s="3">
        <v>13.8</v>
      </c>
      <c r="M94" s="3">
        <v>14.49</v>
      </c>
      <c r="N94" s="3">
        <v>29.99</v>
      </c>
      <c r="O94" s="2" t="s">
        <v>224</v>
      </c>
      <c r="P94" s="2" t="s">
        <v>485</v>
      </c>
      <c r="Q94" s="2" t="s">
        <v>226</v>
      </c>
      <c r="R94" s="2" t="s">
        <v>227</v>
      </c>
      <c r="S94" s="2" t="s">
        <v>849</v>
      </c>
      <c r="T94" s="2" t="s">
        <v>227</v>
      </c>
      <c r="U94" s="2" t="s">
        <v>227</v>
      </c>
      <c r="V94" s="2" t="s">
        <v>230</v>
      </c>
      <c r="W94" s="2" t="s">
        <v>706</v>
      </c>
      <c r="X94" s="2" t="s">
        <v>725</v>
      </c>
      <c r="Y94" s="2" t="s">
        <v>232</v>
      </c>
      <c r="Z94" s="4">
        <v>4</v>
      </c>
      <c r="AA94" s="4">
        <f>=ROUNDDOWN(0.307692307692308,0)</f>
      </c>
      <c r="AB94" s="5">
        <v>13</v>
      </c>
      <c r="AC94" s="2" t="s">
        <v>850</v>
      </c>
      <c r="AD94" s="4">
        <v>104</v>
      </c>
      <c r="AE94" s="4">
        <v>344</v>
      </c>
      <c r="AF94" s="6">
        <v>65</v>
      </c>
      <c r="AG94" s="6"/>
      <c r="AH94" s="7">
        <v>0.871</v>
      </c>
      <c r="AI94" s="4"/>
      <c r="AJ94" s="4">
        <f>=ROUNDDOWN({0},0)</f>
      </c>
      <c r="AK94" s="5"/>
      <c r="AL94" s="2" t="s">
        <v>227</v>
      </c>
      <c r="AM94" s="4"/>
      <c r="AN94" s="4"/>
      <c r="AO94" s="7"/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 t="s">
        <v>227</v>
      </c>
      <c r="BD94" s="8" t="s">
        <v>227</v>
      </c>
      <c r="BE94" s="4" t="s">
        <v>227</v>
      </c>
      <c r="BF94" s="8" t="s">
        <v>227</v>
      </c>
      <c r="BG94" s="7" t="s">
        <v>227</v>
      </c>
      <c r="BH94" s="7" t="s">
        <v>227</v>
      </c>
      <c r="BI94" s="7"/>
      <c r="BJ94" s="4">
        <v>107</v>
      </c>
      <c r="BK94" s="8">
        <v>1593.71</v>
      </c>
      <c r="BL94" s="2" t="s">
        <v>851</v>
      </c>
      <c r="BM94" s="7"/>
      <c r="BN94" s="7"/>
      <c r="BO94" s="4"/>
      <c r="BP94" s="8"/>
      <c r="BQ94" s="4"/>
      <c r="BR94" s="8"/>
      <c r="BS94" s="7"/>
      <c r="BT94" s="7"/>
      <c r="BU94" s="2" t="s">
        <v>852</v>
      </c>
      <c r="BV94" s="2" t="s">
        <v>227</v>
      </c>
      <c r="BW94" s="2" t="s">
        <v>227</v>
      </c>
      <c r="BX94" s="2" t="s">
        <v>235</v>
      </c>
      <c r="BY94" s="2" t="s">
        <v>236</v>
      </c>
      <c r="BZ94" s="2" t="s">
        <v>224</v>
      </c>
      <c r="CA94" s="2" t="s">
        <v>853</v>
      </c>
      <c r="CB94" s="2" t="s">
        <v>854</v>
      </c>
      <c r="CC94" s="2" t="s">
        <v>239</v>
      </c>
      <c r="CD94" s="2" t="s">
        <v>227</v>
      </c>
      <c r="CE94" s="4">
        <v>4</v>
      </c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>
        <v>104</v>
      </c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>
        <v>80</v>
      </c>
      <c r="FS94" s="4"/>
      <c r="FT94" s="4"/>
      <c r="FU94" s="4"/>
      <c r="FV94" s="4"/>
      <c r="FW94" s="4"/>
      <c r="FX94" s="4"/>
      <c r="FY94" s="4"/>
      <c r="FZ94" s="4"/>
      <c r="GA94" s="4"/>
      <c r="GB94" s="4">
        <v>160</v>
      </c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</row>
    <row r="95">
      <c r="A95" s="2" t="s">
        <v>855</v>
      </c>
      <c r="B95" s="2" t="s">
        <v>573</v>
      </c>
      <c r="C95" s="2" t="s">
        <v>668</v>
      </c>
      <c r="D95" s="2" t="s">
        <v>856</v>
      </c>
      <c r="E95" s="2" t="s">
        <v>857</v>
      </c>
      <c r="F95" s="2" t="s">
        <v>858</v>
      </c>
      <c r="G95" s="2" t="s">
        <v>858</v>
      </c>
      <c r="H95" s="2" t="s">
        <v>858</v>
      </c>
      <c r="I95" s="2" t="s">
        <v>859</v>
      </c>
      <c r="J95" s="2" t="s">
        <v>548</v>
      </c>
      <c r="K95" s="2" t="s">
        <v>860</v>
      </c>
      <c r="L95" s="3">
        <v>100.3</v>
      </c>
      <c r="M95" s="3">
        <v>105.32</v>
      </c>
      <c r="N95" s="3">
        <v>219</v>
      </c>
      <c r="O95" s="2" t="s">
        <v>224</v>
      </c>
      <c r="P95" s="2" t="s">
        <v>580</v>
      </c>
      <c r="Q95" s="2" t="s">
        <v>226</v>
      </c>
      <c r="R95" s="2" t="s">
        <v>227</v>
      </c>
      <c r="S95" s="2" t="s">
        <v>227</v>
      </c>
      <c r="T95" s="2" t="s">
        <v>227</v>
      </c>
      <c r="U95" s="2" t="s">
        <v>227</v>
      </c>
      <c r="V95" s="2" t="s">
        <v>566</v>
      </c>
      <c r="W95" s="2" t="s">
        <v>676</v>
      </c>
      <c r="X95" s="2" t="s">
        <v>227</v>
      </c>
      <c r="Y95" s="2" t="s">
        <v>861</v>
      </c>
      <c r="Z95" s="4">
        <v>102</v>
      </c>
      <c r="AA95" s="4">
        <f>=ROUNDDOWN(25.5,0)</f>
      </c>
      <c r="AB95" s="5">
        <v>4</v>
      </c>
      <c r="AC95" s="2" t="s">
        <v>862</v>
      </c>
      <c r="AD95" s="4">
        <v>100</v>
      </c>
      <c r="AE95" s="4">
        <v>100</v>
      </c>
      <c r="AF95" s="6">
        <v>74</v>
      </c>
      <c r="AG95" s="6"/>
      <c r="AH95" s="7">
        <v>1</v>
      </c>
      <c r="AI95" s="4"/>
      <c r="AJ95" s="4">
        <f>=ROUNDDOWN({0},0)</f>
      </c>
      <c r="AK95" s="5"/>
      <c r="AL95" s="2" t="s">
        <v>227</v>
      </c>
      <c r="AM95" s="4"/>
      <c r="AN95" s="4"/>
      <c r="AO95" s="7"/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/>
      <c r="BD95" s="8"/>
      <c r="BE95" s="4"/>
      <c r="BF95" s="8"/>
      <c r="BG95" s="7"/>
      <c r="BH95" s="7"/>
      <c r="BI95" s="7"/>
      <c r="BJ95" s="4">
        <v>15</v>
      </c>
      <c r="BK95" s="8">
        <v>1496.13</v>
      </c>
      <c r="BL95" s="2" t="s">
        <v>863</v>
      </c>
      <c r="BM95" s="7"/>
      <c r="BN95" s="7"/>
      <c r="BO95" s="4"/>
      <c r="BP95" s="8"/>
      <c r="BQ95" s="4"/>
      <c r="BR95" s="8"/>
      <c r="BS95" s="7"/>
      <c r="BT95" s="7"/>
      <c r="BU95" s="2" t="s">
        <v>864</v>
      </c>
      <c r="BV95" s="2" t="s">
        <v>227</v>
      </c>
      <c r="BW95" s="2" t="s">
        <v>227</v>
      </c>
      <c r="BX95" s="2" t="s">
        <v>235</v>
      </c>
      <c r="BY95" s="2" t="s">
        <v>236</v>
      </c>
      <c r="BZ95" s="2" t="s">
        <v>224</v>
      </c>
      <c r="CA95" s="2" t="s">
        <v>865</v>
      </c>
      <c r="CB95" s="2" t="s">
        <v>866</v>
      </c>
      <c r="CC95" s="2" t="s">
        <v>239</v>
      </c>
      <c r="CD95" s="2" t="s">
        <v>227</v>
      </c>
      <c r="CE95" s="4"/>
      <c r="CF95" s="4">
        <v>102</v>
      </c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>
        <v>100</v>
      </c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</row>
    <row r="96">
      <c r="A96" s="2" t="s">
        <v>867</v>
      </c>
      <c r="B96" s="2" t="s">
        <v>697</v>
      </c>
      <c r="C96" s="2" t="s">
        <v>360</v>
      </c>
      <c r="D96" s="2" t="s">
        <v>868</v>
      </c>
      <c r="E96" s="2" t="s">
        <v>869</v>
      </c>
      <c r="F96" s="2" t="s">
        <v>870</v>
      </c>
      <c r="G96" s="2" t="s">
        <v>871</v>
      </c>
      <c r="H96" s="2" t="s">
        <v>871</v>
      </c>
      <c r="I96" s="2" t="s">
        <v>872</v>
      </c>
      <c r="J96" s="2" t="s">
        <v>873</v>
      </c>
      <c r="K96" s="2" t="s">
        <v>874</v>
      </c>
      <c r="L96" s="3">
        <v>14.59</v>
      </c>
      <c r="M96" s="3">
        <v>15.32</v>
      </c>
      <c r="N96" s="3">
        <v>30.99</v>
      </c>
      <c r="O96" s="2" t="s">
        <v>224</v>
      </c>
      <c r="P96" s="2" t="s">
        <v>225</v>
      </c>
      <c r="Q96" s="2" t="s">
        <v>226</v>
      </c>
      <c r="R96" s="2" t="s">
        <v>227</v>
      </c>
      <c r="S96" s="2" t="s">
        <v>875</v>
      </c>
      <c r="T96" s="2" t="s">
        <v>876</v>
      </c>
      <c r="U96" s="2" t="s">
        <v>227</v>
      </c>
      <c r="V96" s="2" t="s">
        <v>877</v>
      </c>
      <c r="W96" s="2" t="s">
        <v>231</v>
      </c>
      <c r="X96" s="2" t="s">
        <v>227</v>
      </c>
      <c r="Y96" s="2" t="s">
        <v>232</v>
      </c>
      <c r="Z96" s="4">
        <v>779</v>
      </c>
      <c r="AA96" s="4">
        <f>=ROUNDDOWN(18.1162790697674,0)</f>
      </c>
      <c r="AB96" s="5">
        <v>43</v>
      </c>
      <c r="AC96" s="2" t="s">
        <v>583</v>
      </c>
      <c r="AD96" s="4">
        <v>1300</v>
      </c>
      <c r="AE96" s="4">
        <v>2600</v>
      </c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227</v>
      </c>
      <c r="AM96" s="4"/>
      <c r="AN96" s="4"/>
      <c r="AO96" s="7"/>
      <c r="AP96" s="4"/>
      <c r="AQ96" s="8"/>
      <c r="AR96" s="4"/>
      <c r="AS96" s="8"/>
      <c r="AT96" s="7"/>
      <c r="AU96" s="7"/>
      <c r="AV96" s="4"/>
      <c r="AW96" s="8"/>
      <c r="AX96" s="4"/>
      <c r="AY96" s="8"/>
      <c r="AZ96" s="7"/>
      <c r="BA96" s="7"/>
      <c r="BB96" s="7"/>
      <c r="BC96" s="4" t="s">
        <v>227</v>
      </c>
      <c r="BD96" s="8" t="s">
        <v>227</v>
      </c>
      <c r="BE96" s="4" t="s">
        <v>227</v>
      </c>
      <c r="BF96" s="8" t="s">
        <v>227</v>
      </c>
      <c r="BG96" s="7" t="s">
        <v>227</v>
      </c>
      <c r="BH96" s="7" t="s">
        <v>227</v>
      </c>
      <c r="BI96" s="7"/>
      <c r="BJ96" s="4">
        <v>103</v>
      </c>
      <c r="BK96" s="8">
        <v>1511.27</v>
      </c>
      <c r="BL96" s="2" t="s">
        <v>878</v>
      </c>
      <c r="BM96" s="7"/>
      <c r="BN96" s="7"/>
      <c r="BO96" s="4"/>
      <c r="BP96" s="8"/>
      <c r="BQ96" s="4"/>
      <c r="BR96" s="8"/>
      <c r="BS96" s="7"/>
      <c r="BT96" s="7"/>
      <c r="BU96" s="2" t="s">
        <v>879</v>
      </c>
      <c r="BV96" s="2" t="s">
        <v>227</v>
      </c>
      <c r="BW96" s="2" t="s">
        <v>227</v>
      </c>
      <c r="BX96" s="2" t="s">
        <v>235</v>
      </c>
      <c r="BY96" s="2" t="s">
        <v>236</v>
      </c>
      <c r="BZ96" s="2" t="s">
        <v>224</v>
      </c>
      <c r="CA96" s="2" t="s">
        <v>880</v>
      </c>
      <c r="CB96" s="2" t="s">
        <v>881</v>
      </c>
      <c r="CC96" s="2" t="s">
        <v>239</v>
      </c>
      <c r="CD96" s="2" t="s">
        <v>227</v>
      </c>
      <c r="CE96" s="4">
        <v>779</v>
      </c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>
        <v>1300</v>
      </c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>
        <v>1300</v>
      </c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</row>
    <row r="97">
      <c r="A97" s="2" t="s">
        <v>882</v>
      </c>
      <c r="B97" s="2" t="s">
        <v>697</v>
      </c>
      <c r="C97" s="2" t="s">
        <v>360</v>
      </c>
      <c r="D97" s="2" t="s">
        <v>687</v>
      </c>
      <c r="E97" s="2" t="s">
        <v>688</v>
      </c>
      <c r="F97" s="2" t="s">
        <v>870</v>
      </c>
      <c r="G97" s="2" t="s">
        <v>871</v>
      </c>
      <c r="H97" s="2" t="s">
        <v>871</v>
      </c>
      <c r="I97" s="2" t="s">
        <v>883</v>
      </c>
      <c r="J97" s="2" t="s">
        <v>682</v>
      </c>
      <c r="K97" s="2" t="s">
        <v>410</v>
      </c>
      <c r="L97" s="3">
        <v>60</v>
      </c>
      <c r="M97" s="3">
        <v>63</v>
      </c>
      <c r="N97" s="3">
        <v>119.99</v>
      </c>
      <c r="O97" s="2" t="s">
        <v>224</v>
      </c>
      <c r="P97" s="2" t="s">
        <v>225</v>
      </c>
      <c r="Q97" s="2" t="s">
        <v>226</v>
      </c>
      <c r="R97" s="2" t="s">
        <v>227</v>
      </c>
      <c r="S97" s="2" t="s">
        <v>884</v>
      </c>
      <c r="T97" s="2" t="s">
        <v>876</v>
      </c>
      <c r="U97" s="2" t="s">
        <v>227</v>
      </c>
      <c r="V97" s="2" t="s">
        <v>877</v>
      </c>
      <c r="W97" s="2" t="s">
        <v>231</v>
      </c>
      <c r="X97" s="2" t="s">
        <v>487</v>
      </c>
      <c r="Y97" s="2" t="s">
        <v>232</v>
      </c>
      <c r="Z97" s="4">
        <v>164</v>
      </c>
      <c r="AA97" s="4">
        <f>=ROUNDDOWN(10.25,0)</f>
      </c>
      <c r="AB97" s="5">
        <v>16</v>
      </c>
      <c r="AC97" s="2" t="s">
        <v>708</v>
      </c>
      <c r="AD97" s="4">
        <v>230</v>
      </c>
      <c r="AE97" s="4">
        <v>720</v>
      </c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227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227</v>
      </c>
      <c r="AW97" s="8" t="s">
        <v>227</v>
      </c>
      <c r="AX97" s="4" t="s">
        <v>227</v>
      </c>
      <c r="AY97" s="8" t="s">
        <v>227</v>
      </c>
      <c r="AZ97" s="7" t="s">
        <v>227</v>
      </c>
      <c r="BA97" s="7" t="s">
        <v>227</v>
      </c>
      <c r="BB97" s="7"/>
      <c r="BC97" s="4" t="s">
        <v>227</v>
      </c>
      <c r="BD97" s="8" t="s">
        <v>227</v>
      </c>
      <c r="BE97" s="4" t="s">
        <v>227</v>
      </c>
      <c r="BF97" s="8" t="s">
        <v>227</v>
      </c>
      <c r="BG97" s="7" t="s">
        <v>227</v>
      </c>
      <c r="BH97" s="7" t="s">
        <v>227</v>
      </c>
      <c r="BI97" s="7"/>
      <c r="BJ97" s="4">
        <v>16</v>
      </c>
      <c r="BK97" s="8">
        <v>1007.3</v>
      </c>
      <c r="BL97" s="2" t="s">
        <v>885</v>
      </c>
      <c r="BM97" s="7"/>
      <c r="BN97" s="7"/>
      <c r="BO97" s="4"/>
      <c r="BP97" s="8"/>
      <c r="BQ97" s="4"/>
      <c r="BR97" s="8"/>
      <c r="BS97" s="7"/>
      <c r="BT97" s="7"/>
      <c r="BU97" s="2" t="s">
        <v>886</v>
      </c>
      <c r="BV97" s="2" t="s">
        <v>227</v>
      </c>
      <c r="BW97" s="2" t="s">
        <v>227</v>
      </c>
      <c r="BX97" s="2" t="s">
        <v>235</v>
      </c>
      <c r="BY97" s="2" t="s">
        <v>236</v>
      </c>
      <c r="BZ97" s="2" t="s">
        <v>224</v>
      </c>
      <c r="CA97" s="2" t="s">
        <v>887</v>
      </c>
      <c r="CB97" s="2" t="s">
        <v>888</v>
      </c>
      <c r="CC97" s="2" t="s">
        <v>239</v>
      </c>
      <c r="CD97" s="2" t="s">
        <v>227</v>
      </c>
      <c r="CE97" s="4">
        <v>164</v>
      </c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>
        <v>230</v>
      </c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>
        <v>270</v>
      </c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>
        <v>100</v>
      </c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>
        <v>120</v>
      </c>
      <c r="GV97" s="4"/>
      <c r="GW97" s="4"/>
      <c r="GX97" s="4"/>
    </row>
    <row r="98">
      <c r="A98" s="2" t="s">
        <v>889</v>
      </c>
      <c r="B98" s="2" t="s">
        <v>697</v>
      </c>
      <c r="C98" s="2" t="s">
        <v>360</v>
      </c>
      <c r="D98" s="2" t="s">
        <v>868</v>
      </c>
      <c r="E98" s="2" t="s">
        <v>869</v>
      </c>
      <c r="F98" s="2" t="s">
        <v>870</v>
      </c>
      <c r="G98" s="2" t="s">
        <v>871</v>
      </c>
      <c r="H98" s="2" t="s">
        <v>871</v>
      </c>
      <c r="I98" s="2" t="s">
        <v>872</v>
      </c>
      <c r="J98" s="2" t="s">
        <v>873</v>
      </c>
      <c r="K98" s="2" t="s">
        <v>410</v>
      </c>
      <c r="L98" s="3">
        <v>14.59</v>
      </c>
      <c r="M98" s="3">
        <v>15.32</v>
      </c>
      <c r="N98" s="3">
        <v>30.99</v>
      </c>
      <c r="O98" s="2" t="s">
        <v>224</v>
      </c>
      <c r="P98" s="2" t="s">
        <v>485</v>
      </c>
      <c r="Q98" s="2" t="s">
        <v>226</v>
      </c>
      <c r="R98" s="2" t="s">
        <v>227</v>
      </c>
      <c r="S98" s="2" t="s">
        <v>890</v>
      </c>
      <c r="T98" s="2" t="s">
        <v>876</v>
      </c>
      <c r="U98" s="2" t="s">
        <v>227</v>
      </c>
      <c r="V98" s="2" t="s">
        <v>877</v>
      </c>
      <c r="W98" s="2" t="s">
        <v>231</v>
      </c>
      <c r="X98" s="2" t="s">
        <v>227</v>
      </c>
      <c r="Y98" s="2" t="s">
        <v>891</v>
      </c>
      <c r="Z98" s="4">
        <v>1428</v>
      </c>
      <c r="AA98" s="4">
        <f>=ROUNDDOWN(20.4,0)</f>
      </c>
      <c r="AB98" s="5">
        <v>70</v>
      </c>
      <c r="AC98" s="2" t="s">
        <v>583</v>
      </c>
      <c r="AD98" s="4">
        <v>1300</v>
      </c>
      <c r="AE98" s="4">
        <v>5200</v>
      </c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227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227</v>
      </c>
      <c r="AW98" s="8" t="s">
        <v>227</v>
      </c>
      <c r="AX98" s="4" t="s">
        <v>227</v>
      </c>
      <c r="AY98" s="8" t="s">
        <v>227</v>
      </c>
      <c r="AZ98" s="7" t="s">
        <v>227</v>
      </c>
      <c r="BA98" s="7" t="s">
        <v>227</v>
      </c>
      <c r="BB98" s="7"/>
      <c r="BC98" s="4" t="s">
        <v>227</v>
      </c>
      <c r="BD98" s="8" t="s">
        <v>227</v>
      </c>
      <c r="BE98" s="4" t="s">
        <v>227</v>
      </c>
      <c r="BF98" s="8" t="s">
        <v>227</v>
      </c>
      <c r="BG98" s="7" t="s">
        <v>227</v>
      </c>
      <c r="BH98" s="7" t="s">
        <v>227</v>
      </c>
      <c r="BI98" s="7"/>
      <c r="BJ98" s="4">
        <v>123</v>
      </c>
      <c r="BK98" s="8">
        <v>1799.31</v>
      </c>
      <c r="BL98" s="2" t="s">
        <v>892</v>
      </c>
      <c r="BM98" s="7"/>
      <c r="BN98" s="7"/>
      <c r="BO98" s="4"/>
      <c r="BP98" s="8"/>
      <c r="BQ98" s="4"/>
      <c r="BR98" s="8"/>
      <c r="BS98" s="7"/>
      <c r="BT98" s="7"/>
      <c r="BU98" s="2" t="s">
        <v>893</v>
      </c>
      <c r="BV98" s="2" t="s">
        <v>227</v>
      </c>
      <c r="BW98" s="2" t="s">
        <v>227</v>
      </c>
      <c r="BX98" s="2" t="s">
        <v>235</v>
      </c>
      <c r="BY98" s="2" t="s">
        <v>236</v>
      </c>
      <c r="BZ98" s="2" t="s">
        <v>224</v>
      </c>
      <c r="CA98" s="2" t="s">
        <v>880</v>
      </c>
      <c r="CB98" s="2" t="s">
        <v>888</v>
      </c>
      <c r="CC98" s="2" t="s">
        <v>239</v>
      </c>
      <c r="CD98" s="2" t="s">
        <v>227</v>
      </c>
      <c r="CE98" s="4">
        <v>1428</v>
      </c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>
        <v>1300</v>
      </c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>
        <v>1300</v>
      </c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>
        <v>1300</v>
      </c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>
        <v>1300</v>
      </c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</row>
    <row r="99">
      <c r="A99" s="2" t="s">
        <v>894</v>
      </c>
      <c r="B99" s="2" t="s">
        <v>573</v>
      </c>
      <c r="C99" s="2" t="s">
        <v>360</v>
      </c>
      <c r="D99" s="2" t="s">
        <v>832</v>
      </c>
      <c r="E99" s="2" t="s">
        <v>833</v>
      </c>
      <c r="F99" s="2" t="s">
        <v>895</v>
      </c>
      <c r="G99" s="2" t="s">
        <v>896</v>
      </c>
      <c r="H99" s="2" t="s">
        <v>897</v>
      </c>
      <c r="I99" s="2" t="s">
        <v>898</v>
      </c>
      <c r="J99" s="2" t="s">
        <v>548</v>
      </c>
      <c r="K99" s="2" t="s">
        <v>410</v>
      </c>
      <c r="L99" s="3">
        <v>182.75</v>
      </c>
      <c r="M99" s="3">
        <v>191.89</v>
      </c>
      <c r="N99" s="3">
        <v>379</v>
      </c>
      <c r="O99" s="2" t="s">
        <v>224</v>
      </c>
      <c r="P99" s="2" t="s">
        <v>225</v>
      </c>
      <c r="Q99" s="2" t="s">
        <v>226</v>
      </c>
      <c r="R99" s="2" t="s">
        <v>227</v>
      </c>
      <c r="S99" s="2" t="s">
        <v>899</v>
      </c>
      <c r="T99" s="2" t="s">
        <v>227</v>
      </c>
      <c r="U99" s="2" t="s">
        <v>227</v>
      </c>
      <c r="V99" s="2" t="s">
        <v>230</v>
      </c>
      <c r="W99" s="2" t="s">
        <v>581</v>
      </c>
      <c r="X99" s="2" t="s">
        <v>227</v>
      </c>
      <c r="Y99" s="2" t="s">
        <v>232</v>
      </c>
      <c r="Z99" s="4">
        <v>311</v>
      </c>
      <c r="AA99" s="4">
        <f>=ROUNDDOWN(34.9438202247191,0)</f>
      </c>
      <c r="AB99" s="5">
        <v>8.9</v>
      </c>
      <c r="AC99" s="2" t="s">
        <v>167</v>
      </c>
      <c r="AD99" s="4">
        <v>5</v>
      </c>
      <c r="AE99" s="4">
        <v>5</v>
      </c>
      <c r="AF99" s="6">
        <v>74</v>
      </c>
      <c r="AG99" s="6"/>
      <c r="AH99" s="7">
        <v>1</v>
      </c>
      <c r="AI99" s="4"/>
      <c r="AJ99" s="4">
        <f>=ROUNDDOWN({0},0)</f>
      </c>
      <c r="AK99" s="5"/>
      <c r="AL99" s="2" t="s">
        <v>227</v>
      </c>
      <c r="AM99" s="4"/>
      <c r="AN99" s="4"/>
      <c r="AO99" s="7">
        <v>0.5484</v>
      </c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 t="s">
        <v>227</v>
      </c>
      <c r="BD99" s="8" t="s">
        <v>227</v>
      </c>
      <c r="BE99" s="4" t="s">
        <v>227</v>
      </c>
      <c r="BF99" s="8" t="s">
        <v>227</v>
      </c>
      <c r="BG99" s="7" t="s">
        <v>227</v>
      </c>
      <c r="BH99" s="7" t="s">
        <v>227</v>
      </c>
      <c r="BI99" s="7"/>
      <c r="BJ99" s="4">
        <v>44</v>
      </c>
      <c r="BK99" s="8">
        <v>8522.8</v>
      </c>
      <c r="BL99" s="2" t="s">
        <v>900</v>
      </c>
      <c r="BM99" s="7"/>
      <c r="BN99" s="7"/>
      <c r="BO99" s="4"/>
      <c r="BP99" s="8"/>
      <c r="BQ99" s="4"/>
      <c r="BR99" s="8"/>
      <c r="BS99" s="7"/>
      <c r="BT99" s="7"/>
      <c r="BU99" s="2" t="s">
        <v>901</v>
      </c>
      <c r="BV99" s="2" t="s">
        <v>227</v>
      </c>
      <c r="BW99" s="2" t="s">
        <v>227</v>
      </c>
      <c r="BX99" s="2" t="s">
        <v>235</v>
      </c>
      <c r="BY99" s="2" t="s">
        <v>236</v>
      </c>
      <c r="BZ99" s="2" t="s">
        <v>224</v>
      </c>
      <c r="CA99" s="2" t="s">
        <v>237</v>
      </c>
      <c r="CB99" s="2" t="s">
        <v>902</v>
      </c>
      <c r="CC99" s="2" t="s">
        <v>239</v>
      </c>
      <c r="CD99" s="2" t="s">
        <v>227</v>
      </c>
      <c r="CE99" s="4"/>
      <c r="CF99" s="4">
        <v>311</v>
      </c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>
        <v>5</v>
      </c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</row>
    <row r="100">
      <c r="A100" s="2" t="s">
        <v>903</v>
      </c>
      <c r="B100" s="2" t="s">
        <v>573</v>
      </c>
      <c r="C100" s="2" t="s">
        <v>360</v>
      </c>
      <c r="D100" s="2" t="s">
        <v>832</v>
      </c>
      <c r="E100" s="2" t="s">
        <v>833</v>
      </c>
      <c r="F100" s="2" t="s">
        <v>895</v>
      </c>
      <c r="G100" s="2" t="s">
        <v>896</v>
      </c>
      <c r="H100" s="2" t="s">
        <v>897</v>
      </c>
      <c r="I100" s="2" t="s">
        <v>898</v>
      </c>
      <c r="J100" s="2" t="s">
        <v>548</v>
      </c>
      <c r="K100" s="2" t="s">
        <v>904</v>
      </c>
      <c r="L100" s="3">
        <v>182.75</v>
      </c>
      <c r="M100" s="3">
        <v>191.89</v>
      </c>
      <c r="N100" s="3">
        <v>379</v>
      </c>
      <c r="O100" s="2" t="s">
        <v>224</v>
      </c>
      <c r="P100" s="2" t="s">
        <v>225</v>
      </c>
      <c r="Q100" s="2" t="s">
        <v>226</v>
      </c>
      <c r="R100" s="2" t="s">
        <v>227</v>
      </c>
      <c r="S100" s="2" t="s">
        <v>905</v>
      </c>
      <c r="T100" s="2" t="s">
        <v>227</v>
      </c>
      <c r="U100" s="2" t="s">
        <v>227</v>
      </c>
      <c r="V100" s="2" t="s">
        <v>906</v>
      </c>
      <c r="W100" s="2" t="s">
        <v>581</v>
      </c>
      <c r="X100" s="2" t="s">
        <v>227</v>
      </c>
      <c r="Y100" s="2" t="s">
        <v>907</v>
      </c>
      <c r="Z100" s="4">
        <v>178</v>
      </c>
      <c r="AA100" s="4">
        <f>=ROUNDDOWN(44.5,0)</f>
      </c>
      <c r="AB100" s="5">
        <v>4</v>
      </c>
      <c r="AC100" s="2" t="s">
        <v>227</v>
      </c>
      <c r="AD100" s="4"/>
      <c r="AE100" s="4"/>
      <c r="AF100" s="6">
        <v>74</v>
      </c>
      <c r="AG100" s="6"/>
      <c r="AH100" s="7">
        <v>1</v>
      </c>
      <c r="AI100" s="4"/>
      <c r="AJ100" s="4">
        <f>=ROUNDDOWN({0},0)</f>
      </c>
      <c r="AK100" s="5"/>
      <c r="AL100" s="2" t="s">
        <v>227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 t="s">
        <v>227</v>
      </c>
      <c r="BD100" s="8" t="s">
        <v>227</v>
      </c>
      <c r="BE100" s="4" t="s">
        <v>227</v>
      </c>
      <c r="BF100" s="8" t="s">
        <v>227</v>
      </c>
      <c r="BG100" s="7" t="s">
        <v>227</v>
      </c>
      <c r="BH100" s="7" t="s">
        <v>227</v>
      </c>
      <c r="BI100" s="7"/>
      <c r="BJ100" s="4">
        <v>12</v>
      </c>
      <c r="BK100" s="8">
        <v>2129.36</v>
      </c>
      <c r="BL100" s="2" t="s">
        <v>908</v>
      </c>
      <c r="BM100" s="7"/>
      <c r="BN100" s="7"/>
      <c r="BO100" s="4"/>
      <c r="BP100" s="8"/>
      <c r="BQ100" s="4"/>
      <c r="BR100" s="8"/>
      <c r="BS100" s="7"/>
      <c r="BT100" s="7"/>
      <c r="BU100" s="2" t="s">
        <v>909</v>
      </c>
      <c r="BV100" s="2" t="s">
        <v>227</v>
      </c>
      <c r="BW100" s="2" t="s">
        <v>227</v>
      </c>
      <c r="BX100" s="2" t="s">
        <v>235</v>
      </c>
      <c r="BY100" s="2" t="s">
        <v>236</v>
      </c>
      <c r="BZ100" s="2" t="s">
        <v>224</v>
      </c>
      <c r="CA100" s="2" t="s">
        <v>910</v>
      </c>
      <c r="CB100" s="2" t="s">
        <v>911</v>
      </c>
      <c r="CC100" s="2" t="s">
        <v>239</v>
      </c>
      <c r="CD100" s="2" t="s">
        <v>227</v>
      </c>
      <c r="CE100" s="4"/>
      <c r="CF100" s="4">
        <v>178</v>
      </c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</row>
    <row r="101">
      <c r="A101" s="2" t="s">
        <v>912</v>
      </c>
      <c r="B101" s="2" t="s">
        <v>573</v>
      </c>
      <c r="C101" s="2" t="s">
        <v>360</v>
      </c>
      <c r="D101" s="2" t="s">
        <v>832</v>
      </c>
      <c r="E101" s="2" t="s">
        <v>833</v>
      </c>
      <c r="F101" s="2" t="s">
        <v>895</v>
      </c>
      <c r="G101" s="2" t="s">
        <v>896</v>
      </c>
      <c r="H101" s="2" t="s">
        <v>897</v>
      </c>
      <c r="I101" s="2" t="s">
        <v>898</v>
      </c>
      <c r="J101" s="2" t="s">
        <v>548</v>
      </c>
      <c r="K101" s="2" t="s">
        <v>913</v>
      </c>
      <c r="L101" s="3">
        <v>182.75</v>
      </c>
      <c r="M101" s="3">
        <v>191.89</v>
      </c>
      <c r="N101" s="3">
        <v>379</v>
      </c>
      <c r="O101" s="2" t="s">
        <v>224</v>
      </c>
      <c r="P101" s="2" t="s">
        <v>580</v>
      </c>
      <c r="Q101" s="2" t="s">
        <v>226</v>
      </c>
      <c r="R101" s="2" t="s">
        <v>227</v>
      </c>
      <c r="S101" s="2" t="s">
        <v>227</v>
      </c>
      <c r="T101" s="2" t="s">
        <v>227</v>
      </c>
      <c r="U101" s="2" t="s">
        <v>227</v>
      </c>
      <c r="V101" s="2" t="s">
        <v>230</v>
      </c>
      <c r="W101" s="2" t="s">
        <v>581</v>
      </c>
      <c r="X101" s="2" t="s">
        <v>227</v>
      </c>
      <c r="Y101" s="2" t="s">
        <v>914</v>
      </c>
      <c r="Z101" s="4">
        <v>197</v>
      </c>
      <c r="AA101" s="4">
        <f>=ROUNDDOWN(56.2857142857143,0)</f>
      </c>
      <c r="AB101" s="5">
        <v>3.5</v>
      </c>
      <c r="AC101" s="2" t="s">
        <v>227</v>
      </c>
      <c r="AD101" s="4"/>
      <c r="AE101" s="4"/>
      <c r="AF101" s="6">
        <v>74</v>
      </c>
      <c r="AG101" s="6"/>
      <c r="AH101" s="7">
        <v>1</v>
      </c>
      <c r="AI101" s="4"/>
      <c r="AJ101" s="4">
        <f>=ROUNDDOWN({0},0)</f>
      </c>
      <c r="AK101" s="5"/>
      <c r="AL101" s="2" t="s">
        <v>227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 t="s">
        <v>227</v>
      </c>
      <c r="BD101" s="8" t="s">
        <v>227</v>
      </c>
      <c r="BE101" s="4" t="s">
        <v>227</v>
      </c>
      <c r="BF101" s="8" t="s">
        <v>227</v>
      </c>
      <c r="BG101" s="7" t="s">
        <v>227</v>
      </c>
      <c r="BH101" s="7" t="s">
        <v>227</v>
      </c>
      <c r="BI101" s="7"/>
      <c r="BJ101" s="4">
        <v>8</v>
      </c>
      <c r="BK101" s="8">
        <v>1402.04</v>
      </c>
      <c r="BL101" s="2" t="s">
        <v>915</v>
      </c>
      <c r="BM101" s="7"/>
      <c r="BN101" s="7"/>
      <c r="BO101" s="4"/>
      <c r="BP101" s="8"/>
      <c r="BQ101" s="4"/>
      <c r="BR101" s="8"/>
      <c r="BS101" s="7"/>
      <c r="BT101" s="7"/>
      <c r="BU101" s="2" t="s">
        <v>916</v>
      </c>
      <c r="BV101" s="2" t="s">
        <v>227</v>
      </c>
      <c r="BW101" s="2" t="s">
        <v>227</v>
      </c>
      <c r="BX101" s="2" t="s">
        <v>235</v>
      </c>
      <c r="BY101" s="2" t="s">
        <v>236</v>
      </c>
      <c r="BZ101" s="2" t="s">
        <v>224</v>
      </c>
      <c r="CA101" s="2" t="s">
        <v>917</v>
      </c>
      <c r="CB101" s="2" t="s">
        <v>918</v>
      </c>
      <c r="CC101" s="2" t="s">
        <v>239</v>
      </c>
      <c r="CD101" s="2" t="s">
        <v>227</v>
      </c>
      <c r="CE101" s="4"/>
      <c r="CF101" s="4">
        <v>197</v>
      </c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</row>
    <row r="102">
      <c r="A102" s="2" t="s">
        <v>919</v>
      </c>
      <c r="B102" s="2" t="s">
        <v>697</v>
      </c>
      <c r="C102" s="2" t="s">
        <v>360</v>
      </c>
      <c r="D102" s="2" t="s">
        <v>687</v>
      </c>
      <c r="E102" s="2" t="s">
        <v>688</v>
      </c>
      <c r="F102" s="2" t="s">
        <v>920</v>
      </c>
      <c r="G102" s="2" t="s">
        <v>921</v>
      </c>
      <c r="H102" s="2" t="s">
        <v>922</v>
      </c>
      <c r="I102" s="2" t="s">
        <v>923</v>
      </c>
      <c r="J102" s="2" t="s">
        <v>682</v>
      </c>
      <c r="K102" s="2" t="s">
        <v>672</v>
      </c>
      <c r="L102" s="3">
        <v>58.6</v>
      </c>
      <c r="M102" s="3">
        <v>61.53</v>
      </c>
      <c r="N102" s="3">
        <v>119.99</v>
      </c>
      <c r="O102" s="2" t="s">
        <v>224</v>
      </c>
      <c r="P102" s="2" t="s">
        <v>225</v>
      </c>
      <c r="Q102" s="2" t="s">
        <v>226</v>
      </c>
      <c r="R102" s="2" t="s">
        <v>227</v>
      </c>
      <c r="S102" s="2" t="s">
        <v>924</v>
      </c>
      <c r="T102" s="2" t="s">
        <v>876</v>
      </c>
      <c r="U102" s="2" t="s">
        <v>674</v>
      </c>
      <c r="V102" s="2" t="s">
        <v>925</v>
      </c>
      <c r="W102" s="2" t="s">
        <v>926</v>
      </c>
      <c r="X102" s="2" t="s">
        <v>581</v>
      </c>
      <c r="Y102" s="2" t="s">
        <v>927</v>
      </c>
      <c r="Z102" s="4">
        <v>229</v>
      </c>
      <c r="AA102" s="4">
        <f>=ROUNDDOWN(25.4444444444444,0)</f>
      </c>
      <c r="AB102" s="5">
        <v>9</v>
      </c>
      <c r="AC102" s="2" t="s">
        <v>169</v>
      </c>
      <c r="AD102" s="4">
        <v>200</v>
      </c>
      <c r="AE102" s="4">
        <v>280</v>
      </c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227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>
        <v>25</v>
      </c>
      <c r="BK102" s="8">
        <v>1621.99</v>
      </c>
      <c r="BL102" s="2" t="s">
        <v>928</v>
      </c>
      <c r="BM102" s="7"/>
      <c r="BN102" s="7"/>
      <c r="BO102" s="4"/>
      <c r="BP102" s="8"/>
      <c r="BQ102" s="4"/>
      <c r="BR102" s="8"/>
      <c r="BS102" s="7"/>
      <c r="BT102" s="7"/>
      <c r="BU102" s="2" t="s">
        <v>929</v>
      </c>
      <c r="BV102" s="2" t="s">
        <v>227</v>
      </c>
      <c r="BW102" s="2" t="s">
        <v>227</v>
      </c>
      <c r="BX102" s="2" t="s">
        <v>235</v>
      </c>
      <c r="BY102" s="2" t="s">
        <v>236</v>
      </c>
      <c r="BZ102" s="2" t="s">
        <v>224</v>
      </c>
      <c r="CA102" s="2" t="s">
        <v>930</v>
      </c>
      <c r="CB102" s="2" t="s">
        <v>931</v>
      </c>
      <c r="CC102" s="2" t="s">
        <v>239</v>
      </c>
      <c r="CD102" s="2" t="s">
        <v>227</v>
      </c>
      <c r="CE102" s="4">
        <v>229</v>
      </c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>
        <v>200</v>
      </c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>
        <v>80</v>
      </c>
      <c r="GV102" s="4"/>
      <c r="GW102" s="4"/>
      <c r="GX102" s="4"/>
    </row>
    <row r="103">
      <c r="A103" s="2" t="s">
        <v>932</v>
      </c>
      <c r="B103" s="2" t="s">
        <v>573</v>
      </c>
      <c r="C103" s="2" t="s">
        <v>360</v>
      </c>
      <c r="D103" s="2" t="s">
        <v>856</v>
      </c>
      <c r="E103" s="2" t="s">
        <v>933</v>
      </c>
      <c r="F103" s="2" t="s">
        <v>934</v>
      </c>
      <c r="G103" s="2" t="s">
        <v>935</v>
      </c>
      <c r="H103" s="2" t="s">
        <v>936</v>
      </c>
      <c r="I103" s="2" t="s">
        <v>937</v>
      </c>
      <c r="J103" s="2" t="s">
        <v>548</v>
      </c>
      <c r="K103" s="2" t="s">
        <v>737</v>
      </c>
      <c r="L103" s="3">
        <v>135.85</v>
      </c>
      <c r="M103" s="3">
        <v>142.64</v>
      </c>
      <c r="N103" s="3">
        <v>289</v>
      </c>
      <c r="O103" s="2" t="s">
        <v>224</v>
      </c>
      <c r="P103" s="2" t="s">
        <v>550</v>
      </c>
      <c r="Q103" s="2" t="s">
        <v>226</v>
      </c>
      <c r="R103" s="2" t="s">
        <v>227</v>
      </c>
      <c r="S103" s="2" t="s">
        <v>227</v>
      </c>
      <c r="T103" s="2" t="s">
        <v>227</v>
      </c>
      <c r="U103" s="2" t="s">
        <v>552</v>
      </c>
      <c r="V103" s="2" t="s">
        <v>230</v>
      </c>
      <c r="W103" s="2" t="s">
        <v>581</v>
      </c>
      <c r="X103" s="2" t="s">
        <v>227</v>
      </c>
      <c r="Y103" s="2" t="s">
        <v>582</v>
      </c>
      <c r="Z103" s="4">
        <v>404</v>
      </c>
      <c r="AA103" s="4">
        <f>=ROUNDDOWN(36.7272727272727,0)</f>
      </c>
      <c r="AB103" s="5">
        <v>11</v>
      </c>
      <c r="AC103" s="2" t="s">
        <v>938</v>
      </c>
      <c r="AD103" s="4">
        <v>172</v>
      </c>
      <c r="AE103" s="4">
        <v>172</v>
      </c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227</v>
      </c>
      <c r="AM103" s="4"/>
      <c r="AN103" s="4"/>
      <c r="AO103" s="7">
        <v>0.5484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>
        <v>33</v>
      </c>
      <c r="BK103" s="8">
        <v>4617.14</v>
      </c>
      <c r="BL103" s="2" t="s">
        <v>939</v>
      </c>
      <c r="BM103" s="7"/>
      <c r="BN103" s="7"/>
      <c r="BO103" s="4"/>
      <c r="BP103" s="8"/>
      <c r="BQ103" s="4"/>
      <c r="BR103" s="8"/>
      <c r="BS103" s="7"/>
      <c r="BT103" s="7"/>
      <c r="BU103" s="2" t="s">
        <v>940</v>
      </c>
      <c r="BV103" s="2" t="s">
        <v>227</v>
      </c>
      <c r="BW103" s="2" t="s">
        <v>227</v>
      </c>
      <c r="BX103" s="2" t="s">
        <v>235</v>
      </c>
      <c r="BY103" s="2" t="s">
        <v>236</v>
      </c>
      <c r="BZ103" s="2" t="s">
        <v>224</v>
      </c>
      <c r="CA103" s="2" t="s">
        <v>586</v>
      </c>
      <c r="CB103" s="2" t="s">
        <v>941</v>
      </c>
      <c r="CC103" s="2" t="s">
        <v>239</v>
      </c>
      <c r="CD103" s="2" t="s">
        <v>227</v>
      </c>
      <c r="CE103" s="4"/>
      <c r="CF103" s="4">
        <v>404</v>
      </c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>
        <v>172</v>
      </c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</row>
    <row r="104">
      <c r="A104" s="2" t="s">
        <v>942</v>
      </c>
      <c r="B104" s="2" t="s">
        <v>542</v>
      </c>
      <c r="C104" s="2" t="s">
        <v>360</v>
      </c>
      <c r="D104" s="2" t="s">
        <v>544</v>
      </c>
      <c r="E104" s="2" t="s">
        <v>545</v>
      </c>
      <c r="F104" s="2" t="s">
        <v>943</v>
      </c>
      <c r="G104" s="2" t="s">
        <v>943</v>
      </c>
      <c r="H104" s="2" t="s">
        <v>943</v>
      </c>
      <c r="I104" s="2" t="s">
        <v>944</v>
      </c>
      <c r="J104" s="2" t="s">
        <v>548</v>
      </c>
      <c r="K104" s="2" t="s">
        <v>223</v>
      </c>
      <c r="L104" s="3">
        <v>45.33</v>
      </c>
      <c r="M104" s="3">
        <v>47.6</v>
      </c>
      <c r="N104" s="3">
        <v>101.99</v>
      </c>
      <c r="O104" s="2" t="s">
        <v>224</v>
      </c>
      <c r="P104" s="2" t="s">
        <v>225</v>
      </c>
      <c r="Q104" s="2" t="s">
        <v>226</v>
      </c>
      <c r="R104" s="2" t="s">
        <v>227</v>
      </c>
      <c r="S104" s="2" t="s">
        <v>227</v>
      </c>
      <c r="T104" s="2" t="s">
        <v>227</v>
      </c>
      <c r="U104" s="2" t="s">
        <v>552</v>
      </c>
      <c r="V104" s="2" t="s">
        <v>945</v>
      </c>
      <c r="W104" s="2" t="s">
        <v>836</v>
      </c>
      <c r="X104" s="2" t="s">
        <v>227</v>
      </c>
      <c r="Y104" s="2" t="s">
        <v>843</v>
      </c>
      <c r="Z104" s="4">
        <v>166</v>
      </c>
      <c r="AA104" s="4">
        <f>=ROUNDDOWN(23.7142857142857,0)</f>
      </c>
      <c r="AB104" s="5">
        <v>7</v>
      </c>
      <c r="AC104" s="2" t="s">
        <v>227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227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>
        <v>31</v>
      </c>
      <c r="BK104" s="8">
        <v>1684.93</v>
      </c>
      <c r="BL104" s="2" t="s">
        <v>946</v>
      </c>
      <c r="BM104" s="7"/>
      <c r="BN104" s="7"/>
      <c r="BO104" s="4"/>
      <c r="BP104" s="8"/>
      <c r="BQ104" s="4"/>
      <c r="BR104" s="8"/>
      <c r="BS104" s="7"/>
      <c r="BT104" s="7"/>
      <c r="BU104" s="2" t="s">
        <v>947</v>
      </c>
      <c r="BV104" s="2" t="s">
        <v>227</v>
      </c>
      <c r="BW104" s="2" t="s">
        <v>227</v>
      </c>
      <c r="BX104" s="2" t="s">
        <v>235</v>
      </c>
      <c r="BY104" s="2" t="s">
        <v>236</v>
      </c>
      <c r="BZ104" s="2" t="s">
        <v>224</v>
      </c>
      <c r="CA104" s="2" t="s">
        <v>948</v>
      </c>
      <c r="CB104" s="2" t="s">
        <v>949</v>
      </c>
      <c r="CC104" s="2" t="s">
        <v>239</v>
      </c>
      <c r="CD104" s="2" t="s">
        <v>227</v>
      </c>
      <c r="CE104" s="4"/>
      <c r="CF104" s="4">
        <v>166</v>
      </c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</row>
    <row r="105">
      <c r="A105" s="2" t="s">
        <v>950</v>
      </c>
      <c r="B105" s="2" t="s">
        <v>618</v>
      </c>
      <c r="C105" s="2" t="s">
        <v>619</v>
      </c>
      <c r="D105" s="2" t="s">
        <v>620</v>
      </c>
      <c r="E105" s="2" t="s">
        <v>621</v>
      </c>
      <c r="F105" s="2" t="s">
        <v>951</v>
      </c>
      <c r="G105" s="2" t="s">
        <v>952</v>
      </c>
      <c r="H105" s="2" t="s">
        <v>953</v>
      </c>
      <c r="I105" s="2" t="s">
        <v>954</v>
      </c>
      <c r="J105" s="2" t="s">
        <v>682</v>
      </c>
      <c r="K105" s="2" t="s">
        <v>955</v>
      </c>
      <c r="L105" s="3">
        <v>31.85</v>
      </c>
      <c r="M105" s="3">
        <v>33.44</v>
      </c>
      <c r="N105" s="3">
        <v>64.99</v>
      </c>
      <c r="O105" s="2" t="s">
        <v>224</v>
      </c>
      <c r="P105" s="2" t="s">
        <v>550</v>
      </c>
      <c r="Q105" s="2" t="s">
        <v>226</v>
      </c>
      <c r="R105" s="2" t="s">
        <v>227</v>
      </c>
      <c r="S105" s="2" t="s">
        <v>956</v>
      </c>
      <c r="T105" s="2" t="s">
        <v>375</v>
      </c>
      <c r="U105" s="2" t="s">
        <v>287</v>
      </c>
      <c r="V105" s="2" t="s">
        <v>288</v>
      </c>
      <c r="W105" s="2" t="s">
        <v>231</v>
      </c>
      <c r="X105" s="2" t="s">
        <v>836</v>
      </c>
      <c r="Y105" s="2" t="s">
        <v>232</v>
      </c>
      <c r="Z105" s="4">
        <v>73</v>
      </c>
      <c r="AA105" s="4">
        <f>=ROUNDDOWN(18.25,0)</f>
      </c>
      <c r="AB105" s="5">
        <v>4</v>
      </c>
      <c r="AC105" s="2" t="s">
        <v>583</v>
      </c>
      <c r="AD105" s="4">
        <v>120</v>
      </c>
      <c r="AE105" s="4">
        <v>120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227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>
        <v>16</v>
      </c>
      <c r="BK105" s="8">
        <v>543.61</v>
      </c>
      <c r="BL105" s="2" t="s">
        <v>957</v>
      </c>
      <c r="BM105" s="7"/>
      <c r="BN105" s="7"/>
      <c r="BO105" s="4"/>
      <c r="BP105" s="8"/>
      <c r="BQ105" s="4"/>
      <c r="BR105" s="8"/>
      <c r="BS105" s="7"/>
      <c r="BT105" s="7"/>
      <c r="BU105" s="2" t="s">
        <v>958</v>
      </c>
      <c r="BV105" s="2" t="s">
        <v>227</v>
      </c>
      <c r="BW105" s="2" t="s">
        <v>227</v>
      </c>
      <c r="BX105" s="2" t="s">
        <v>235</v>
      </c>
      <c r="BY105" s="2" t="s">
        <v>236</v>
      </c>
      <c r="BZ105" s="2" t="s">
        <v>224</v>
      </c>
      <c r="CA105" s="2" t="s">
        <v>339</v>
      </c>
      <c r="CB105" s="2" t="s">
        <v>959</v>
      </c>
      <c r="CC105" s="2" t="s">
        <v>239</v>
      </c>
      <c r="CD105" s="2" t="s">
        <v>227</v>
      </c>
      <c r="CE105" s="4">
        <v>73</v>
      </c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>
        <v>120</v>
      </c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</row>
    <row r="106">
      <c r="A106" s="2" t="s">
        <v>960</v>
      </c>
      <c r="B106" s="2" t="s">
        <v>573</v>
      </c>
      <c r="C106" s="2" t="s">
        <v>360</v>
      </c>
      <c r="D106" s="2" t="s">
        <v>574</v>
      </c>
      <c r="E106" s="2" t="s">
        <v>961</v>
      </c>
      <c r="F106" s="2" t="s">
        <v>962</v>
      </c>
      <c r="G106" s="2" t="s">
        <v>963</v>
      </c>
      <c r="H106" s="2" t="s">
        <v>964</v>
      </c>
      <c r="I106" s="2" t="s">
        <v>965</v>
      </c>
      <c r="J106" s="2" t="s">
        <v>548</v>
      </c>
      <c r="K106" s="2" t="s">
        <v>363</v>
      </c>
      <c r="L106" s="3">
        <v>270.75</v>
      </c>
      <c r="M106" s="3">
        <v>284.29</v>
      </c>
      <c r="N106" s="3">
        <v>569</v>
      </c>
      <c r="O106" s="2" t="s">
        <v>224</v>
      </c>
      <c r="P106" s="2" t="s">
        <v>580</v>
      </c>
      <c r="Q106" s="2" t="s">
        <v>226</v>
      </c>
      <c r="R106" s="2" t="s">
        <v>227</v>
      </c>
      <c r="S106" s="2" t="s">
        <v>227</v>
      </c>
      <c r="T106" s="2" t="s">
        <v>227</v>
      </c>
      <c r="U106" s="2" t="s">
        <v>552</v>
      </c>
      <c r="V106" s="2" t="s">
        <v>230</v>
      </c>
      <c r="W106" s="2" t="s">
        <v>581</v>
      </c>
      <c r="X106" s="2" t="s">
        <v>227</v>
      </c>
      <c r="Y106" s="2" t="s">
        <v>966</v>
      </c>
      <c r="Z106" s="4">
        <v>99</v>
      </c>
      <c r="AA106" s="4">
        <f>=ROUNDDOWN(49.5,0)</f>
      </c>
      <c r="AB106" s="5">
        <v>2</v>
      </c>
      <c r="AC106" s="2" t="s">
        <v>227</v>
      </c>
      <c r="AD106" s="4"/>
      <c r="AE106" s="4"/>
      <c r="AF106" s="6">
        <v>66</v>
      </c>
      <c r="AG106" s="6">
        <v>49</v>
      </c>
      <c r="AH106" s="7">
        <v>1</v>
      </c>
      <c r="AI106" s="4"/>
      <c r="AJ106" s="4">
        <f>=ROUNDDOWN({0},0)</f>
      </c>
      <c r="AK106" s="5"/>
      <c r="AL106" s="2" t="s">
        <v>227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>
        <v>5</v>
      </c>
      <c r="BK106" s="8">
        <v>1449.92</v>
      </c>
      <c r="BL106" s="2" t="s">
        <v>967</v>
      </c>
      <c r="BM106" s="7"/>
      <c r="BN106" s="7"/>
      <c r="BO106" s="4"/>
      <c r="BP106" s="8"/>
      <c r="BQ106" s="4"/>
      <c r="BR106" s="8"/>
      <c r="BS106" s="7"/>
      <c r="BT106" s="7"/>
      <c r="BU106" s="2" t="s">
        <v>968</v>
      </c>
      <c r="BV106" s="2" t="s">
        <v>227</v>
      </c>
      <c r="BW106" s="2" t="s">
        <v>227</v>
      </c>
      <c r="BX106" s="2" t="s">
        <v>235</v>
      </c>
      <c r="BY106" s="2" t="s">
        <v>236</v>
      </c>
      <c r="BZ106" s="2" t="s">
        <v>224</v>
      </c>
      <c r="CA106" s="2" t="s">
        <v>966</v>
      </c>
      <c r="CB106" s="2" t="s">
        <v>969</v>
      </c>
      <c r="CC106" s="2" t="s">
        <v>239</v>
      </c>
      <c r="CD106" s="2" t="s">
        <v>227</v>
      </c>
      <c r="CE106" s="4"/>
      <c r="CF106" s="4">
        <v>99</v>
      </c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</row>
    <row r="107">
      <c r="A107" s="2" t="s">
        <v>970</v>
      </c>
      <c r="B107" s="2" t="s">
        <v>715</v>
      </c>
      <c r="C107" s="2" t="s">
        <v>360</v>
      </c>
      <c r="D107" s="2" t="s">
        <v>716</v>
      </c>
      <c r="E107" s="2" t="s">
        <v>971</v>
      </c>
      <c r="F107" s="2" t="s">
        <v>972</v>
      </c>
      <c r="G107" s="2" t="s">
        <v>973</v>
      </c>
      <c r="H107" s="2" t="s">
        <v>974</v>
      </c>
      <c r="I107" s="2" t="s">
        <v>975</v>
      </c>
      <c r="J107" s="2" t="s">
        <v>722</v>
      </c>
      <c r="K107" s="2" t="s">
        <v>976</v>
      </c>
      <c r="L107" s="3">
        <v>25.3</v>
      </c>
      <c r="M107" s="3">
        <v>26.56</v>
      </c>
      <c r="N107" s="3">
        <v>54.99</v>
      </c>
      <c r="O107" s="2" t="s">
        <v>224</v>
      </c>
      <c r="P107" s="2" t="s">
        <v>550</v>
      </c>
      <c r="Q107" s="2" t="s">
        <v>226</v>
      </c>
      <c r="R107" s="2" t="s">
        <v>227</v>
      </c>
      <c r="S107" s="2" t="s">
        <v>977</v>
      </c>
      <c r="T107" s="2" t="s">
        <v>227</v>
      </c>
      <c r="U107" s="2" t="s">
        <v>227</v>
      </c>
      <c r="V107" s="2" t="s">
        <v>978</v>
      </c>
      <c r="W107" s="2" t="s">
        <v>506</v>
      </c>
      <c r="X107" s="2" t="s">
        <v>725</v>
      </c>
      <c r="Y107" s="2" t="s">
        <v>232</v>
      </c>
      <c r="Z107" s="4">
        <v>987</v>
      </c>
      <c r="AA107" s="4">
        <f>=ROUNDDOWN(30.84375,0)</f>
      </c>
      <c r="AB107" s="5">
        <v>32</v>
      </c>
      <c r="AC107" s="2" t="s">
        <v>158</v>
      </c>
      <c r="AD107" s="4">
        <v>200</v>
      </c>
      <c r="AE107" s="4">
        <v>520</v>
      </c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227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 t="s">
        <v>227</v>
      </c>
      <c r="BD107" s="8" t="s">
        <v>227</v>
      </c>
      <c r="BE107" s="4" t="s">
        <v>227</v>
      </c>
      <c r="BF107" s="8" t="s">
        <v>227</v>
      </c>
      <c r="BG107" s="7" t="s">
        <v>227</v>
      </c>
      <c r="BH107" s="7" t="s">
        <v>227</v>
      </c>
      <c r="BI107" s="7"/>
      <c r="BJ107" s="4">
        <v>78</v>
      </c>
      <c r="BK107" s="8">
        <v>2145.6</v>
      </c>
      <c r="BL107" s="2" t="s">
        <v>979</v>
      </c>
      <c r="BM107" s="7"/>
      <c r="BN107" s="7"/>
      <c r="BO107" s="4"/>
      <c r="BP107" s="8"/>
      <c r="BQ107" s="4"/>
      <c r="BR107" s="8"/>
      <c r="BS107" s="7"/>
      <c r="BT107" s="7"/>
      <c r="BU107" s="2" t="s">
        <v>980</v>
      </c>
      <c r="BV107" s="2" t="s">
        <v>227</v>
      </c>
      <c r="BW107" s="2" t="s">
        <v>227</v>
      </c>
      <c r="BX107" s="2" t="s">
        <v>235</v>
      </c>
      <c r="BY107" s="2" t="s">
        <v>236</v>
      </c>
      <c r="BZ107" s="2" t="s">
        <v>224</v>
      </c>
      <c r="CA107" s="2" t="s">
        <v>237</v>
      </c>
      <c r="CB107" s="2" t="s">
        <v>981</v>
      </c>
      <c r="CC107" s="2" t="s">
        <v>239</v>
      </c>
      <c r="CD107" s="2" t="s">
        <v>227</v>
      </c>
      <c r="CE107" s="4">
        <v>987</v>
      </c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>
        <v>200</v>
      </c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>
        <v>320</v>
      </c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</row>
    <row r="108">
      <c r="A108" s="2" t="s">
        <v>982</v>
      </c>
      <c r="B108" s="2" t="s">
        <v>715</v>
      </c>
      <c r="C108" s="2" t="s">
        <v>360</v>
      </c>
      <c r="D108" s="2" t="s">
        <v>716</v>
      </c>
      <c r="E108" s="2" t="s">
        <v>971</v>
      </c>
      <c r="F108" s="2" t="s">
        <v>972</v>
      </c>
      <c r="G108" s="2" t="s">
        <v>973</v>
      </c>
      <c r="H108" s="2" t="s">
        <v>974</v>
      </c>
      <c r="I108" s="2" t="s">
        <v>975</v>
      </c>
      <c r="J108" s="2" t="s">
        <v>983</v>
      </c>
      <c r="K108" s="2" t="s">
        <v>984</v>
      </c>
      <c r="L108" s="3">
        <v>31.5</v>
      </c>
      <c r="M108" s="3">
        <v>33.08</v>
      </c>
      <c r="N108" s="3">
        <v>69.99</v>
      </c>
      <c r="O108" s="2" t="s">
        <v>224</v>
      </c>
      <c r="P108" s="2" t="s">
        <v>485</v>
      </c>
      <c r="Q108" s="2" t="s">
        <v>226</v>
      </c>
      <c r="R108" s="2" t="s">
        <v>227</v>
      </c>
      <c r="S108" s="2" t="s">
        <v>985</v>
      </c>
      <c r="T108" s="2" t="s">
        <v>227</v>
      </c>
      <c r="U108" s="2" t="s">
        <v>227</v>
      </c>
      <c r="V108" s="2" t="s">
        <v>978</v>
      </c>
      <c r="W108" s="2" t="s">
        <v>506</v>
      </c>
      <c r="X108" s="2" t="s">
        <v>725</v>
      </c>
      <c r="Y108" s="2" t="s">
        <v>232</v>
      </c>
      <c r="Z108" s="4">
        <v>326</v>
      </c>
      <c r="AA108" s="4">
        <f>=ROUNDDOWN(46.5714285714286,0)</f>
      </c>
      <c r="AB108" s="5">
        <v>7</v>
      </c>
      <c r="AC108" s="2" t="s">
        <v>227</v>
      </c>
      <c r="AD108" s="4"/>
      <c r="AE108" s="4"/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227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 t="s">
        <v>227</v>
      </c>
      <c r="BD108" s="8" t="s">
        <v>227</v>
      </c>
      <c r="BE108" s="4" t="s">
        <v>227</v>
      </c>
      <c r="BF108" s="8" t="s">
        <v>227</v>
      </c>
      <c r="BG108" s="7" t="s">
        <v>227</v>
      </c>
      <c r="BH108" s="7" t="s">
        <v>227</v>
      </c>
      <c r="BI108" s="7"/>
      <c r="BJ108" s="4">
        <v>12</v>
      </c>
      <c r="BK108" s="8">
        <v>466.04</v>
      </c>
      <c r="BL108" s="2" t="s">
        <v>986</v>
      </c>
      <c r="BM108" s="7"/>
      <c r="BN108" s="7"/>
      <c r="BO108" s="4"/>
      <c r="BP108" s="8"/>
      <c r="BQ108" s="4"/>
      <c r="BR108" s="8"/>
      <c r="BS108" s="7"/>
      <c r="BT108" s="7"/>
      <c r="BU108" s="2" t="s">
        <v>987</v>
      </c>
      <c r="BV108" s="2" t="s">
        <v>227</v>
      </c>
      <c r="BW108" s="2" t="s">
        <v>227</v>
      </c>
      <c r="BX108" s="2" t="s">
        <v>235</v>
      </c>
      <c r="BY108" s="2" t="s">
        <v>236</v>
      </c>
      <c r="BZ108" s="2" t="s">
        <v>224</v>
      </c>
      <c r="CA108" s="2" t="s">
        <v>237</v>
      </c>
      <c r="CB108" s="2" t="s">
        <v>988</v>
      </c>
      <c r="CC108" s="2" t="s">
        <v>239</v>
      </c>
      <c r="CD108" s="2" t="s">
        <v>227</v>
      </c>
      <c r="CE108" s="4">
        <v>326</v>
      </c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</row>
    <row r="109">
      <c r="A109" s="2" t="s">
        <v>989</v>
      </c>
      <c r="B109" s="2" t="s">
        <v>667</v>
      </c>
      <c r="C109" s="2" t="s">
        <v>360</v>
      </c>
      <c r="D109" s="2" t="s">
        <v>687</v>
      </c>
      <c r="E109" s="2" t="s">
        <v>990</v>
      </c>
      <c r="F109" s="2" t="s">
        <v>972</v>
      </c>
      <c r="G109" s="2" t="s">
        <v>973</v>
      </c>
      <c r="H109" s="2" t="s">
        <v>974</v>
      </c>
      <c r="I109" s="2" t="s">
        <v>991</v>
      </c>
      <c r="J109" s="2" t="s">
        <v>384</v>
      </c>
      <c r="K109" s="2" t="s">
        <v>610</v>
      </c>
      <c r="L109" s="3">
        <v>94.5</v>
      </c>
      <c r="M109" s="3">
        <v>99.22</v>
      </c>
      <c r="N109" s="3">
        <v>199.99</v>
      </c>
      <c r="O109" s="2" t="s">
        <v>224</v>
      </c>
      <c r="P109" s="2" t="s">
        <v>225</v>
      </c>
      <c r="Q109" s="2" t="s">
        <v>226</v>
      </c>
      <c r="R109" s="2" t="s">
        <v>227</v>
      </c>
      <c r="S109" s="2" t="s">
        <v>992</v>
      </c>
      <c r="T109" s="2" t="s">
        <v>993</v>
      </c>
      <c r="U109" s="2" t="s">
        <v>994</v>
      </c>
      <c r="V109" s="2" t="s">
        <v>978</v>
      </c>
      <c r="W109" s="2" t="s">
        <v>506</v>
      </c>
      <c r="X109" s="2" t="s">
        <v>227</v>
      </c>
      <c r="Y109" s="2" t="s">
        <v>995</v>
      </c>
      <c r="Z109" s="4">
        <v>134</v>
      </c>
      <c r="AA109" s="4">
        <f>=ROUNDDOWN(67,0)</f>
      </c>
      <c r="AB109" s="5">
        <v>2</v>
      </c>
      <c r="AC109" s="2" t="s">
        <v>156</v>
      </c>
      <c r="AD109" s="4">
        <v>60</v>
      </c>
      <c r="AE109" s="4">
        <v>90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227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 t="s">
        <v>227</v>
      </c>
      <c r="BD109" s="8" t="s">
        <v>227</v>
      </c>
      <c r="BE109" s="4" t="s">
        <v>227</v>
      </c>
      <c r="BF109" s="8" t="s">
        <v>227</v>
      </c>
      <c r="BG109" s="7" t="s">
        <v>227</v>
      </c>
      <c r="BH109" s="7" t="s">
        <v>227</v>
      </c>
      <c r="BI109" s="7"/>
      <c r="BJ109" s="4">
        <v>11</v>
      </c>
      <c r="BK109" s="8">
        <v>1218.92</v>
      </c>
      <c r="BL109" s="2" t="s">
        <v>996</v>
      </c>
      <c r="BM109" s="7"/>
      <c r="BN109" s="7"/>
      <c r="BO109" s="4"/>
      <c r="BP109" s="8"/>
      <c r="BQ109" s="4"/>
      <c r="BR109" s="8"/>
      <c r="BS109" s="7"/>
      <c r="BT109" s="7"/>
      <c r="BU109" s="2" t="s">
        <v>997</v>
      </c>
      <c r="BV109" s="2" t="s">
        <v>227</v>
      </c>
      <c r="BW109" s="2" t="s">
        <v>227</v>
      </c>
      <c r="BX109" s="2" t="s">
        <v>235</v>
      </c>
      <c r="BY109" s="2" t="s">
        <v>236</v>
      </c>
      <c r="BZ109" s="2" t="s">
        <v>224</v>
      </c>
      <c r="CA109" s="2" t="s">
        <v>998</v>
      </c>
      <c r="CB109" s="2" t="s">
        <v>999</v>
      </c>
      <c r="CC109" s="2" t="s">
        <v>239</v>
      </c>
      <c r="CD109" s="2" t="s">
        <v>227</v>
      </c>
      <c r="CE109" s="4">
        <v>134</v>
      </c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>
        <v>60</v>
      </c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>
        <v>30</v>
      </c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</row>
    <row r="110">
      <c r="A110" s="2" t="s">
        <v>1000</v>
      </c>
      <c r="B110" s="2" t="s">
        <v>1001</v>
      </c>
      <c r="C110" s="2" t="s">
        <v>668</v>
      </c>
      <c r="D110" s="2" t="s">
        <v>1002</v>
      </c>
      <c r="E110" s="2" t="s">
        <v>1003</v>
      </c>
      <c r="F110" s="2" t="s">
        <v>1004</v>
      </c>
      <c r="G110" s="2" t="s">
        <v>1004</v>
      </c>
      <c r="H110" s="2" t="s">
        <v>1004</v>
      </c>
      <c r="I110" s="2" t="s">
        <v>1005</v>
      </c>
      <c r="J110" s="2" t="s">
        <v>1006</v>
      </c>
      <c r="K110" s="2" t="s">
        <v>1007</v>
      </c>
      <c r="L110" s="3">
        <v>72</v>
      </c>
      <c r="M110" s="3">
        <v>75.6</v>
      </c>
      <c r="N110" s="3">
        <v>149.99</v>
      </c>
      <c r="O110" s="2" t="s">
        <v>224</v>
      </c>
      <c r="P110" s="2" t="s">
        <v>225</v>
      </c>
      <c r="Q110" s="2" t="s">
        <v>226</v>
      </c>
      <c r="R110" s="2" t="s">
        <v>227</v>
      </c>
      <c r="S110" s="2" t="s">
        <v>227</v>
      </c>
      <c r="T110" s="2" t="s">
        <v>227</v>
      </c>
      <c r="U110" s="2" t="s">
        <v>552</v>
      </c>
      <c r="V110" s="2" t="s">
        <v>566</v>
      </c>
      <c r="W110" s="2" t="s">
        <v>581</v>
      </c>
      <c r="X110" s="2" t="s">
        <v>1008</v>
      </c>
      <c r="Y110" s="2" t="s">
        <v>1009</v>
      </c>
      <c r="Z110" s="4">
        <v>111</v>
      </c>
      <c r="AA110" s="4">
        <f>=ROUNDDOWN(15.8571428571429,0)</f>
      </c>
      <c r="AB110" s="5">
        <v>7</v>
      </c>
      <c r="AC110" s="2" t="s">
        <v>227</v>
      </c>
      <c r="AD110" s="4"/>
      <c r="AE110" s="4"/>
      <c r="AF110" s="6">
        <v>63</v>
      </c>
      <c r="AG110" s="6"/>
      <c r="AH110" s="7">
        <v>0.5161</v>
      </c>
      <c r="AI110" s="4"/>
      <c r="AJ110" s="4">
        <f>=ROUNDDOWN({0},0)</f>
      </c>
      <c r="AK110" s="5"/>
      <c r="AL110" s="2" t="s">
        <v>227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>
        <v>28</v>
      </c>
      <c r="BK110" s="8">
        <v>2296.8</v>
      </c>
      <c r="BL110" s="2" t="s">
        <v>654</v>
      </c>
      <c r="BM110" s="7"/>
      <c r="BN110" s="7"/>
      <c r="BO110" s="4"/>
      <c r="BP110" s="8"/>
      <c r="BQ110" s="4"/>
      <c r="BR110" s="8"/>
      <c r="BS110" s="7"/>
      <c r="BT110" s="7"/>
      <c r="BU110" s="2" t="s">
        <v>1010</v>
      </c>
      <c r="BV110" s="2" t="s">
        <v>227</v>
      </c>
      <c r="BW110" s="2" t="s">
        <v>227</v>
      </c>
      <c r="BX110" s="2" t="s">
        <v>711</v>
      </c>
      <c r="BY110" s="2" t="s">
        <v>236</v>
      </c>
      <c r="BZ110" s="2" t="s">
        <v>224</v>
      </c>
      <c r="CA110" s="2" t="s">
        <v>1011</v>
      </c>
      <c r="CB110" s="2" t="s">
        <v>1012</v>
      </c>
      <c r="CC110" s="2" t="s">
        <v>239</v>
      </c>
      <c r="CD110" s="2" t="s">
        <v>227</v>
      </c>
      <c r="CE110" s="4"/>
      <c r="CF110" s="4">
        <v>111</v>
      </c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</row>
    <row r="111">
      <c r="A111" s="2" t="s">
        <v>1013</v>
      </c>
      <c r="B111" s="2" t="s">
        <v>573</v>
      </c>
      <c r="C111" s="2" t="s">
        <v>360</v>
      </c>
      <c r="D111" s="2" t="s">
        <v>574</v>
      </c>
      <c r="E111" s="2" t="s">
        <v>1014</v>
      </c>
      <c r="F111" s="2" t="s">
        <v>1015</v>
      </c>
      <c r="G111" s="2" t="s">
        <v>1016</v>
      </c>
      <c r="H111" s="2" t="s">
        <v>1017</v>
      </c>
      <c r="I111" s="2" t="s">
        <v>1018</v>
      </c>
      <c r="J111" s="2" t="s">
        <v>548</v>
      </c>
      <c r="K111" s="2" t="s">
        <v>1019</v>
      </c>
      <c r="L111" s="3">
        <v>237.5</v>
      </c>
      <c r="M111" s="3">
        <v>249.38</v>
      </c>
      <c r="N111" s="3">
        <v>499</v>
      </c>
      <c r="O111" s="2" t="s">
        <v>224</v>
      </c>
      <c r="P111" s="2" t="s">
        <v>580</v>
      </c>
      <c r="Q111" s="2" t="s">
        <v>226</v>
      </c>
      <c r="R111" s="2" t="s">
        <v>227</v>
      </c>
      <c r="S111" s="2" t="s">
        <v>227</v>
      </c>
      <c r="T111" s="2" t="s">
        <v>227</v>
      </c>
      <c r="U111" s="2" t="s">
        <v>552</v>
      </c>
      <c r="V111" s="2" t="s">
        <v>230</v>
      </c>
      <c r="W111" s="2" t="s">
        <v>581</v>
      </c>
      <c r="X111" s="2" t="s">
        <v>227</v>
      </c>
      <c r="Y111" s="2" t="s">
        <v>1020</v>
      </c>
      <c r="Z111" s="4">
        <v>214</v>
      </c>
      <c r="AA111" s="4">
        <f>=ROUNDDOWN(53.5,0)</f>
      </c>
      <c r="AB111" s="5">
        <v>4</v>
      </c>
      <c r="AC111" s="2" t="s">
        <v>227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227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>
        <v>13</v>
      </c>
      <c r="BK111" s="8">
        <v>2998.84</v>
      </c>
      <c r="BL111" s="2" t="s">
        <v>1021</v>
      </c>
      <c r="BM111" s="7"/>
      <c r="BN111" s="7"/>
      <c r="BO111" s="4"/>
      <c r="BP111" s="8"/>
      <c r="BQ111" s="4"/>
      <c r="BR111" s="8"/>
      <c r="BS111" s="7"/>
      <c r="BT111" s="7"/>
      <c r="BU111" s="2" t="s">
        <v>1022</v>
      </c>
      <c r="BV111" s="2" t="s">
        <v>227</v>
      </c>
      <c r="BW111" s="2" t="s">
        <v>227</v>
      </c>
      <c r="BX111" s="2" t="s">
        <v>235</v>
      </c>
      <c r="BY111" s="2" t="s">
        <v>236</v>
      </c>
      <c r="BZ111" s="2" t="s">
        <v>224</v>
      </c>
      <c r="CA111" s="2" t="s">
        <v>1023</v>
      </c>
      <c r="CB111" s="2" t="s">
        <v>1024</v>
      </c>
      <c r="CC111" s="2" t="s">
        <v>239</v>
      </c>
      <c r="CD111" s="2" t="s">
        <v>227</v>
      </c>
      <c r="CE111" s="4"/>
      <c r="CF111" s="4">
        <v>214</v>
      </c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</row>
    <row r="112">
      <c r="A112" s="2" t="s">
        <v>1025</v>
      </c>
      <c r="B112" s="2" t="s">
        <v>667</v>
      </c>
      <c r="C112" s="2" t="s">
        <v>1026</v>
      </c>
      <c r="D112" s="2" t="s">
        <v>1027</v>
      </c>
      <c r="E112" s="2" t="s">
        <v>1028</v>
      </c>
      <c r="F112" s="2" t="s">
        <v>1029</v>
      </c>
      <c r="G112" s="2" t="s">
        <v>1029</v>
      </c>
      <c r="H112" s="2" t="s">
        <v>1029</v>
      </c>
      <c r="I112" s="2" t="s">
        <v>1030</v>
      </c>
      <c r="J112" s="2" t="s">
        <v>1031</v>
      </c>
      <c r="K112" s="2" t="s">
        <v>565</v>
      </c>
      <c r="L112" s="3">
        <v>30.95</v>
      </c>
      <c r="M112" s="3">
        <v>32.5</v>
      </c>
      <c r="N112" s="3">
        <v>99.99</v>
      </c>
      <c r="O112" s="2" t="s">
        <v>224</v>
      </c>
      <c r="P112" s="2" t="s">
        <v>580</v>
      </c>
      <c r="Q112" s="2" t="s">
        <v>226</v>
      </c>
      <c r="R112" s="2" t="s">
        <v>227</v>
      </c>
      <c r="S112" s="2" t="s">
        <v>227</v>
      </c>
      <c r="T112" s="2" t="s">
        <v>227</v>
      </c>
      <c r="U112" s="2" t="s">
        <v>552</v>
      </c>
      <c r="V112" s="2" t="s">
        <v>1032</v>
      </c>
      <c r="W112" s="2" t="s">
        <v>506</v>
      </c>
      <c r="X112" s="2" t="s">
        <v>227</v>
      </c>
      <c r="Y112" s="2" t="s">
        <v>1033</v>
      </c>
      <c r="Z112" s="4">
        <v>164</v>
      </c>
      <c r="AA112" s="4">
        <f>=ROUNDDOWN(82,0)</f>
      </c>
      <c r="AB112" s="5">
        <v>2</v>
      </c>
      <c r="AC112" s="2" t="s">
        <v>227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227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/>
      <c r="BD112" s="8"/>
      <c r="BE112" s="4"/>
      <c r="BF112" s="8"/>
      <c r="BG112" s="7"/>
      <c r="BH112" s="7"/>
      <c r="BI112" s="7"/>
      <c r="BJ112" s="4">
        <v>4</v>
      </c>
      <c r="BK112" s="8">
        <v>226.53</v>
      </c>
      <c r="BL112" s="2" t="s">
        <v>1034</v>
      </c>
      <c r="BM112" s="7"/>
      <c r="BN112" s="7"/>
      <c r="BO112" s="4"/>
      <c r="BP112" s="8"/>
      <c r="BQ112" s="4"/>
      <c r="BR112" s="8"/>
      <c r="BS112" s="7"/>
      <c r="BT112" s="7"/>
      <c r="BU112" s="2" t="s">
        <v>1035</v>
      </c>
      <c r="BV112" s="2" t="s">
        <v>227</v>
      </c>
      <c r="BW112" s="2" t="s">
        <v>227</v>
      </c>
      <c r="BX112" s="2" t="s">
        <v>235</v>
      </c>
      <c r="BY112" s="2" t="s">
        <v>236</v>
      </c>
      <c r="BZ112" s="2" t="s">
        <v>224</v>
      </c>
      <c r="CA112" s="2" t="s">
        <v>1036</v>
      </c>
      <c r="CB112" s="2" t="s">
        <v>1037</v>
      </c>
      <c r="CC112" s="2" t="s">
        <v>239</v>
      </c>
      <c r="CD112" s="2" t="s">
        <v>227</v>
      </c>
      <c r="CE112" s="4">
        <v>164</v>
      </c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</row>
    <row r="113">
      <c r="A113" s="2" t="s">
        <v>1038</v>
      </c>
      <c r="B113" s="2" t="s">
        <v>542</v>
      </c>
      <c r="C113" s="2" t="s">
        <v>360</v>
      </c>
      <c r="D113" s="2" t="s">
        <v>1039</v>
      </c>
      <c r="E113" s="2" t="s">
        <v>545</v>
      </c>
      <c r="F113" s="2" t="s">
        <v>1040</v>
      </c>
      <c r="G113" s="2" t="s">
        <v>1040</v>
      </c>
      <c r="H113" s="2" t="s">
        <v>1040</v>
      </c>
      <c r="I113" s="2" t="s">
        <v>1041</v>
      </c>
      <c r="J113" s="2" t="s">
        <v>548</v>
      </c>
      <c r="K113" s="2" t="s">
        <v>1042</v>
      </c>
      <c r="L113" s="3">
        <v>54.4</v>
      </c>
      <c r="M113" s="3">
        <v>57.12</v>
      </c>
      <c r="N113" s="3">
        <v>114.74</v>
      </c>
      <c r="O113" s="2" t="s">
        <v>224</v>
      </c>
      <c r="P113" s="2" t="s">
        <v>580</v>
      </c>
      <c r="Q113" s="2" t="s">
        <v>226</v>
      </c>
      <c r="R113" s="2" t="s">
        <v>227</v>
      </c>
      <c r="S113" s="2" t="s">
        <v>1043</v>
      </c>
      <c r="T113" s="2" t="s">
        <v>227</v>
      </c>
      <c r="U113" s="2" t="s">
        <v>1044</v>
      </c>
      <c r="V113" s="2" t="s">
        <v>945</v>
      </c>
      <c r="W113" s="2" t="s">
        <v>836</v>
      </c>
      <c r="X113" s="2" t="s">
        <v>1045</v>
      </c>
      <c r="Y113" s="2" t="s">
        <v>1046</v>
      </c>
      <c r="Z113" s="4">
        <v>58</v>
      </c>
      <c r="AA113" s="4">
        <f>=ROUNDDOWN(19.3333333333333,0)</f>
      </c>
      <c r="AB113" s="5">
        <v>3</v>
      </c>
      <c r="AC113" s="2" t="s">
        <v>227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227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/>
      <c r="BD113" s="8"/>
      <c r="BE113" s="4"/>
      <c r="BF113" s="8"/>
      <c r="BG113" s="7"/>
      <c r="BH113" s="7"/>
      <c r="BI113" s="7"/>
      <c r="BJ113" s="4">
        <v>22</v>
      </c>
      <c r="BK113" s="8">
        <v>1435.53</v>
      </c>
      <c r="BL113" s="2" t="s">
        <v>1047</v>
      </c>
      <c r="BM113" s="7"/>
      <c r="BN113" s="7"/>
      <c r="BO113" s="4"/>
      <c r="BP113" s="8"/>
      <c r="BQ113" s="4"/>
      <c r="BR113" s="8"/>
      <c r="BS113" s="7"/>
      <c r="BT113" s="7"/>
      <c r="BU113" s="2" t="s">
        <v>1048</v>
      </c>
      <c r="BV113" s="2" t="s">
        <v>227</v>
      </c>
      <c r="BW113" s="2" t="s">
        <v>227</v>
      </c>
      <c r="BX113" s="2" t="s">
        <v>235</v>
      </c>
      <c r="BY113" s="2" t="s">
        <v>236</v>
      </c>
      <c r="BZ113" s="2" t="s">
        <v>224</v>
      </c>
      <c r="CA113" s="2" t="s">
        <v>1049</v>
      </c>
      <c r="CB113" s="2" t="s">
        <v>1050</v>
      </c>
      <c r="CC113" s="2" t="s">
        <v>239</v>
      </c>
      <c r="CD113" s="2" t="s">
        <v>227</v>
      </c>
      <c r="CE113" s="4"/>
      <c r="CF113" s="4">
        <v>58</v>
      </c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</row>
    <row r="114">
      <c r="A114" s="2" t="s">
        <v>1051</v>
      </c>
      <c r="B114" s="2" t="s">
        <v>542</v>
      </c>
      <c r="C114" s="2" t="s">
        <v>360</v>
      </c>
      <c r="D114" s="2" t="s">
        <v>1052</v>
      </c>
      <c r="E114" s="2" t="s">
        <v>1053</v>
      </c>
      <c r="F114" s="2" t="s">
        <v>1054</v>
      </c>
      <c r="G114" s="2" t="s">
        <v>1054</v>
      </c>
      <c r="H114" s="2" t="s">
        <v>1054</v>
      </c>
      <c r="I114" s="2" t="s">
        <v>1055</v>
      </c>
      <c r="J114" s="2" t="s">
        <v>548</v>
      </c>
      <c r="K114" s="2" t="s">
        <v>976</v>
      </c>
      <c r="L114" s="3">
        <v>40.07</v>
      </c>
      <c r="M114" s="3">
        <v>42.07</v>
      </c>
      <c r="N114" s="3">
        <v>84.99</v>
      </c>
      <c r="O114" s="2" t="s">
        <v>224</v>
      </c>
      <c r="P114" s="2" t="s">
        <v>225</v>
      </c>
      <c r="Q114" s="2" t="s">
        <v>226</v>
      </c>
      <c r="R114" s="2" t="s">
        <v>227</v>
      </c>
      <c r="S114" s="2" t="s">
        <v>1056</v>
      </c>
      <c r="T114" s="2" t="s">
        <v>227</v>
      </c>
      <c r="U114" s="2" t="s">
        <v>552</v>
      </c>
      <c r="V114" s="2" t="s">
        <v>945</v>
      </c>
      <c r="W114" s="2" t="s">
        <v>836</v>
      </c>
      <c r="X114" s="2" t="s">
        <v>487</v>
      </c>
      <c r="Y114" s="2" t="s">
        <v>1057</v>
      </c>
      <c r="Z114" s="4">
        <v>166</v>
      </c>
      <c r="AA114" s="4">
        <f>=ROUNDDOWN(41.5,0)</f>
      </c>
      <c r="AB114" s="5">
        <v>4</v>
      </c>
      <c r="AC114" s="2" t="s">
        <v>227</v>
      </c>
      <c r="AD114" s="4"/>
      <c r="AE114" s="4"/>
      <c r="AF114" s="6">
        <v>63</v>
      </c>
      <c r="AG114" s="6"/>
      <c r="AH114" s="7">
        <v>1</v>
      </c>
      <c r="AI114" s="4"/>
      <c r="AJ114" s="4">
        <f>=ROUNDDOWN({0},0)</f>
      </c>
      <c r="AK114" s="5"/>
      <c r="AL114" s="2" t="s">
        <v>227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/>
      <c r="BD114" s="8"/>
      <c r="BE114" s="4"/>
      <c r="BF114" s="8"/>
      <c r="BG114" s="7"/>
      <c r="BH114" s="7"/>
      <c r="BI114" s="7"/>
      <c r="BJ114" s="4">
        <v>16</v>
      </c>
      <c r="BK114" s="8">
        <v>732.31</v>
      </c>
      <c r="BL114" s="2" t="s">
        <v>1058</v>
      </c>
      <c r="BM114" s="7"/>
      <c r="BN114" s="7"/>
      <c r="BO114" s="4"/>
      <c r="BP114" s="8"/>
      <c r="BQ114" s="4"/>
      <c r="BR114" s="8"/>
      <c r="BS114" s="7"/>
      <c r="BT114" s="7"/>
      <c r="BU114" s="2" t="s">
        <v>1059</v>
      </c>
      <c r="BV114" s="2" t="s">
        <v>227</v>
      </c>
      <c r="BW114" s="2" t="s">
        <v>227</v>
      </c>
      <c r="BX114" s="2" t="s">
        <v>235</v>
      </c>
      <c r="BY114" s="2" t="s">
        <v>236</v>
      </c>
      <c r="BZ114" s="2" t="s">
        <v>224</v>
      </c>
      <c r="CA114" s="2" t="s">
        <v>1060</v>
      </c>
      <c r="CB114" s="2" t="s">
        <v>1061</v>
      </c>
      <c r="CC114" s="2" t="s">
        <v>239</v>
      </c>
      <c r="CD114" s="2" t="s">
        <v>227</v>
      </c>
      <c r="CE114" s="4">
        <v>3</v>
      </c>
      <c r="CF114" s="4">
        <v>163</v>
      </c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</row>
    <row r="115">
      <c r="A115" s="2" t="s">
        <v>1062</v>
      </c>
      <c r="B115" s="2" t="s">
        <v>667</v>
      </c>
      <c r="C115" s="2" t="s">
        <v>360</v>
      </c>
      <c r="D115" s="2" t="s">
        <v>687</v>
      </c>
      <c r="E115" s="2" t="s">
        <v>699</v>
      </c>
      <c r="F115" s="2" t="s">
        <v>1063</v>
      </c>
      <c r="G115" s="2" t="s">
        <v>1064</v>
      </c>
      <c r="H115" s="2" t="s">
        <v>1065</v>
      </c>
      <c r="I115" s="2" t="s">
        <v>1066</v>
      </c>
      <c r="J115" s="2" t="s">
        <v>384</v>
      </c>
      <c r="K115" s="2" t="s">
        <v>1067</v>
      </c>
      <c r="L115" s="3">
        <v>79.9</v>
      </c>
      <c r="M115" s="3">
        <v>83.89</v>
      </c>
      <c r="N115" s="3">
        <v>169.99</v>
      </c>
      <c r="O115" s="2" t="s">
        <v>224</v>
      </c>
      <c r="P115" s="2" t="s">
        <v>225</v>
      </c>
      <c r="Q115" s="2" t="s">
        <v>226</v>
      </c>
      <c r="R115" s="2" t="s">
        <v>227</v>
      </c>
      <c r="S115" s="2" t="s">
        <v>1068</v>
      </c>
      <c r="T115" s="2" t="s">
        <v>227</v>
      </c>
      <c r="U115" s="2" t="s">
        <v>1069</v>
      </c>
      <c r="V115" s="2" t="s">
        <v>724</v>
      </c>
      <c r="W115" s="2" t="s">
        <v>487</v>
      </c>
      <c r="X115" s="2" t="s">
        <v>1070</v>
      </c>
      <c r="Y115" s="2" t="s">
        <v>1071</v>
      </c>
      <c r="Z115" s="4">
        <v>227</v>
      </c>
      <c r="AA115" s="4">
        <f>=ROUNDDOWN(32.4285714285714,0)</f>
      </c>
      <c r="AB115" s="5">
        <v>7</v>
      </c>
      <c r="AC115" s="2" t="s">
        <v>1072</v>
      </c>
      <c r="AD115" s="4">
        <v>80</v>
      </c>
      <c r="AE115" s="4">
        <v>110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227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>
        <v>16</v>
      </c>
      <c r="BK115" s="8">
        <v>1359.18</v>
      </c>
      <c r="BL115" s="2" t="s">
        <v>1073</v>
      </c>
      <c r="BM115" s="7"/>
      <c r="BN115" s="7"/>
      <c r="BO115" s="4"/>
      <c r="BP115" s="8"/>
      <c r="BQ115" s="4"/>
      <c r="BR115" s="8"/>
      <c r="BS115" s="7"/>
      <c r="BT115" s="7"/>
      <c r="BU115" s="2" t="s">
        <v>1074</v>
      </c>
      <c r="BV115" s="2" t="s">
        <v>227</v>
      </c>
      <c r="BW115" s="2" t="s">
        <v>227</v>
      </c>
      <c r="BX115" s="2" t="s">
        <v>235</v>
      </c>
      <c r="BY115" s="2" t="s">
        <v>236</v>
      </c>
      <c r="BZ115" s="2" t="s">
        <v>224</v>
      </c>
      <c r="CA115" s="2" t="s">
        <v>1075</v>
      </c>
      <c r="CB115" s="2" t="s">
        <v>1076</v>
      </c>
      <c r="CC115" s="2" t="s">
        <v>239</v>
      </c>
      <c r="CD115" s="2" t="s">
        <v>227</v>
      </c>
      <c r="CE115" s="4">
        <v>227</v>
      </c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>
        <v>80</v>
      </c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>
        <v>30</v>
      </c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</row>
    <row r="116">
      <c r="A116" s="2" t="s">
        <v>1077</v>
      </c>
      <c r="B116" s="2" t="s">
        <v>715</v>
      </c>
      <c r="C116" s="2" t="s">
        <v>360</v>
      </c>
      <c r="D116" s="2" t="s">
        <v>716</v>
      </c>
      <c r="E116" s="2" t="s">
        <v>1078</v>
      </c>
      <c r="F116" s="2" t="s">
        <v>1079</v>
      </c>
      <c r="G116" s="2" t="s">
        <v>1080</v>
      </c>
      <c r="H116" s="2" t="s">
        <v>1081</v>
      </c>
      <c r="I116" s="2" t="s">
        <v>1082</v>
      </c>
      <c r="J116" s="2" t="s">
        <v>848</v>
      </c>
      <c r="K116" s="2" t="s">
        <v>410</v>
      </c>
      <c r="L116" s="3">
        <v>14.85</v>
      </c>
      <c r="M116" s="3">
        <v>15.59</v>
      </c>
      <c r="N116" s="3">
        <v>32.99</v>
      </c>
      <c r="O116" s="2" t="s">
        <v>224</v>
      </c>
      <c r="P116" s="2" t="s">
        <v>225</v>
      </c>
      <c r="Q116" s="2" t="s">
        <v>226</v>
      </c>
      <c r="R116" s="2" t="s">
        <v>227</v>
      </c>
      <c r="S116" s="2" t="s">
        <v>1083</v>
      </c>
      <c r="T116" s="2" t="s">
        <v>227</v>
      </c>
      <c r="U116" s="2" t="s">
        <v>552</v>
      </c>
      <c r="V116" s="2" t="s">
        <v>1084</v>
      </c>
      <c r="W116" s="2" t="s">
        <v>836</v>
      </c>
      <c r="X116" s="2" t="s">
        <v>725</v>
      </c>
      <c r="Y116" s="2" t="s">
        <v>232</v>
      </c>
      <c r="Z116" s="4">
        <v>60</v>
      </c>
      <c r="AA116" s="4">
        <f>=ROUNDDOWN(8.57142857142857,0)</f>
      </c>
      <c r="AB116" s="5">
        <v>7</v>
      </c>
      <c r="AC116" s="2" t="s">
        <v>1085</v>
      </c>
      <c r="AD116" s="4">
        <v>120</v>
      </c>
      <c r="AE116" s="4">
        <v>216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227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227</v>
      </c>
      <c r="AW116" s="8" t="s">
        <v>227</v>
      </c>
      <c r="AX116" s="4" t="s">
        <v>227</v>
      </c>
      <c r="AY116" s="8" t="s">
        <v>227</v>
      </c>
      <c r="AZ116" s="7" t="s">
        <v>227</v>
      </c>
      <c r="BA116" s="7" t="s">
        <v>227</v>
      </c>
      <c r="BB116" s="7"/>
      <c r="BC116" s="4" t="s">
        <v>227</v>
      </c>
      <c r="BD116" s="8" t="s">
        <v>227</v>
      </c>
      <c r="BE116" s="4" t="s">
        <v>227</v>
      </c>
      <c r="BF116" s="8" t="s">
        <v>227</v>
      </c>
      <c r="BG116" s="7" t="s">
        <v>227</v>
      </c>
      <c r="BH116" s="7" t="s">
        <v>227</v>
      </c>
      <c r="BI116" s="7"/>
      <c r="BJ116" s="4">
        <v>19</v>
      </c>
      <c r="BK116" s="8">
        <v>356.51</v>
      </c>
      <c r="BL116" s="2" t="s">
        <v>1086</v>
      </c>
      <c r="BM116" s="7"/>
      <c r="BN116" s="7"/>
      <c r="BO116" s="4"/>
      <c r="BP116" s="8"/>
      <c r="BQ116" s="4"/>
      <c r="BR116" s="8"/>
      <c r="BS116" s="7"/>
      <c r="BT116" s="7"/>
      <c r="BU116" s="2" t="s">
        <v>1087</v>
      </c>
      <c r="BV116" s="2" t="s">
        <v>227</v>
      </c>
      <c r="BW116" s="2" t="s">
        <v>227</v>
      </c>
      <c r="BX116" s="2" t="s">
        <v>235</v>
      </c>
      <c r="BY116" s="2" t="s">
        <v>236</v>
      </c>
      <c r="BZ116" s="2" t="s">
        <v>224</v>
      </c>
      <c r="CA116" s="2" t="s">
        <v>1088</v>
      </c>
      <c r="CB116" s="2" t="s">
        <v>1089</v>
      </c>
      <c r="CC116" s="2" t="s">
        <v>239</v>
      </c>
      <c r="CD116" s="2" t="s">
        <v>227</v>
      </c>
      <c r="CE116" s="4">
        <v>60</v>
      </c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>
        <v>120</v>
      </c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>
        <v>96</v>
      </c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</row>
    <row r="117">
      <c r="A117" s="2" t="s">
        <v>1090</v>
      </c>
      <c r="B117" s="2" t="s">
        <v>715</v>
      </c>
      <c r="C117" s="2" t="s">
        <v>360</v>
      </c>
      <c r="D117" s="2" t="s">
        <v>716</v>
      </c>
      <c r="E117" s="2" t="s">
        <v>1078</v>
      </c>
      <c r="F117" s="2" t="s">
        <v>1079</v>
      </c>
      <c r="G117" s="2" t="s">
        <v>1080</v>
      </c>
      <c r="H117" s="2" t="s">
        <v>1081</v>
      </c>
      <c r="I117" s="2" t="s">
        <v>1082</v>
      </c>
      <c r="J117" s="2" t="s">
        <v>808</v>
      </c>
      <c r="K117" s="2" t="s">
        <v>410</v>
      </c>
      <c r="L117" s="3">
        <v>19.35</v>
      </c>
      <c r="M117" s="3">
        <v>20.32</v>
      </c>
      <c r="N117" s="3">
        <v>42.99</v>
      </c>
      <c r="O117" s="2" t="s">
        <v>224</v>
      </c>
      <c r="P117" s="2" t="s">
        <v>225</v>
      </c>
      <c r="Q117" s="2" t="s">
        <v>226</v>
      </c>
      <c r="R117" s="2" t="s">
        <v>227</v>
      </c>
      <c r="S117" s="2" t="s">
        <v>1083</v>
      </c>
      <c r="T117" s="2" t="s">
        <v>227</v>
      </c>
      <c r="U117" s="2" t="s">
        <v>552</v>
      </c>
      <c r="V117" s="2" t="s">
        <v>1084</v>
      </c>
      <c r="W117" s="2" t="s">
        <v>836</v>
      </c>
      <c r="X117" s="2" t="s">
        <v>725</v>
      </c>
      <c r="Y117" s="2" t="s">
        <v>232</v>
      </c>
      <c r="Z117" s="4">
        <v>50</v>
      </c>
      <c r="AA117" s="4">
        <f>=ROUNDDOWN(8.33333333333333,0)</f>
      </c>
      <c r="AB117" s="5">
        <v>6</v>
      </c>
      <c r="AC117" s="2" t="s">
        <v>1085</v>
      </c>
      <c r="AD117" s="4">
        <v>100</v>
      </c>
      <c r="AE117" s="4">
        <v>140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227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227</v>
      </c>
      <c r="AW117" s="8" t="s">
        <v>227</v>
      </c>
      <c r="AX117" s="4" t="s">
        <v>227</v>
      </c>
      <c r="AY117" s="8" t="s">
        <v>227</v>
      </c>
      <c r="AZ117" s="7" t="s">
        <v>227</v>
      </c>
      <c r="BA117" s="7" t="s">
        <v>227</v>
      </c>
      <c r="BB117" s="7"/>
      <c r="BC117" s="4" t="s">
        <v>227</v>
      </c>
      <c r="BD117" s="8" t="s">
        <v>227</v>
      </c>
      <c r="BE117" s="4" t="s">
        <v>227</v>
      </c>
      <c r="BF117" s="8" t="s">
        <v>227</v>
      </c>
      <c r="BG117" s="7" t="s">
        <v>227</v>
      </c>
      <c r="BH117" s="7" t="s">
        <v>227</v>
      </c>
      <c r="BI117" s="7"/>
      <c r="BJ117" s="4">
        <v>30</v>
      </c>
      <c r="BK117" s="8">
        <v>575.54</v>
      </c>
      <c r="BL117" s="2" t="s">
        <v>1091</v>
      </c>
      <c r="BM117" s="7"/>
      <c r="BN117" s="7"/>
      <c r="BO117" s="4"/>
      <c r="BP117" s="8"/>
      <c r="BQ117" s="4"/>
      <c r="BR117" s="8"/>
      <c r="BS117" s="7"/>
      <c r="BT117" s="7"/>
      <c r="BU117" s="2" t="s">
        <v>1092</v>
      </c>
      <c r="BV117" s="2" t="s">
        <v>227</v>
      </c>
      <c r="BW117" s="2" t="s">
        <v>227</v>
      </c>
      <c r="BX117" s="2" t="s">
        <v>235</v>
      </c>
      <c r="BY117" s="2" t="s">
        <v>236</v>
      </c>
      <c r="BZ117" s="2" t="s">
        <v>224</v>
      </c>
      <c r="CA117" s="2" t="s">
        <v>1088</v>
      </c>
      <c r="CB117" s="2" t="s">
        <v>1093</v>
      </c>
      <c r="CC117" s="2" t="s">
        <v>239</v>
      </c>
      <c r="CD117" s="2" t="s">
        <v>227</v>
      </c>
      <c r="CE117" s="4">
        <v>50</v>
      </c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>
        <v>100</v>
      </c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>
        <v>40</v>
      </c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</row>
    <row r="118">
      <c r="A118" s="2" t="s">
        <v>1094</v>
      </c>
      <c r="B118" s="2" t="s">
        <v>715</v>
      </c>
      <c r="C118" s="2" t="s">
        <v>1026</v>
      </c>
      <c r="D118" s="2" t="s">
        <v>716</v>
      </c>
      <c r="E118" s="2" t="s">
        <v>717</v>
      </c>
      <c r="F118" s="2" t="s">
        <v>1095</v>
      </c>
      <c r="G118" s="2" t="s">
        <v>1095</v>
      </c>
      <c r="H118" s="2" t="s">
        <v>1095</v>
      </c>
      <c r="I118" s="2" t="s">
        <v>1096</v>
      </c>
      <c r="J118" s="2" t="s">
        <v>1097</v>
      </c>
      <c r="K118" s="2" t="s">
        <v>1098</v>
      </c>
      <c r="L118" s="3">
        <v>17.02</v>
      </c>
      <c r="M118" s="3">
        <v>17.87</v>
      </c>
      <c r="N118" s="3">
        <v>49.99</v>
      </c>
      <c r="O118" s="2" t="s">
        <v>224</v>
      </c>
      <c r="P118" s="2" t="s">
        <v>580</v>
      </c>
      <c r="Q118" s="2" t="s">
        <v>226</v>
      </c>
      <c r="R118" s="2" t="s">
        <v>227</v>
      </c>
      <c r="S118" s="2" t="s">
        <v>227</v>
      </c>
      <c r="T118" s="2" t="s">
        <v>227</v>
      </c>
      <c r="U118" s="2" t="s">
        <v>552</v>
      </c>
      <c r="V118" s="2" t="s">
        <v>230</v>
      </c>
      <c r="W118" s="2" t="s">
        <v>487</v>
      </c>
      <c r="X118" s="2" t="s">
        <v>227</v>
      </c>
      <c r="Y118" s="2" t="s">
        <v>1099</v>
      </c>
      <c r="Z118" s="4"/>
      <c r="AA118" s="4">
        <f>=ROUNDDOWN({0},0)</f>
      </c>
      <c r="AB118" s="5">
        <v>0.9</v>
      </c>
      <c r="AC118" s="2" t="s">
        <v>227</v>
      </c>
      <c r="AD118" s="4"/>
      <c r="AE118" s="4"/>
      <c r="AF118" s="6">
        <v>65</v>
      </c>
      <c r="AG118" s="6"/>
      <c r="AH118" s="7">
        <v>0</v>
      </c>
      <c r="AI118" s="4"/>
      <c r="AJ118" s="4">
        <f>=ROUNDDOWN({0},0)</f>
      </c>
      <c r="AK118" s="5"/>
      <c r="AL118" s="2" t="s">
        <v>227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 t="s">
        <v>227</v>
      </c>
      <c r="BD118" s="8" t="s">
        <v>227</v>
      </c>
      <c r="BE118" s="4" t="s">
        <v>227</v>
      </c>
      <c r="BF118" s="8" t="s">
        <v>227</v>
      </c>
      <c r="BG118" s="7" t="s">
        <v>227</v>
      </c>
      <c r="BH118" s="7" t="s">
        <v>227</v>
      </c>
      <c r="BI118" s="7"/>
      <c r="BJ118" s="4"/>
      <c r="BK118" s="8"/>
      <c r="BL118" s="2" t="s">
        <v>1100</v>
      </c>
      <c r="BM118" s="7"/>
      <c r="BN118" s="7"/>
      <c r="BO118" s="4"/>
      <c r="BP118" s="8"/>
      <c r="BQ118" s="4"/>
      <c r="BR118" s="8"/>
      <c r="BS118" s="7"/>
      <c r="BT118" s="7"/>
      <c r="BU118" s="2" t="s">
        <v>1101</v>
      </c>
      <c r="BV118" s="2" t="s">
        <v>227</v>
      </c>
      <c r="BW118" s="2" t="s">
        <v>227</v>
      </c>
      <c r="BX118" s="2" t="s">
        <v>235</v>
      </c>
      <c r="BY118" s="2" t="s">
        <v>236</v>
      </c>
      <c r="BZ118" s="2" t="s">
        <v>224</v>
      </c>
      <c r="CA118" s="2" t="s">
        <v>1102</v>
      </c>
      <c r="CB118" s="2" t="s">
        <v>310</v>
      </c>
      <c r="CC118" s="2" t="s">
        <v>239</v>
      </c>
      <c r="CD118" s="2" t="s">
        <v>227</v>
      </c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</row>
    <row r="119">
      <c r="A119" s="2" t="s">
        <v>1103</v>
      </c>
      <c r="B119" s="2" t="s">
        <v>715</v>
      </c>
      <c r="C119" s="2" t="s">
        <v>1026</v>
      </c>
      <c r="D119" s="2" t="s">
        <v>716</v>
      </c>
      <c r="E119" s="2" t="s">
        <v>717</v>
      </c>
      <c r="F119" s="2" t="s">
        <v>1095</v>
      </c>
      <c r="G119" s="2" t="s">
        <v>1095</v>
      </c>
      <c r="H119" s="2" t="s">
        <v>1095</v>
      </c>
      <c r="I119" s="2" t="s">
        <v>1104</v>
      </c>
      <c r="J119" s="2" t="s">
        <v>1105</v>
      </c>
      <c r="K119" s="2" t="s">
        <v>1106</v>
      </c>
      <c r="L119" s="3">
        <v>27.23</v>
      </c>
      <c r="M119" s="3">
        <v>28.59</v>
      </c>
      <c r="N119" s="3">
        <v>79.99</v>
      </c>
      <c r="O119" s="2" t="s">
        <v>224</v>
      </c>
      <c r="P119" s="2" t="s">
        <v>580</v>
      </c>
      <c r="Q119" s="2" t="s">
        <v>226</v>
      </c>
      <c r="R119" s="2" t="s">
        <v>227</v>
      </c>
      <c r="S119" s="2" t="s">
        <v>227</v>
      </c>
      <c r="T119" s="2" t="s">
        <v>227</v>
      </c>
      <c r="U119" s="2" t="s">
        <v>552</v>
      </c>
      <c r="V119" s="2" t="s">
        <v>230</v>
      </c>
      <c r="W119" s="2" t="s">
        <v>487</v>
      </c>
      <c r="X119" s="2" t="s">
        <v>227</v>
      </c>
      <c r="Y119" s="2" t="s">
        <v>1099</v>
      </c>
      <c r="Z119" s="4">
        <v>93</v>
      </c>
      <c r="AA119" s="4">
        <f>=ROUNDDOWN(23.25,0)</f>
      </c>
      <c r="AB119" s="5">
        <v>4</v>
      </c>
      <c r="AC119" s="2" t="s">
        <v>192</v>
      </c>
      <c r="AD119" s="4">
        <v>92</v>
      </c>
      <c r="AE119" s="4">
        <v>92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227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227</v>
      </c>
      <c r="AW119" s="8" t="s">
        <v>227</v>
      </c>
      <c r="AX119" s="4" t="s">
        <v>227</v>
      </c>
      <c r="AY119" s="8" t="s">
        <v>227</v>
      </c>
      <c r="AZ119" s="7" t="s">
        <v>227</v>
      </c>
      <c r="BA119" s="7" t="s">
        <v>227</v>
      </c>
      <c r="BB119" s="7"/>
      <c r="BC119" s="4" t="s">
        <v>227</v>
      </c>
      <c r="BD119" s="8" t="s">
        <v>227</v>
      </c>
      <c r="BE119" s="4" t="s">
        <v>227</v>
      </c>
      <c r="BF119" s="8" t="s">
        <v>227</v>
      </c>
      <c r="BG119" s="7" t="s">
        <v>227</v>
      </c>
      <c r="BH119" s="7" t="s">
        <v>227</v>
      </c>
      <c r="BI119" s="7"/>
      <c r="BJ119" s="4"/>
      <c r="BK119" s="8"/>
      <c r="BL119" s="2" t="s">
        <v>1107</v>
      </c>
      <c r="BM119" s="7"/>
      <c r="BN119" s="7"/>
      <c r="BO119" s="4"/>
      <c r="BP119" s="8"/>
      <c r="BQ119" s="4"/>
      <c r="BR119" s="8"/>
      <c r="BS119" s="7"/>
      <c r="BT119" s="7"/>
      <c r="BU119" s="2" t="s">
        <v>1108</v>
      </c>
      <c r="BV119" s="2" t="s">
        <v>227</v>
      </c>
      <c r="BW119" s="2" t="s">
        <v>227</v>
      </c>
      <c r="BX119" s="2" t="s">
        <v>235</v>
      </c>
      <c r="BY119" s="2" t="s">
        <v>236</v>
      </c>
      <c r="BZ119" s="2" t="s">
        <v>224</v>
      </c>
      <c r="CA119" s="2" t="s">
        <v>1102</v>
      </c>
      <c r="CB119" s="2" t="s">
        <v>1109</v>
      </c>
      <c r="CC119" s="2" t="s">
        <v>239</v>
      </c>
      <c r="CD119" s="2" t="s">
        <v>227</v>
      </c>
      <c r="CE119" s="4">
        <v>93</v>
      </c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>
        <v>92</v>
      </c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</row>
    <row r="120">
      <c r="A120" s="2" t="s">
        <v>1110</v>
      </c>
      <c r="B120" s="2" t="s">
        <v>715</v>
      </c>
      <c r="C120" s="2" t="s">
        <v>1026</v>
      </c>
      <c r="D120" s="2" t="s">
        <v>716</v>
      </c>
      <c r="E120" s="2" t="s">
        <v>717</v>
      </c>
      <c r="F120" s="2" t="s">
        <v>1095</v>
      </c>
      <c r="G120" s="2" t="s">
        <v>1095</v>
      </c>
      <c r="H120" s="2" t="s">
        <v>1095</v>
      </c>
      <c r="I120" s="2" t="s">
        <v>1096</v>
      </c>
      <c r="J120" s="2" t="s">
        <v>1097</v>
      </c>
      <c r="K120" s="2" t="s">
        <v>1106</v>
      </c>
      <c r="L120" s="3">
        <v>17.02</v>
      </c>
      <c r="M120" s="3">
        <v>17.87</v>
      </c>
      <c r="N120" s="3">
        <v>49.99</v>
      </c>
      <c r="O120" s="2" t="s">
        <v>224</v>
      </c>
      <c r="P120" s="2" t="s">
        <v>580</v>
      </c>
      <c r="Q120" s="2" t="s">
        <v>226</v>
      </c>
      <c r="R120" s="2" t="s">
        <v>227</v>
      </c>
      <c r="S120" s="2" t="s">
        <v>227</v>
      </c>
      <c r="T120" s="2" t="s">
        <v>227</v>
      </c>
      <c r="U120" s="2" t="s">
        <v>552</v>
      </c>
      <c r="V120" s="2" t="s">
        <v>230</v>
      </c>
      <c r="W120" s="2" t="s">
        <v>487</v>
      </c>
      <c r="X120" s="2" t="s">
        <v>227</v>
      </c>
      <c r="Y120" s="2" t="s">
        <v>1099</v>
      </c>
      <c r="Z120" s="4">
        <v>70</v>
      </c>
      <c r="AA120" s="4">
        <f>=ROUNDDOWN(17.5,0)</f>
      </c>
      <c r="AB120" s="5">
        <v>4</v>
      </c>
      <c r="AC120" s="2" t="s">
        <v>169</v>
      </c>
      <c r="AD120" s="4">
        <v>208</v>
      </c>
      <c r="AE120" s="4">
        <v>208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227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227</v>
      </c>
      <c r="AW120" s="8" t="s">
        <v>227</v>
      </c>
      <c r="AX120" s="4" t="s">
        <v>227</v>
      </c>
      <c r="AY120" s="8" t="s">
        <v>227</v>
      </c>
      <c r="AZ120" s="7" t="s">
        <v>227</v>
      </c>
      <c r="BA120" s="7" t="s">
        <v>227</v>
      </c>
      <c r="BB120" s="7"/>
      <c r="BC120" s="4" t="s">
        <v>227</v>
      </c>
      <c r="BD120" s="8" t="s">
        <v>227</v>
      </c>
      <c r="BE120" s="4" t="s">
        <v>227</v>
      </c>
      <c r="BF120" s="8" t="s">
        <v>227</v>
      </c>
      <c r="BG120" s="7" t="s">
        <v>227</v>
      </c>
      <c r="BH120" s="7" t="s">
        <v>227</v>
      </c>
      <c r="BI120" s="7"/>
      <c r="BJ120" s="4">
        <v>25</v>
      </c>
      <c r="BK120" s="8">
        <v>450.25</v>
      </c>
      <c r="BL120" s="2" t="s">
        <v>1111</v>
      </c>
      <c r="BM120" s="7"/>
      <c r="BN120" s="7"/>
      <c r="BO120" s="4"/>
      <c r="BP120" s="8"/>
      <c r="BQ120" s="4"/>
      <c r="BR120" s="8"/>
      <c r="BS120" s="7"/>
      <c r="BT120" s="7"/>
      <c r="BU120" s="2" t="s">
        <v>1112</v>
      </c>
      <c r="BV120" s="2" t="s">
        <v>227</v>
      </c>
      <c r="BW120" s="2" t="s">
        <v>227</v>
      </c>
      <c r="BX120" s="2" t="s">
        <v>235</v>
      </c>
      <c r="BY120" s="2" t="s">
        <v>236</v>
      </c>
      <c r="BZ120" s="2" t="s">
        <v>224</v>
      </c>
      <c r="CA120" s="2" t="s">
        <v>1102</v>
      </c>
      <c r="CB120" s="2" t="s">
        <v>227</v>
      </c>
      <c r="CC120" s="2" t="s">
        <v>239</v>
      </c>
      <c r="CD120" s="2" t="s">
        <v>227</v>
      </c>
      <c r="CE120" s="4">
        <v>70</v>
      </c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>
        <v>208</v>
      </c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</row>
    <row r="121">
      <c r="A121" s="2" t="s">
        <v>1113</v>
      </c>
      <c r="B121" s="2" t="s">
        <v>715</v>
      </c>
      <c r="C121" s="2" t="s">
        <v>1026</v>
      </c>
      <c r="D121" s="2" t="s">
        <v>716</v>
      </c>
      <c r="E121" s="2" t="s">
        <v>717</v>
      </c>
      <c r="F121" s="2" t="s">
        <v>1095</v>
      </c>
      <c r="G121" s="2" t="s">
        <v>1095</v>
      </c>
      <c r="H121" s="2" t="s">
        <v>1095</v>
      </c>
      <c r="I121" s="2" t="s">
        <v>1104</v>
      </c>
      <c r="J121" s="2" t="s">
        <v>1105</v>
      </c>
      <c r="K121" s="2" t="s">
        <v>536</v>
      </c>
      <c r="L121" s="3">
        <v>27.23</v>
      </c>
      <c r="M121" s="3">
        <v>28.59</v>
      </c>
      <c r="N121" s="3">
        <v>79.99</v>
      </c>
      <c r="O121" s="2" t="s">
        <v>224</v>
      </c>
      <c r="P121" s="2" t="s">
        <v>580</v>
      </c>
      <c r="Q121" s="2" t="s">
        <v>226</v>
      </c>
      <c r="R121" s="2" t="s">
        <v>227</v>
      </c>
      <c r="S121" s="2" t="s">
        <v>227</v>
      </c>
      <c r="T121" s="2" t="s">
        <v>227</v>
      </c>
      <c r="U121" s="2" t="s">
        <v>552</v>
      </c>
      <c r="V121" s="2" t="s">
        <v>230</v>
      </c>
      <c r="W121" s="2" t="s">
        <v>487</v>
      </c>
      <c r="X121" s="2" t="s">
        <v>227</v>
      </c>
      <c r="Y121" s="2" t="s">
        <v>1099</v>
      </c>
      <c r="Z121" s="4">
        <v>111</v>
      </c>
      <c r="AA121" s="4">
        <f>=ROUNDDOWN(111,0)</f>
      </c>
      <c r="AB121" s="5">
        <v>1</v>
      </c>
      <c r="AC121" s="2" t="s">
        <v>227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227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227</v>
      </c>
      <c r="AW121" s="8" t="s">
        <v>227</v>
      </c>
      <c r="AX121" s="4" t="s">
        <v>227</v>
      </c>
      <c r="AY121" s="8" t="s">
        <v>227</v>
      </c>
      <c r="AZ121" s="7" t="s">
        <v>227</v>
      </c>
      <c r="BA121" s="7" t="s">
        <v>227</v>
      </c>
      <c r="BB121" s="7"/>
      <c r="BC121" s="4" t="s">
        <v>227</v>
      </c>
      <c r="BD121" s="8" t="s">
        <v>227</v>
      </c>
      <c r="BE121" s="4" t="s">
        <v>227</v>
      </c>
      <c r="BF121" s="8" t="s">
        <v>227</v>
      </c>
      <c r="BG121" s="7" t="s">
        <v>227</v>
      </c>
      <c r="BH121" s="7" t="s">
        <v>227</v>
      </c>
      <c r="BI121" s="7"/>
      <c r="BJ121" s="4"/>
      <c r="BK121" s="8"/>
      <c r="BL121" s="2" t="s">
        <v>1107</v>
      </c>
      <c r="BM121" s="7"/>
      <c r="BN121" s="7"/>
      <c r="BO121" s="4"/>
      <c r="BP121" s="8"/>
      <c r="BQ121" s="4"/>
      <c r="BR121" s="8"/>
      <c r="BS121" s="7"/>
      <c r="BT121" s="7"/>
      <c r="BU121" s="2" t="s">
        <v>1114</v>
      </c>
      <c r="BV121" s="2" t="s">
        <v>227</v>
      </c>
      <c r="BW121" s="2" t="s">
        <v>227</v>
      </c>
      <c r="BX121" s="2" t="s">
        <v>235</v>
      </c>
      <c r="BY121" s="2" t="s">
        <v>236</v>
      </c>
      <c r="BZ121" s="2" t="s">
        <v>224</v>
      </c>
      <c r="CA121" s="2" t="s">
        <v>1102</v>
      </c>
      <c r="CB121" s="2" t="s">
        <v>795</v>
      </c>
      <c r="CC121" s="2" t="s">
        <v>239</v>
      </c>
      <c r="CD121" s="2" t="s">
        <v>227</v>
      </c>
      <c r="CE121" s="4">
        <v>111</v>
      </c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</row>
    <row r="122">
      <c r="A122" s="2" t="s">
        <v>1115</v>
      </c>
      <c r="B122" s="2" t="s">
        <v>715</v>
      </c>
      <c r="C122" s="2" t="s">
        <v>1026</v>
      </c>
      <c r="D122" s="2" t="s">
        <v>716</v>
      </c>
      <c r="E122" s="2" t="s">
        <v>717</v>
      </c>
      <c r="F122" s="2" t="s">
        <v>1095</v>
      </c>
      <c r="G122" s="2" t="s">
        <v>1095</v>
      </c>
      <c r="H122" s="2" t="s">
        <v>1095</v>
      </c>
      <c r="I122" s="2" t="s">
        <v>1096</v>
      </c>
      <c r="J122" s="2" t="s">
        <v>1097</v>
      </c>
      <c r="K122" s="2" t="s">
        <v>536</v>
      </c>
      <c r="L122" s="3">
        <v>17.02</v>
      </c>
      <c r="M122" s="3">
        <v>17.87</v>
      </c>
      <c r="N122" s="3">
        <v>49.99</v>
      </c>
      <c r="O122" s="2" t="s">
        <v>224</v>
      </c>
      <c r="P122" s="2" t="s">
        <v>580</v>
      </c>
      <c r="Q122" s="2" t="s">
        <v>226</v>
      </c>
      <c r="R122" s="2" t="s">
        <v>227</v>
      </c>
      <c r="S122" s="2" t="s">
        <v>227</v>
      </c>
      <c r="T122" s="2" t="s">
        <v>227</v>
      </c>
      <c r="U122" s="2" t="s">
        <v>552</v>
      </c>
      <c r="V122" s="2" t="s">
        <v>230</v>
      </c>
      <c r="W122" s="2" t="s">
        <v>487</v>
      </c>
      <c r="X122" s="2" t="s">
        <v>227</v>
      </c>
      <c r="Y122" s="2" t="s">
        <v>1099</v>
      </c>
      <c r="Z122" s="4"/>
      <c r="AA122" s="4">
        <f>=ROUNDDOWN({0},0)</f>
      </c>
      <c r="AB122" s="5">
        <v>3</v>
      </c>
      <c r="AC122" s="2" t="s">
        <v>227</v>
      </c>
      <c r="AD122" s="4"/>
      <c r="AE122" s="4"/>
      <c r="AF122" s="6">
        <v>65</v>
      </c>
      <c r="AG122" s="6"/>
      <c r="AH122" s="7">
        <v>0</v>
      </c>
      <c r="AI122" s="4"/>
      <c r="AJ122" s="4">
        <f>=ROUNDDOWN({0},0)</f>
      </c>
      <c r="AK122" s="5"/>
      <c r="AL122" s="2" t="s">
        <v>227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227</v>
      </c>
      <c r="AW122" s="8" t="s">
        <v>227</v>
      </c>
      <c r="AX122" s="4" t="s">
        <v>227</v>
      </c>
      <c r="AY122" s="8" t="s">
        <v>227</v>
      </c>
      <c r="AZ122" s="7" t="s">
        <v>227</v>
      </c>
      <c r="BA122" s="7" t="s">
        <v>227</v>
      </c>
      <c r="BB122" s="7"/>
      <c r="BC122" s="4" t="s">
        <v>227</v>
      </c>
      <c r="BD122" s="8" t="s">
        <v>227</v>
      </c>
      <c r="BE122" s="4" t="s">
        <v>227</v>
      </c>
      <c r="BF122" s="8" t="s">
        <v>227</v>
      </c>
      <c r="BG122" s="7" t="s">
        <v>227</v>
      </c>
      <c r="BH122" s="7" t="s">
        <v>227</v>
      </c>
      <c r="BI122" s="7"/>
      <c r="BJ122" s="4"/>
      <c r="BK122" s="8"/>
      <c r="BL122" s="2" t="s">
        <v>1116</v>
      </c>
      <c r="BM122" s="7"/>
      <c r="BN122" s="7"/>
      <c r="BO122" s="4"/>
      <c r="BP122" s="8"/>
      <c r="BQ122" s="4"/>
      <c r="BR122" s="8"/>
      <c r="BS122" s="7"/>
      <c r="BT122" s="7"/>
      <c r="BU122" s="2" t="s">
        <v>1117</v>
      </c>
      <c r="BV122" s="2" t="s">
        <v>227</v>
      </c>
      <c r="BW122" s="2" t="s">
        <v>227</v>
      </c>
      <c r="BX122" s="2" t="s">
        <v>235</v>
      </c>
      <c r="BY122" s="2" t="s">
        <v>236</v>
      </c>
      <c r="BZ122" s="2" t="s">
        <v>224</v>
      </c>
      <c r="CA122" s="2" t="s">
        <v>1102</v>
      </c>
      <c r="CB122" s="2" t="s">
        <v>1118</v>
      </c>
      <c r="CC122" s="2" t="s">
        <v>239</v>
      </c>
      <c r="CD122" s="2" t="s">
        <v>227</v>
      </c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</row>
    <row r="123">
      <c r="A123" s="2" t="s">
        <v>1119</v>
      </c>
      <c r="B123" s="2" t="s">
        <v>573</v>
      </c>
      <c r="C123" s="2" t="s">
        <v>360</v>
      </c>
      <c r="D123" s="2" t="s">
        <v>832</v>
      </c>
      <c r="E123" s="2" t="s">
        <v>833</v>
      </c>
      <c r="F123" s="2" t="s">
        <v>1120</v>
      </c>
      <c r="G123" s="2" t="s">
        <v>1121</v>
      </c>
      <c r="H123" s="2" t="s">
        <v>1122</v>
      </c>
      <c r="I123" s="2" t="s">
        <v>1123</v>
      </c>
      <c r="J123" s="2" t="s">
        <v>548</v>
      </c>
      <c r="K123" s="2" t="s">
        <v>223</v>
      </c>
      <c r="L123" s="3">
        <v>204.25</v>
      </c>
      <c r="M123" s="3">
        <v>214.46</v>
      </c>
      <c r="N123" s="3">
        <v>429</v>
      </c>
      <c r="O123" s="2" t="s">
        <v>224</v>
      </c>
      <c r="P123" s="2" t="s">
        <v>225</v>
      </c>
      <c r="Q123" s="2" t="s">
        <v>226</v>
      </c>
      <c r="R123" s="2" t="s">
        <v>227</v>
      </c>
      <c r="S123" s="2" t="s">
        <v>1124</v>
      </c>
      <c r="T123" s="2" t="s">
        <v>227</v>
      </c>
      <c r="U123" s="2" t="s">
        <v>227</v>
      </c>
      <c r="V123" s="2" t="s">
        <v>230</v>
      </c>
      <c r="W123" s="2" t="s">
        <v>836</v>
      </c>
      <c r="X123" s="2" t="s">
        <v>227</v>
      </c>
      <c r="Y123" s="2" t="s">
        <v>232</v>
      </c>
      <c r="Z123" s="4">
        <v>163</v>
      </c>
      <c r="AA123" s="4">
        <f>=ROUNDDOWN(40.75,0)</f>
      </c>
      <c r="AB123" s="5">
        <v>4</v>
      </c>
      <c r="AC123" s="2" t="s">
        <v>227</v>
      </c>
      <c r="AD123" s="4"/>
      <c r="AE123" s="4"/>
      <c r="AF123" s="6">
        <v>66</v>
      </c>
      <c r="AG123" s="6">
        <v>49</v>
      </c>
      <c r="AH123" s="7">
        <v>1</v>
      </c>
      <c r="AI123" s="4"/>
      <c r="AJ123" s="4">
        <f>=ROUNDDOWN({0},0)</f>
      </c>
      <c r="AK123" s="5"/>
      <c r="AL123" s="2" t="s">
        <v>227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 t="s">
        <v>227</v>
      </c>
      <c r="BD123" s="8" t="s">
        <v>227</v>
      </c>
      <c r="BE123" s="4" t="s">
        <v>227</v>
      </c>
      <c r="BF123" s="8" t="s">
        <v>227</v>
      </c>
      <c r="BG123" s="7" t="s">
        <v>227</v>
      </c>
      <c r="BH123" s="7" t="s">
        <v>227</v>
      </c>
      <c r="BI123" s="7"/>
      <c r="BJ123" s="4">
        <v>6</v>
      </c>
      <c r="BK123" s="8">
        <v>1169.55</v>
      </c>
      <c r="BL123" s="2" t="s">
        <v>1125</v>
      </c>
      <c r="BM123" s="7"/>
      <c r="BN123" s="7"/>
      <c r="BO123" s="4"/>
      <c r="BP123" s="8"/>
      <c r="BQ123" s="4"/>
      <c r="BR123" s="8"/>
      <c r="BS123" s="7"/>
      <c r="BT123" s="7"/>
      <c r="BU123" s="2" t="s">
        <v>1126</v>
      </c>
      <c r="BV123" s="2" t="s">
        <v>227</v>
      </c>
      <c r="BW123" s="2" t="s">
        <v>227</v>
      </c>
      <c r="BX123" s="2" t="s">
        <v>235</v>
      </c>
      <c r="BY123" s="2" t="s">
        <v>236</v>
      </c>
      <c r="BZ123" s="2" t="s">
        <v>224</v>
      </c>
      <c r="CA123" s="2" t="s">
        <v>237</v>
      </c>
      <c r="CB123" s="2" t="s">
        <v>1127</v>
      </c>
      <c r="CC123" s="2" t="s">
        <v>239</v>
      </c>
      <c r="CD123" s="2" t="s">
        <v>227</v>
      </c>
      <c r="CE123" s="4"/>
      <c r="CF123" s="4">
        <v>163</v>
      </c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</row>
    <row r="124">
      <c r="A124" s="2" t="s">
        <v>1128</v>
      </c>
      <c r="B124" s="2" t="s">
        <v>573</v>
      </c>
      <c r="C124" s="2" t="s">
        <v>360</v>
      </c>
      <c r="D124" s="2" t="s">
        <v>832</v>
      </c>
      <c r="E124" s="2" t="s">
        <v>833</v>
      </c>
      <c r="F124" s="2" t="s">
        <v>1120</v>
      </c>
      <c r="G124" s="2" t="s">
        <v>1121</v>
      </c>
      <c r="H124" s="2" t="s">
        <v>1122</v>
      </c>
      <c r="I124" s="2" t="s">
        <v>1123</v>
      </c>
      <c r="J124" s="2" t="s">
        <v>548</v>
      </c>
      <c r="K124" s="2" t="s">
        <v>601</v>
      </c>
      <c r="L124" s="3">
        <v>204.25</v>
      </c>
      <c r="M124" s="3">
        <v>214.46</v>
      </c>
      <c r="N124" s="3">
        <v>429</v>
      </c>
      <c r="O124" s="2" t="s">
        <v>224</v>
      </c>
      <c r="P124" s="2" t="s">
        <v>225</v>
      </c>
      <c r="Q124" s="2" t="s">
        <v>226</v>
      </c>
      <c r="R124" s="2" t="s">
        <v>227</v>
      </c>
      <c r="S124" s="2" t="s">
        <v>1129</v>
      </c>
      <c r="T124" s="2" t="s">
        <v>227</v>
      </c>
      <c r="U124" s="2" t="s">
        <v>227</v>
      </c>
      <c r="V124" s="2" t="s">
        <v>230</v>
      </c>
      <c r="W124" s="2" t="s">
        <v>836</v>
      </c>
      <c r="X124" s="2" t="s">
        <v>227</v>
      </c>
      <c r="Y124" s="2" t="s">
        <v>232</v>
      </c>
      <c r="Z124" s="4">
        <v>158</v>
      </c>
      <c r="AA124" s="4">
        <f>=ROUNDDOWN(79,0)</f>
      </c>
      <c r="AB124" s="5">
        <v>2</v>
      </c>
      <c r="AC124" s="2" t="s">
        <v>227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227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 t="s">
        <v>227</v>
      </c>
      <c r="BD124" s="8" t="s">
        <v>227</v>
      </c>
      <c r="BE124" s="4" t="s">
        <v>227</v>
      </c>
      <c r="BF124" s="8" t="s">
        <v>227</v>
      </c>
      <c r="BG124" s="7" t="s">
        <v>227</v>
      </c>
      <c r="BH124" s="7" t="s">
        <v>227</v>
      </c>
      <c r="BI124" s="7"/>
      <c r="BJ124" s="4">
        <v>3</v>
      </c>
      <c r="BK124" s="8">
        <v>550.49</v>
      </c>
      <c r="BL124" s="2" t="s">
        <v>1130</v>
      </c>
      <c r="BM124" s="7"/>
      <c r="BN124" s="7"/>
      <c r="BO124" s="4"/>
      <c r="BP124" s="8"/>
      <c r="BQ124" s="4"/>
      <c r="BR124" s="8"/>
      <c r="BS124" s="7"/>
      <c r="BT124" s="7"/>
      <c r="BU124" s="2" t="s">
        <v>1131</v>
      </c>
      <c r="BV124" s="2" t="s">
        <v>227</v>
      </c>
      <c r="BW124" s="2" t="s">
        <v>227</v>
      </c>
      <c r="BX124" s="2" t="s">
        <v>235</v>
      </c>
      <c r="BY124" s="2" t="s">
        <v>236</v>
      </c>
      <c r="BZ124" s="2" t="s">
        <v>224</v>
      </c>
      <c r="CA124" s="2" t="s">
        <v>237</v>
      </c>
      <c r="CB124" s="2" t="s">
        <v>1132</v>
      </c>
      <c r="CC124" s="2" t="s">
        <v>239</v>
      </c>
      <c r="CD124" s="2" t="s">
        <v>227</v>
      </c>
      <c r="CE124" s="4"/>
      <c r="CF124" s="4">
        <v>158</v>
      </c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</row>
    <row r="125">
      <c r="A125" s="2" t="s">
        <v>1133</v>
      </c>
      <c r="B125" s="2" t="s">
        <v>573</v>
      </c>
      <c r="C125" s="2" t="s">
        <v>360</v>
      </c>
      <c r="D125" s="2" t="s">
        <v>832</v>
      </c>
      <c r="E125" s="2" t="s">
        <v>833</v>
      </c>
      <c r="F125" s="2" t="s">
        <v>1120</v>
      </c>
      <c r="G125" s="2" t="s">
        <v>1121</v>
      </c>
      <c r="H125" s="2" t="s">
        <v>1122</v>
      </c>
      <c r="I125" s="2" t="s">
        <v>1123</v>
      </c>
      <c r="J125" s="2" t="s">
        <v>548</v>
      </c>
      <c r="K125" s="2" t="s">
        <v>1067</v>
      </c>
      <c r="L125" s="3">
        <v>204.25</v>
      </c>
      <c r="M125" s="3">
        <v>214.46</v>
      </c>
      <c r="N125" s="3">
        <v>429</v>
      </c>
      <c r="O125" s="2" t="s">
        <v>224</v>
      </c>
      <c r="P125" s="2" t="s">
        <v>580</v>
      </c>
      <c r="Q125" s="2" t="s">
        <v>226</v>
      </c>
      <c r="R125" s="2" t="s">
        <v>227</v>
      </c>
      <c r="S125" s="2" t="s">
        <v>1134</v>
      </c>
      <c r="T125" s="2" t="s">
        <v>227</v>
      </c>
      <c r="U125" s="2" t="s">
        <v>227</v>
      </c>
      <c r="V125" s="2" t="s">
        <v>230</v>
      </c>
      <c r="W125" s="2" t="s">
        <v>836</v>
      </c>
      <c r="X125" s="2" t="s">
        <v>227</v>
      </c>
      <c r="Y125" s="2" t="s">
        <v>232</v>
      </c>
      <c r="Z125" s="4">
        <v>102</v>
      </c>
      <c r="AA125" s="4">
        <f>=ROUNDDOWN(51,0)</f>
      </c>
      <c r="AB125" s="5">
        <v>2</v>
      </c>
      <c r="AC125" s="2" t="s">
        <v>227</v>
      </c>
      <c r="AD125" s="4"/>
      <c r="AE125" s="4"/>
      <c r="AF125" s="6">
        <v>66</v>
      </c>
      <c r="AG125" s="6">
        <v>49</v>
      </c>
      <c r="AH125" s="7">
        <v>1</v>
      </c>
      <c r="AI125" s="4"/>
      <c r="AJ125" s="4">
        <f>=ROUNDDOWN({0},0)</f>
      </c>
      <c r="AK125" s="5"/>
      <c r="AL125" s="2" t="s">
        <v>227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 t="s">
        <v>227</v>
      </c>
      <c r="BD125" s="8" t="s">
        <v>227</v>
      </c>
      <c r="BE125" s="4" t="s">
        <v>227</v>
      </c>
      <c r="BF125" s="8" t="s">
        <v>227</v>
      </c>
      <c r="BG125" s="7" t="s">
        <v>227</v>
      </c>
      <c r="BH125" s="7" t="s">
        <v>227</v>
      </c>
      <c r="BI125" s="7"/>
      <c r="BJ125" s="4">
        <v>9</v>
      </c>
      <c r="BK125" s="8">
        <v>1760.75</v>
      </c>
      <c r="BL125" s="2" t="s">
        <v>1135</v>
      </c>
      <c r="BM125" s="7"/>
      <c r="BN125" s="7"/>
      <c r="BO125" s="4"/>
      <c r="BP125" s="8"/>
      <c r="BQ125" s="4"/>
      <c r="BR125" s="8"/>
      <c r="BS125" s="7"/>
      <c r="BT125" s="7"/>
      <c r="BU125" s="2" t="s">
        <v>1136</v>
      </c>
      <c r="BV125" s="2" t="s">
        <v>227</v>
      </c>
      <c r="BW125" s="2" t="s">
        <v>227</v>
      </c>
      <c r="BX125" s="2" t="s">
        <v>235</v>
      </c>
      <c r="BY125" s="2" t="s">
        <v>236</v>
      </c>
      <c r="BZ125" s="2" t="s">
        <v>224</v>
      </c>
      <c r="CA125" s="2" t="s">
        <v>237</v>
      </c>
      <c r="CB125" s="2" t="s">
        <v>1137</v>
      </c>
      <c r="CC125" s="2" t="s">
        <v>239</v>
      </c>
      <c r="CD125" s="2" t="s">
        <v>227</v>
      </c>
      <c r="CE125" s="4"/>
      <c r="CF125" s="4">
        <v>95</v>
      </c>
      <c r="CG125" s="4"/>
      <c r="CH125" s="4">
        <v>7</v>
      </c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</row>
    <row r="126">
      <c r="A126" s="2" t="s">
        <v>1138</v>
      </c>
      <c r="B126" s="2" t="s">
        <v>1001</v>
      </c>
      <c r="C126" s="2" t="s">
        <v>1139</v>
      </c>
      <c r="D126" s="2" t="s">
        <v>1140</v>
      </c>
      <c r="E126" s="2" t="s">
        <v>1141</v>
      </c>
      <c r="F126" s="2" t="s">
        <v>1142</v>
      </c>
      <c r="G126" s="2" t="s">
        <v>1142</v>
      </c>
      <c r="H126" s="2" t="s">
        <v>1142</v>
      </c>
      <c r="I126" s="2" t="s">
        <v>1143</v>
      </c>
      <c r="J126" s="2" t="s">
        <v>548</v>
      </c>
      <c r="K126" s="2" t="s">
        <v>410</v>
      </c>
      <c r="L126" s="3">
        <v>27.48</v>
      </c>
      <c r="M126" s="3">
        <v>28.85</v>
      </c>
      <c r="N126" s="3">
        <v>59.99</v>
      </c>
      <c r="O126" s="2" t="s">
        <v>224</v>
      </c>
      <c r="P126" s="2" t="s">
        <v>580</v>
      </c>
      <c r="Q126" s="2" t="s">
        <v>226</v>
      </c>
      <c r="R126" s="2" t="s">
        <v>227</v>
      </c>
      <c r="S126" s="2" t="s">
        <v>227</v>
      </c>
      <c r="T126" s="2" t="s">
        <v>227</v>
      </c>
      <c r="U126" s="2" t="s">
        <v>552</v>
      </c>
      <c r="V126" s="2" t="s">
        <v>566</v>
      </c>
      <c r="W126" s="2" t="s">
        <v>836</v>
      </c>
      <c r="X126" s="2" t="s">
        <v>227</v>
      </c>
      <c r="Y126" s="2" t="s">
        <v>1144</v>
      </c>
      <c r="Z126" s="4">
        <v>79</v>
      </c>
      <c r="AA126" s="4">
        <f>=ROUNDDOWN(19.2682926829268,0)</f>
      </c>
      <c r="AB126" s="5">
        <v>4.1</v>
      </c>
      <c r="AC126" s="2" t="s">
        <v>227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227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/>
      <c r="BD126" s="8"/>
      <c r="BE126" s="4"/>
      <c r="BF126" s="8"/>
      <c r="BG126" s="7"/>
      <c r="BH126" s="7"/>
      <c r="BI126" s="7"/>
      <c r="BJ126" s="4">
        <v>7</v>
      </c>
      <c r="BK126" s="8">
        <v>213.37</v>
      </c>
      <c r="BL126" s="2" t="s">
        <v>1145</v>
      </c>
      <c r="BM126" s="7"/>
      <c r="BN126" s="7"/>
      <c r="BO126" s="4"/>
      <c r="BP126" s="8"/>
      <c r="BQ126" s="4"/>
      <c r="BR126" s="8"/>
      <c r="BS126" s="7"/>
      <c r="BT126" s="7"/>
      <c r="BU126" s="2" t="s">
        <v>1146</v>
      </c>
      <c r="BV126" s="2" t="s">
        <v>227</v>
      </c>
      <c r="BW126" s="2" t="s">
        <v>227</v>
      </c>
      <c r="BX126" s="2" t="s">
        <v>235</v>
      </c>
      <c r="BY126" s="2" t="s">
        <v>236</v>
      </c>
      <c r="BZ126" s="2" t="s">
        <v>224</v>
      </c>
      <c r="CA126" s="2" t="s">
        <v>1147</v>
      </c>
      <c r="CB126" s="2" t="s">
        <v>1148</v>
      </c>
      <c r="CC126" s="2" t="s">
        <v>239</v>
      </c>
      <c r="CD126" s="2" t="s">
        <v>227</v>
      </c>
      <c r="CE126" s="4"/>
      <c r="CF126" s="4">
        <v>79</v>
      </c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</row>
    <row r="127">
      <c r="A127" s="2" t="s">
        <v>1149</v>
      </c>
      <c r="B127" s="2" t="s">
        <v>542</v>
      </c>
      <c r="C127" s="2" t="s">
        <v>360</v>
      </c>
      <c r="D127" s="2" t="s">
        <v>1052</v>
      </c>
      <c r="E127" s="2" t="s">
        <v>1053</v>
      </c>
      <c r="F127" s="2" t="s">
        <v>1150</v>
      </c>
      <c r="G127" s="2" t="s">
        <v>1150</v>
      </c>
      <c r="H127" s="2" t="s">
        <v>1150</v>
      </c>
      <c r="I127" s="2" t="s">
        <v>1151</v>
      </c>
      <c r="J127" s="2" t="s">
        <v>548</v>
      </c>
      <c r="K127" s="2" t="s">
        <v>1152</v>
      </c>
      <c r="L127" s="3">
        <v>6.66</v>
      </c>
      <c r="M127" s="3">
        <v>6.99</v>
      </c>
      <c r="N127" s="3">
        <v>19.99</v>
      </c>
      <c r="O127" s="2" t="s">
        <v>224</v>
      </c>
      <c r="P127" s="2" t="s">
        <v>580</v>
      </c>
      <c r="Q127" s="2" t="s">
        <v>226</v>
      </c>
      <c r="R127" s="2" t="s">
        <v>227</v>
      </c>
      <c r="S127" s="2" t="s">
        <v>227</v>
      </c>
      <c r="T127" s="2" t="s">
        <v>227</v>
      </c>
      <c r="U127" s="2" t="s">
        <v>552</v>
      </c>
      <c r="V127" s="2" t="s">
        <v>1153</v>
      </c>
      <c r="W127" s="2" t="s">
        <v>231</v>
      </c>
      <c r="X127" s="2" t="s">
        <v>706</v>
      </c>
      <c r="Y127" s="2" t="s">
        <v>1154</v>
      </c>
      <c r="Z127" s="4">
        <v>157</v>
      </c>
      <c r="AA127" s="4">
        <f>=ROUNDDOWN(157,0)</f>
      </c>
      <c r="AB127" s="5">
        <v>1</v>
      </c>
      <c r="AC127" s="2" t="s">
        <v>227</v>
      </c>
      <c r="AD127" s="4"/>
      <c r="AE127" s="4"/>
      <c r="AF127" s="6">
        <v>63</v>
      </c>
      <c r="AG127" s="6"/>
      <c r="AH127" s="7">
        <v>1</v>
      </c>
      <c r="AI127" s="4"/>
      <c r="AJ127" s="4">
        <f>=ROUNDDOWN({0},0)</f>
      </c>
      <c r="AK127" s="5"/>
      <c r="AL127" s="2" t="s">
        <v>227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 t="s">
        <v>227</v>
      </c>
      <c r="BD127" s="8" t="s">
        <v>227</v>
      </c>
      <c r="BE127" s="4" t="s">
        <v>227</v>
      </c>
      <c r="BF127" s="8" t="s">
        <v>227</v>
      </c>
      <c r="BG127" s="7" t="s">
        <v>227</v>
      </c>
      <c r="BH127" s="7" t="s">
        <v>227</v>
      </c>
      <c r="BI127" s="7"/>
      <c r="BJ127" s="4">
        <v>3</v>
      </c>
      <c r="BK127" s="8">
        <v>23.97</v>
      </c>
      <c r="BL127" s="2" t="s">
        <v>1155</v>
      </c>
      <c r="BM127" s="7"/>
      <c r="BN127" s="7"/>
      <c r="BO127" s="4"/>
      <c r="BP127" s="8"/>
      <c r="BQ127" s="4"/>
      <c r="BR127" s="8"/>
      <c r="BS127" s="7"/>
      <c r="BT127" s="7"/>
      <c r="BU127" s="2" t="s">
        <v>1156</v>
      </c>
      <c r="BV127" s="2" t="s">
        <v>227</v>
      </c>
      <c r="BW127" s="2" t="s">
        <v>227</v>
      </c>
      <c r="BX127" s="2" t="s">
        <v>235</v>
      </c>
      <c r="BY127" s="2" t="s">
        <v>236</v>
      </c>
      <c r="BZ127" s="2" t="s">
        <v>224</v>
      </c>
      <c r="CA127" s="2" t="s">
        <v>1157</v>
      </c>
      <c r="CB127" s="2" t="s">
        <v>227</v>
      </c>
      <c r="CC127" s="2" t="s">
        <v>239</v>
      </c>
      <c r="CD127" s="2" t="s">
        <v>227</v>
      </c>
      <c r="CE127" s="4"/>
      <c r="CF127" s="4">
        <v>157</v>
      </c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</row>
    <row r="128">
      <c r="A128" s="2" t="s">
        <v>1158</v>
      </c>
      <c r="B128" s="2" t="s">
        <v>542</v>
      </c>
      <c r="C128" s="2" t="s">
        <v>360</v>
      </c>
      <c r="D128" s="2" t="s">
        <v>1052</v>
      </c>
      <c r="E128" s="2" t="s">
        <v>1053</v>
      </c>
      <c r="F128" s="2" t="s">
        <v>1150</v>
      </c>
      <c r="G128" s="2" t="s">
        <v>1150</v>
      </c>
      <c r="H128" s="2" t="s">
        <v>1150</v>
      </c>
      <c r="I128" s="2" t="s">
        <v>1159</v>
      </c>
      <c r="J128" s="2" t="s">
        <v>548</v>
      </c>
      <c r="K128" s="2" t="s">
        <v>1160</v>
      </c>
      <c r="L128" s="3">
        <v>6.66</v>
      </c>
      <c r="M128" s="3">
        <v>6.99</v>
      </c>
      <c r="N128" s="3">
        <v>19.99</v>
      </c>
      <c r="O128" s="2" t="s">
        <v>224</v>
      </c>
      <c r="P128" s="2" t="s">
        <v>580</v>
      </c>
      <c r="Q128" s="2" t="s">
        <v>226</v>
      </c>
      <c r="R128" s="2" t="s">
        <v>227</v>
      </c>
      <c r="S128" s="2" t="s">
        <v>227</v>
      </c>
      <c r="T128" s="2" t="s">
        <v>227</v>
      </c>
      <c r="U128" s="2" t="s">
        <v>552</v>
      </c>
      <c r="V128" s="2" t="s">
        <v>1153</v>
      </c>
      <c r="W128" s="2" t="s">
        <v>231</v>
      </c>
      <c r="X128" s="2" t="s">
        <v>706</v>
      </c>
      <c r="Y128" s="2" t="s">
        <v>1161</v>
      </c>
      <c r="Z128" s="4"/>
      <c r="AA128" s="4">
        <f>=ROUNDDOWN({0},0)</f>
      </c>
      <c r="AB128" s="5">
        <v>8</v>
      </c>
      <c r="AC128" s="2" t="s">
        <v>153</v>
      </c>
      <c r="AD128" s="4">
        <v>120</v>
      </c>
      <c r="AE128" s="4">
        <v>120</v>
      </c>
      <c r="AF128" s="6">
        <v>63</v>
      </c>
      <c r="AG128" s="6">
        <v>46</v>
      </c>
      <c r="AH128" s="7">
        <v>0.1613</v>
      </c>
      <c r="AI128" s="4"/>
      <c r="AJ128" s="4">
        <f>=ROUNDDOWN({0},0)</f>
      </c>
      <c r="AK128" s="5"/>
      <c r="AL128" s="2" t="s">
        <v>227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/>
      <c r="AW128" s="8"/>
      <c r="AX128" s="4"/>
      <c r="AY128" s="8"/>
      <c r="AZ128" s="7"/>
      <c r="BA128" s="7"/>
      <c r="BB128" s="7"/>
      <c r="BC128" s="4" t="s">
        <v>227</v>
      </c>
      <c r="BD128" s="8" t="s">
        <v>227</v>
      </c>
      <c r="BE128" s="4" t="s">
        <v>227</v>
      </c>
      <c r="BF128" s="8" t="s">
        <v>227</v>
      </c>
      <c r="BG128" s="7" t="s">
        <v>227</v>
      </c>
      <c r="BH128" s="7" t="s">
        <v>227</v>
      </c>
      <c r="BI128" s="7"/>
      <c r="BJ128" s="4">
        <v>18</v>
      </c>
      <c r="BK128" s="8">
        <v>158.29</v>
      </c>
      <c r="BL128" s="2" t="s">
        <v>1162</v>
      </c>
      <c r="BM128" s="7"/>
      <c r="BN128" s="7"/>
      <c r="BO128" s="4"/>
      <c r="BP128" s="8"/>
      <c r="BQ128" s="4"/>
      <c r="BR128" s="8"/>
      <c r="BS128" s="7"/>
      <c r="BT128" s="7"/>
      <c r="BU128" s="2" t="s">
        <v>1163</v>
      </c>
      <c r="BV128" s="2" t="s">
        <v>227</v>
      </c>
      <c r="BW128" s="2" t="s">
        <v>227</v>
      </c>
      <c r="BX128" s="2" t="s">
        <v>235</v>
      </c>
      <c r="BY128" s="2" t="s">
        <v>236</v>
      </c>
      <c r="BZ128" s="2" t="s">
        <v>224</v>
      </c>
      <c r="CA128" s="2" t="s">
        <v>1157</v>
      </c>
      <c r="CB128" s="2" t="s">
        <v>1164</v>
      </c>
      <c r="CC128" s="2" t="s">
        <v>239</v>
      </c>
      <c r="CD128" s="2" t="s">
        <v>227</v>
      </c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>
        <v>120</v>
      </c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</row>
    <row r="129">
      <c r="A129" s="2" t="s">
        <v>1165</v>
      </c>
      <c r="B129" s="2" t="s">
        <v>542</v>
      </c>
      <c r="C129" s="2" t="s">
        <v>360</v>
      </c>
      <c r="D129" s="2" t="s">
        <v>1052</v>
      </c>
      <c r="E129" s="2" t="s">
        <v>1053</v>
      </c>
      <c r="F129" s="2" t="s">
        <v>1150</v>
      </c>
      <c r="G129" s="2" t="s">
        <v>1150</v>
      </c>
      <c r="H129" s="2" t="s">
        <v>1150</v>
      </c>
      <c r="I129" s="2" t="s">
        <v>1166</v>
      </c>
      <c r="J129" s="2" t="s">
        <v>548</v>
      </c>
      <c r="K129" s="2" t="s">
        <v>1167</v>
      </c>
      <c r="L129" s="3">
        <v>6.66</v>
      </c>
      <c r="M129" s="3">
        <v>6.99</v>
      </c>
      <c r="N129" s="3">
        <v>19.99</v>
      </c>
      <c r="O129" s="2" t="s">
        <v>224</v>
      </c>
      <c r="P129" s="2" t="s">
        <v>580</v>
      </c>
      <c r="Q129" s="2" t="s">
        <v>226</v>
      </c>
      <c r="R129" s="2" t="s">
        <v>227</v>
      </c>
      <c r="S129" s="2" t="s">
        <v>227</v>
      </c>
      <c r="T129" s="2" t="s">
        <v>227</v>
      </c>
      <c r="U129" s="2" t="s">
        <v>552</v>
      </c>
      <c r="V129" s="2" t="s">
        <v>1153</v>
      </c>
      <c r="W129" s="2" t="s">
        <v>231</v>
      </c>
      <c r="X129" s="2" t="s">
        <v>706</v>
      </c>
      <c r="Y129" s="2" t="s">
        <v>1154</v>
      </c>
      <c r="Z129" s="4">
        <v>330</v>
      </c>
      <c r="AA129" s="4">
        <f>=ROUNDDOWN(66,0)</f>
      </c>
      <c r="AB129" s="5">
        <v>5</v>
      </c>
      <c r="AC129" s="2" t="s">
        <v>227</v>
      </c>
      <c r="AD129" s="4"/>
      <c r="AE129" s="4"/>
      <c r="AF129" s="6">
        <v>63</v>
      </c>
      <c r="AG129" s="6"/>
      <c r="AH129" s="7">
        <v>1</v>
      </c>
      <c r="AI129" s="4"/>
      <c r="AJ129" s="4">
        <f>=ROUNDDOWN({0},0)</f>
      </c>
      <c r="AK129" s="5"/>
      <c r="AL129" s="2" t="s">
        <v>227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 t="s">
        <v>227</v>
      </c>
      <c r="BD129" s="8" t="s">
        <v>227</v>
      </c>
      <c r="BE129" s="4" t="s">
        <v>227</v>
      </c>
      <c r="BF129" s="8" t="s">
        <v>227</v>
      </c>
      <c r="BG129" s="7" t="s">
        <v>227</v>
      </c>
      <c r="BH129" s="7" t="s">
        <v>227</v>
      </c>
      <c r="BI129" s="7"/>
      <c r="BJ129" s="4">
        <v>5</v>
      </c>
      <c r="BK129" s="8">
        <v>39.7</v>
      </c>
      <c r="BL129" s="2" t="s">
        <v>1168</v>
      </c>
      <c r="BM129" s="7"/>
      <c r="BN129" s="7"/>
      <c r="BO129" s="4"/>
      <c r="BP129" s="8"/>
      <c r="BQ129" s="4"/>
      <c r="BR129" s="8"/>
      <c r="BS129" s="7"/>
      <c r="BT129" s="7"/>
      <c r="BU129" s="2" t="s">
        <v>1169</v>
      </c>
      <c r="BV129" s="2" t="s">
        <v>227</v>
      </c>
      <c r="BW129" s="2" t="s">
        <v>227</v>
      </c>
      <c r="BX129" s="2" t="s">
        <v>235</v>
      </c>
      <c r="BY129" s="2" t="s">
        <v>236</v>
      </c>
      <c r="BZ129" s="2" t="s">
        <v>224</v>
      </c>
      <c r="CA129" s="2" t="s">
        <v>1157</v>
      </c>
      <c r="CB129" s="2" t="s">
        <v>227</v>
      </c>
      <c r="CC129" s="2" t="s">
        <v>239</v>
      </c>
      <c r="CD129" s="2" t="s">
        <v>227</v>
      </c>
      <c r="CE129" s="4"/>
      <c r="CF129" s="4">
        <v>330</v>
      </c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</row>
    <row r="130">
      <c r="A130" s="2" t="s">
        <v>1170</v>
      </c>
      <c r="B130" s="2" t="s">
        <v>715</v>
      </c>
      <c r="C130" s="2" t="s">
        <v>360</v>
      </c>
      <c r="D130" s="2" t="s">
        <v>716</v>
      </c>
      <c r="E130" s="2" t="s">
        <v>717</v>
      </c>
      <c r="F130" s="2" t="s">
        <v>1171</v>
      </c>
      <c r="G130" s="2" t="s">
        <v>1172</v>
      </c>
      <c r="H130" s="2" t="s">
        <v>1173</v>
      </c>
      <c r="I130" s="2" t="s">
        <v>1174</v>
      </c>
      <c r="J130" s="2" t="s">
        <v>808</v>
      </c>
      <c r="K130" s="2" t="s">
        <v>737</v>
      </c>
      <c r="L130" s="3">
        <v>17.5</v>
      </c>
      <c r="M130" s="3">
        <v>18.38</v>
      </c>
      <c r="N130" s="3">
        <v>39.99</v>
      </c>
      <c r="O130" s="2" t="s">
        <v>224</v>
      </c>
      <c r="P130" s="2" t="s">
        <v>225</v>
      </c>
      <c r="Q130" s="2" t="s">
        <v>226</v>
      </c>
      <c r="R130" s="2" t="s">
        <v>227</v>
      </c>
      <c r="S130" s="2" t="s">
        <v>1175</v>
      </c>
      <c r="T130" s="2" t="s">
        <v>227</v>
      </c>
      <c r="U130" s="2" t="s">
        <v>552</v>
      </c>
      <c r="V130" s="2" t="s">
        <v>230</v>
      </c>
      <c r="W130" s="2" t="s">
        <v>231</v>
      </c>
      <c r="X130" s="2" t="s">
        <v>725</v>
      </c>
      <c r="Y130" s="2" t="s">
        <v>1176</v>
      </c>
      <c r="Z130" s="4">
        <v>299</v>
      </c>
      <c r="AA130" s="4">
        <f>=ROUNDDOWN(11.5,0)</f>
      </c>
      <c r="AB130" s="5">
        <v>26</v>
      </c>
      <c r="AC130" s="2" t="s">
        <v>821</v>
      </c>
      <c r="AD130" s="4">
        <v>500</v>
      </c>
      <c r="AE130" s="4">
        <v>760</v>
      </c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227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/>
      <c r="BD130" s="8"/>
      <c r="BE130" s="4"/>
      <c r="BF130" s="8"/>
      <c r="BG130" s="7"/>
      <c r="BH130" s="7"/>
      <c r="BI130" s="7"/>
      <c r="BJ130" s="4">
        <v>77</v>
      </c>
      <c r="BK130" s="8">
        <v>1466.69</v>
      </c>
      <c r="BL130" s="2" t="s">
        <v>1177</v>
      </c>
      <c r="BM130" s="7"/>
      <c r="BN130" s="7"/>
      <c r="BO130" s="4"/>
      <c r="BP130" s="8"/>
      <c r="BQ130" s="4"/>
      <c r="BR130" s="8"/>
      <c r="BS130" s="7"/>
      <c r="BT130" s="7"/>
      <c r="BU130" s="2" t="s">
        <v>1178</v>
      </c>
      <c r="BV130" s="2" t="s">
        <v>227</v>
      </c>
      <c r="BW130" s="2" t="s">
        <v>227</v>
      </c>
      <c r="BX130" s="2" t="s">
        <v>235</v>
      </c>
      <c r="BY130" s="2" t="s">
        <v>236</v>
      </c>
      <c r="BZ130" s="2" t="s">
        <v>224</v>
      </c>
      <c r="CA130" s="2" t="s">
        <v>1179</v>
      </c>
      <c r="CB130" s="2" t="s">
        <v>1180</v>
      </c>
      <c r="CC130" s="2" t="s">
        <v>239</v>
      </c>
      <c r="CD130" s="2" t="s">
        <v>227</v>
      </c>
      <c r="CE130" s="4">
        <v>299</v>
      </c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>
        <v>500</v>
      </c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>
        <v>260</v>
      </c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</row>
    <row r="131">
      <c r="A131" s="2" t="s">
        <v>1181</v>
      </c>
      <c r="B131" s="2" t="s">
        <v>573</v>
      </c>
      <c r="C131" s="2" t="s">
        <v>515</v>
      </c>
      <c r="D131" s="2" t="s">
        <v>1182</v>
      </c>
      <c r="E131" s="2" t="s">
        <v>1183</v>
      </c>
      <c r="F131" s="2" t="s">
        <v>1184</v>
      </c>
      <c r="G131" s="2" t="s">
        <v>1184</v>
      </c>
      <c r="H131" s="2" t="s">
        <v>1184</v>
      </c>
      <c r="I131" s="2" t="s">
        <v>1183</v>
      </c>
      <c r="J131" s="2" t="s">
        <v>257</v>
      </c>
      <c r="K131" s="2" t="s">
        <v>1185</v>
      </c>
      <c r="L131" s="3">
        <v>430</v>
      </c>
      <c r="M131" s="3">
        <v>451.5</v>
      </c>
      <c r="N131" s="3">
        <v>899</v>
      </c>
      <c r="O131" s="2" t="s">
        <v>224</v>
      </c>
      <c r="P131" s="2" t="s">
        <v>550</v>
      </c>
      <c r="Q131" s="2" t="s">
        <v>1186</v>
      </c>
      <c r="R131" s="2" t="s">
        <v>227</v>
      </c>
      <c r="S131" s="2" t="s">
        <v>227</v>
      </c>
      <c r="T131" s="2" t="s">
        <v>227</v>
      </c>
      <c r="U131" s="2" t="s">
        <v>552</v>
      </c>
      <c r="V131" s="2" t="s">
        <v>230</v>
      </c>
      <c r="W131" s="2" t="s">
        <v>506</v>
      </c>
      <c r="X131" s="2" t="s">
        <v>1008</v>
      </c>
      <c r="Y131" s="2" t="s">
        <v>1187</v>
      </c>
      <c r="Z131" s="4">
        <v>370</v>
      </c>
      <c r="AA131" s="4">
        <f>=ROUNDDOWN(46.25,0)</f>
      </c>
      <c r="AB131" s="5">
        <v>8</v>
      </c>
      <c r="AC131" s="2" t="s">
        <v>227</v>
      </c>
      <c r="AD131" s="4"/>
      <c r="AE131" s="4"/>
      <c r="AF131" s="6">
        <v>74</v>
      </c>
      <c r="AG131" s="6">
        <v>60</v>
      </c>
      <c r="AH131" s="7">
        <v>1</v>
      </c>
      <c r="AI131" s="4"/>
      <c r="AJ131" s="4">
        <f>=ROUNDDOWN({0},0)</f>
      </c>
      <c r="AK131" s="5"/>
      <c r="AL131" s="2" t="s">
        <v>227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 t="s">
        <v>227</v>
      </c>
      <c r="BD131" s="8" t="s">
        <v>227</v>
      </c>
      <c r="BE131" s="4" t="s">
        <v>227</v>
      </c>
      <c r="BF131" s="8" t="s">
        <v>227</v>
      </c>
      <c r="BG131" s="7" t="s">
        <v>227</v>
      </c>
      <c r="BH131" s="7" t="s">
        <v>227</v>
      </c>
      <c r="BI131" s="7"/>
      <c r="BJ131" s="4">
        <v>38</v>
      </c>
      <c r="BK131" s="8">
        <v>15583.17</v>
      </c>
      <c r="BL131" s="2" t="s">
        <v>1188</v>
      </c>
      <c r="BM131" s="7"/>
      <c r="BN131" s="7"/>
      <c r="BO131" s="4"/>
      <c r="BP131" s="8"/>
      <c r="BQ131" s="4"/>
      <c r="BR131" s="8"/>
      <c r="BS131" s="7"/>
      <c r="BT131" s="7"/>
      <c r="BU131" s="2" t="s">
        <v>1189</v>
      </c>
      <c r="BV131" s="2" t="s">
        <v>227</v>
      </c>
      <c r="BW131" s="2" t="s">
        <v>227</v>
      </c>
      <c r="BX131" s="2" t="s">
        <v>235</v>
      </c>
      <c r="BY131" s="2" t="s">
        <v>236</v>
      </c>
      <c r="BZ131" s="2" t="s">
        <v>224</v>
      </c>
      <c r="CA131" s="2" t="s">
        <v>1190</v>
      </c>
      <c r="CB131" s="2" t="s">
        <v>227</v>
      </c>
      <c r="CC131" s="2" t="s">
        <v>239</v>
      </c>
      <c r="CD131" s="2" t="s">
        <v>227</v>
      </c>
      <c r="CE131" s="4"/>
      <c r="CF131" s="4">
        <v>359</v>
      </c>
      <c r="CG131" s="4"/>
      <c r="CH131" s="4">
        <v>11</v>
      </c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</row>
    <row r="132">
      <c r="A132" s="2" t="s">
        <v>1191</v>
      </c>
      <c r="B132" s="2" t="s">
        <v>573</v>
      </c>
      <c r="C132" s="2" t="s">
        <v>515</v>
      </c>
      <c r="D132" s="2" t="s">
        <v>1182</v>
      </c>
      <c r="E132" s="2" t="s">
        <v>1183</v>
      </c>
      <c r="F132" s="2" t="s">
        <v>1184</v>
      </c>
      <c r="G132" s="2" t="s">
        <v>1184</v>
      </c>
      <c r="H132" s="2" t="s">
        <v>1184</v>
      </c>
      <c r="I132" s="2" t="s">
        <v>1183</v>
      </c>
      <c r="J132" s="2" t="s">
        <v>257</v>
      </c>
      <c r="K132" s="2" t="s">
        <v>1192</v>
      </c>
      <c r="L132" s="3">
        <v>430</v>
      </c>
      <c r="M132" s="3">
        <v>451.5</v>
      </c>
      <c r="N132" s="3">
        <v>899</v>
      </c>
      <c r="O132" s="2" t="s">
        <v>224</v>
      </c>
      <c r="P132" s="2" t="s">
        <v>530</v>
      </c>
      <c r="Q132" s="2" t="s">
        <v>1186</v>
      </c>
      <c r="R132" s="2" t="s">
        <v>227</v>
      </c>
      <c r="S132" s="2" t="s">
        <v>1193</v>
      </c>
      <c r="T132" s="2" t="s">
        <v>227</v>
      </c>
      <c r="U132" s="2" t="s">
        <v>227</v>
      </c>
      <c r="V132" s="2" t="s">
        <v>230</v>
      </c>
      <c r="W132" s="2" t="s">
        <v>506</v>
      </c>
      <c r="X132" s="2" t="s">
        <v>1008</v>
      </c>
      <c r="Y132" s="2" t="s">
        <v>1194</v>
      </c>
      <c r="Z132" s="4">
        <v>92</v>
      </c>
      <c r="AA132" s="4">
        <f>=ROUNDDOWN(5.41176470588235,0)</f>
      </c>
      <c r="AB132" s="5">
        <v>17</v>
      </c>
      <c r="AC132" s="2" t="s">
        <v>1195</v>
      </c>
      <c r="AD132" s="4">
        <v>90</v>
      </c>
      <c r="AE132" s="4">
        <v>520</v>
      </c>
      <c r="AF132" s="6">
        <v>74</v>
      </c>
      <c r="AG132" s="6">
        <v>60</v>
      </c>
      <c r="AH132" s="7">
        <v>1</v>
      </c>
      <c r="AI132" s="4"/>
      <c r="AJ132" s="4">
        <f>=ROUNDDOWN({0},0)</f>
      </c>
      <c r="AK132" s="5"/>
      <c r="AL132" s="2" t="s">
        <v>227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 t="s">
        <v>227</v>
      </c>
      <c r="BD132" s="8" t="s">
        <v>227</v>
      </c>
      <c r="BE132" s="4" t="s">
        <v>227</v>
      </c>
      <c r="BF132" s="8" t="s">
        <v>227</v>
      </c>
      <c r="BG132" s="7" t="s">
        <v>227</v>
      </c>
      <c r="BH132" s="7" t="s">
        <v>227</v>
      </c>
      <c r="BI132" s="7"/>
      <c r="BJ132" s="4">
        <v>53</v>
      </c>
      <c r="BK132" s="8">
        <v>21740.13</v>
      </c>
      <c r="BL132" s="2" t="s">
        <v>1196</v>
      </c>
      <c r="BM132" s="7"/>
      <c r="BN132" s="7"/>
      <c r="BO132" s="4"/>
      <c r="BP132" s="8"/>
      <c r="BQ132" s="4"/>
      <c r="BR132" s="8"/>
      <c r="BS132" s="7"/>
      <c r="BT132" s="7"/>
      <c r="BU132" s="2" t="s">
        <v>1197</v>
      </c>
      <c r="BV132" s="2" t="s">
        <v>227</v>
      </c>
      <c r="BW132" s="2" t="s">
        <v>227</v>
      </c>
      <c r="BX132" s="2" t="s">
        <v>235</v>
      </c>
      <c r="BY132" s="2" t="s">
        <v>236</v>
      </c>
      <c r="BZ132" s="2" t="s">
        <v>224</v>
      </c>
      <c r="CA132" s="2" t="s">
        <v>1198</v>
      </c>
      <c r="CB132" s="2" t="s">
        <v>1199</v>
      </c>
      <c r="CC132" s="2" t="s">
        <v>1186</v>
      </c>
      <c r="CD132" s="2" t="s">
        <v>227</v>
      </c>
      <c r="CE132" s="4"/>
      <c r="CF132" s="4">
        <v>86</v>
      </c>
      <c r="CG132" s="4"/>
      <c r="CH132" s="4">
        <v>6</v>
      </c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>
        <v>90</v>
      </c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>
        <v>97</v>
      </c>
      <c r="DF132" s="4"/>
      <c r="DG132" s="4"/>
      <c r="DH132" s="4"/>
      <c r="DI132" s="4">
        <v>3</v>
      </c>
      <c r="DJ132" s="4"/>
      <c r="DK132" s="4"/>
      <c r="DL132" s="4"/>
      <c r="DM132" s="4">
        <v>10</v>
      </c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>
        <v>200</v>
      </c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>
        <v>120</v>
      </c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</row>
    <row r="133">
      <c r="A133" s="2" t="s">
        <v>1200</v>
      </c>
      <c r="B133" s="2" t="s">
        <v>667</v>
      </c>
      <c r="C133" s="2" t="s">
        <v>360</v>
      </c>
      <c r="D133" s="2" t="s">
        <v>687</v>
      </c>
      <c r="E133" s="2" t="s">
        <v>699</v>
      </c>
      <c r="F133" s="2" t="s">
        <v>1201</v>
      </c>
      <c r="G133" s="2" t="s">
        <v>1202</v>
      </c>
      <c r="H133" s="2" t="s">
        <v>1203</v>
      </c>
      <c r="I133" s="2" t="s">
        <v>1204</v>
      </c>
      <c r="J133" s="2" t="s">
        <v>384</v>
      </c>
      <c r="K133" s="2" t="s">
        <v>672</v>
      </c>
      <c r="L133" s="3">
        <v>80</v>
      </c>
      <c r="M133" s="3">
        <v>83.99</v>
      </c>
      <c r="N133" s="3">
        <v>169.99</v>
      </c>
      <c r="O133" s="2" t="s">
        <v>224</v>
      </c>
      <c r="P133" s="2" t="s">
        <v>225</v>
      </c>
      <c r="Q133" s="2" t="s">
        <v>226</v>
      </c>
      <c r="R133" s="2" t="s">
        <v>227</v>
      </c>
      <c r="S133" s="2" t="s">
        <v>1205</v>
      </c>
      <c r="T133" s="2" t="s">
        <v>227</v>
      </c>
      <c r="U133" s="2" t="s">
        <v>1069</v>
      </c>
      <c r="V133" s="2" t="s">
        <v>877</v>
      </c>
      <c r="W133" s="2" t="s">
        <v>506</v>
      </c>
      <c r="X133" s="2" t="s">
        <v>1206</v>
      </c>
      <c r="Y133" s="2" t="s">
        <v>232</v>
      </c>
      <c r="Z133" s="4">
        <v>209</v>
      </c>
      <c r="AA133" s="4">
        <f>=ROUNDDOWN(34.8333333333333,0)</f>
      </c>
      <c r="AB133" s="5">
        <v>6</v>
      </c>
      <c r="AC133" s="2" t="s">
        <v>227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227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/>
      <c r="BD133" s="8"/>
      <c r="BE133" s="4"/>
      <c r="BF133" s="8"/>
      <c r="BG133" s="7"/>
      <c r="BH133" s="7"/>
      <c r="BI133" s="7"/>
      <c r="BJ133" s="4">
        <v>17</v>
      </c>
      <c r="BK133" s="8">
        <v>1384.91</v>
      </c>
      <c r="BL133" s="2" t="s">
        <v>295</v>
      </c>
      <c r="BM133" s="7"/>
      <c r="BN133" s="7"/>
      <c r="BO133" s="4"/>
      <c r="BP133" s="8"/>
      <c r="BQ133" s="4"/>
      <c r="BR133" s="8"/>
      <c r="BS133" s="7"/>
      <c r="BT133" s="7"/>
      <c r="BU133" s="2" t="s">
        <v>1207</v>
      </c>
      <c r="BV133" s="2" t="s">
        <v>227</v>
      </c>
      <c r="BW133" s="2" t="s">
        <v>227</v>
      </c>
      <c r="BX133" s="2" t="s">
        <v>711</v>
      </c>
      <c r="BY133" s="2" t="s">
        <v>236</v>
      </c>
      <c r="BZ133" s="2" t="s">
        <v>224</v>
      </c>
      <c r="CA133" s="2" t="s">
        <v>237</v>
      </c>
      <c r="CB133" s="2" t="s">
        <v>1208</v>
      </c>
      <c r="CC133" s="2" t="s">
        <v>239</v>
      </c>
      <c r="CD133" s="2" t="s">
        <v>227</v>
      </c>
      <c r="CE133" s="4">
        <v>209</v>
      </c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</row>
    <row r="134">
      <c r="A134" s="2" t="s">
        <v>1209</v>
      </c>
      <c r="B134" s="2" t="s">
        <v>715</v>
      </c>
      <c r="C134" s="2" t="s">
        <v>1210</v>
      </c>
      <c r="D134" s="2" t="s">
        <v>716</v>
      </c>
      <c r="E134" s="2" t="s">
        <v>717</v>
      </c>
      <c r="F134" s="2" t="s">
        <v>1211</v>
      </c>
      <c r="G134" s="2" t="s">
        <v>1212</v>
      </c>
      <c r="H134" s="2" t="s">
        <v>1213</v>
      </c>
      <c r="I134" s="2" t="s">
        <v>1214</v>
      </c>
      <c r="J134" s="2" t="s">
        <v>983</v>
      </c>
      <c r="K134" s="2" t="s">
        <v>363</v>
      </c>
      <c r="L134" s="3">
        <v>21</v>
      </c>
      <c r="M134" s="3">
        <v>22.05</v>
      </c>
      <c r="N134" s="3">
        <v>49.99</v>
      </c>
      <c r="O134" s="2" t="s">
        <v>224</v>
      </c>
      <c r="P134" s="2" t="s">
        <v>485</v>
      </c>
      <c r="Q134" s="2" t="s">
        <v>226</v>
      </c>
      <c r="R134" s="2" t="s">
        <v>227</v>
      </c>
      <c r="S134" s="2" t="s">
        <v>1215</v>
      </c>
      <c r="T134" s="2" t="s">
        <v>227</v>
      </c>
      <c r="U134" s="2" t="s">
        <v>227</v>
      </c>
      <c r="V134" s="2" t="s">
        <v>877</v>
      </c>
      <c r="W134" s="2" t="s">
        <v>836</v>
      </c>
      <c r="X134" s="2" t="s">
        <v>1216</v>
      </c>
      <c r="Y134" s="2" t="s">
        <v>595</v>
      </c>
      <c r="Z134" s="4">
        <v>102</v>
      </c>
      <c r="AA134" s="4">
        <f>=ROUNDDOWN(5.36842105263158,0)</f>
      </c>
      <c r="AB134" s="5">
        <v>19</v>
      </c>
      <c r="AC134" s="2" t="s">
        <v>155</v>
      </c>
      <c r="AD134" s="4">
        <v>260</v>
      </c>
      <c r="AE134" s="4">
        <v>464</v>
      </c>
      <c r="AF134" s="6">
        <v>68</v>
      </c>
      <c r="AG134" s="6"/>
      <c r="AH134" s="7">
        <v>0.3871</v>
      </c>
      <c r="AI134" s="4"/>
      <c r="AJ134" s="4">
        <f>=ROUNDDOWN({0},0)</f>
      </c>
      <c r="AK134" s="5"/>
      <c r="AL134" s="2" t="s">
        <v>227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 t="s">
        <v>227</v>
      </c>
      <c r="BD134" s="8" t="s">
        <v>227</v>
      </c>
      <c r="BE134" s="4" t="s">
        <v>227</v>
      </c>
      <c r="BF134" s="8" t="s">
        <v>227</v>
      </c>
      <c r="BG134" s="7" t="s">
        <v>227</v>
      </c>
      <c r="BH134" s="7" t="s">
        <v>227</v>
      </c>
      <c r="BI134" s="7"/>
      <c r="BJ134" s="4">
        <v>4</v>
      </c>
      <c r="BK134" s="8">
        <v>85.09</v>
      </c>
      <c r="BL134" s="2" t="s">
        <v>1217</v>
      </c>
      <c r="BM134" s="7"/>
      <c r="BN134" s="7"/>
      <c r="BO134" s="4"/>
      <c r="BP134" s="8"/>
      <c r="BQ134" s="4"/>
      <c r="BR134" s="8"/>
      <c r="BS134" s="7"/>
      <c r="BT134" s="7"/>
      <c r="BU134" s="2" t="s">
        <v>1218</v>
      </c>
      <c r="BV134" s="2" t="s">
        <v>227</v>
      </c>
      <c r="BW134" s="2" t="s">
        <v>227</v>
      </c>
      <c r="BX134" s="2" t="s">
        <v>235</v>
      </c>
      <c r="BY134" s="2" t="s">
        <v>236</v>
      </c>
      <c r="BZ134" s="2" t="s">
        <v>224</v>
      </c>
      <c r="CA134" s="2" t="s">
        <v>1219</v>
      </c>
      <c r="CB134" s="2" t="s">
        <v>1220</v>
      </c>
      <c r="CC134" s="2" t="s">
        <v>239</v>
      </c>
      <c r="CD134" s="2" t="s">
        <v>227</v>
      </c>
      <c r="CE134" s="4">
        <v>102</v>
      </c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>
        <v>260</v>
      </c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>
        <v>92</v>
      </c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>
        <v>112</v>
      </c>
      <c r="GV134" s="4"/>
      <c r="GW134" s="4"/>
      <c r="GX134" s="4"/>
    </row>
    <row r="135">
      <c r="A135" s="2" t="s">
        <v>1221</v>
      </c>
      <c r="B135" s="2" t="s">
        <v>715</v>
      </c>
      <c r="C135" s="2" t="s">
        <v>1210</v>
      </c>
      <c r="D135" s="2" t="s">
        <v>716</v>
      </c>
      <c r="E135" s="2" t="s">
        <v>717</v>
      </c>
      <c r="F135" s="2" t="s">
        <v>1211</v>
      </c>
      <c r="G135" s="2" t="s">
        <v>1212</v>
      </c>
      <c r="H135" s="2" t="s">
        <v>1213</v>
      </c>
      <c r="I135" s="2" t="s">
        <v>1214</v>
      </c>
      <c r="J135" s="2" t="s">
        <v>722</v>
      </c>
      <c r="K135" s="2" t="s">
        <v>1067</v>
      </c>
      <c r="L135" s="3">
        <v>16.8</v>
      </c>
      <c r="M135" s="3">
        <v>17.64</v>
      </c>
      <c r="N135" s="3">
        <v>39.99</v>
      </c>
      <c r="O135" s="2" t="s">
        <v>224</v>
      </c>
      <c r="P135" s="2" t="s">
        <v>225</v>
      </c>
      <c r="Q135" s="2" t="s">
        <v>226</v>
      </c>
      <c r="R135" s="2" t="s">
        <v>227</v>
      </c>
      <c r="S135" s="2" t="s">
        <v>1222</v>
      </c>
      <c r="T135" s="2" t="s">
        <v>227</v>
      </c>
      <c r="U135" s="2" t="s">
        <v>552</v>
      </c>
      <c r="V135" s="2" t="s">
        <v>877</v>
      </c>
      <c r="W135" s="2" t="s">
        <v>836</v>
      </c>
      <c r="X135" s="2" t="s">
        <v>1216</v>
      </c>
      <c r="Y135" s="2" t="s">
        <v>1223</v>
      </c>
      <c r="Z135" s="4">
        <v>857</v>
      </c>
      <c r="AA135" s="4">
        <f>=ROUNDDOWN(61.2142857142857,0)</f>
      </c>
      <c r="AB135" s="5">
        <v>14</v>
      </c>
      <c r="AC135" s="2" t="s">
        <v>1224</v>
      </c>
      <c r="AD135" s="4">
        <v>80</v>
      </c>
      <c r="AE135" s="4">
        <v>280</v>
      </c>
      <c r="AF135" s="6">
        <v>68</v>
      </c>
      <c r="AG135" s="6"/>
      <c r="AH135" s="7">
        <v>1</v>
      </c>
      <c r="AI135" s="4"/>
      <c r="AJ135" s="4">
        <f>=ROUNDDOWN({0},0)</f>
      </c>
      <c r="AK135" s="5"/>
      <c r="AL135" s="2" t="s">
        <v>227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 t="s">
        <v>227</v>
      </c>
      <c r="BD135" s="8" t="s">
        <v>227</v>
      </c>
      <c r="BE135" s="4" t="s">
        <v>227</v>
      </c>
      <c r="BF135" s="8" t="s">
        <v>227</v>
      </c>
      <c r="BG135" s="7" t="s">
        <v>227</v>
      </c>
      <c r="BH135" s="7" t="s">
        <v>227</v>
      </c>
      <c r="BI135" s="7"/>
      <c r="BJ135" s="4">
        <v>24</v>
      </c>
      <c r="BK135" s="8">
        <v>402.94</v>
      </c>
      <c r="BL135" s="2" t="s">
        <v>1225</v>
      </c>
      <c r="BM135" s="7"/>
      <c r="BN135" s="7"/>
      <c r="BO135" s="4"/>
      <c r="BP135" s="8"/>
      <c r="BQ135" s="4"/>
      <c r="BR135" s="8"/>
      <c r="BS135" s="7"/>
      <c r="BT135" s="7"/>
      <c r="BU135" s="2" t="s">
        <v>1226</v>
      </c>
      <c r="BV135" s="2" t="s">
        <v>227</v>
      </c>
      <c r="BW135" s="2" t="s">
        <v>227</v>
      </c>
      <c r="BX135" s="2" t="s">
        <v>235</v>
      </c>
      <c r="BY135" s="2" t="s">
        <v>236</v>
      </c>
      <c r="BZ135" s="2" t="s">
        <v>224</v>
      </c>
      <c r="CA135" s="2" t="s">
        <v>1227</v>
      </c>
      <c r="CB135" s="2" t="s">
        <v>1228</v>
      </c>
      <c r="CC135" s="2" t="s">
        <v>239</v>
      </c>
      <c r="CD135" s="2" t="s">
        <v>227</v>
      </c>
      <c r="CE135" s="4">
        <v>857</v>
      </c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>
        <v>80</v>
      </c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>
        <v>200</v>
      </c>
      <c r="GX135" s="4"/>
    </row>
    <row r="136">
      <c r="A136" s="2" t="s">
        <v>1229</v>
      </c>
      <c r="B136" s="2" t="s">
        <v>573</v>
      </c>
      <c r="C136" s="2" t="s">
        <v>360</v>
      </c>
      <c r="D136" s="2" t="s">
        <v>1230</v>
      </c>
      <c r="E136" s="2" t="s">
        <v>1231</v>
      </c>
      <c r="F136" s="2" t="s">
        <v>1232</v>
      </c>
      <c r="G136" s="2" t="s">
        <v>1233</v>
      </c>
      <c r="H136" s="2" t="s">
        <v>1234</v>
      </c>
      <c r="I136" s="2" t="s">
        <v>1235</v>
      </c>
      <c r="J136" s="2" t="s">
        <v>548</v>
      </c>
      <c r="K136" s="2" t="s">
        <v>223</v>
      </c>
      <c r="L136" s="3">
        <v>125.4</v>
      </c>
      <c r="M136" s="3">
        <v>131.67</v>
      </c>
      <c r="N136" s="3">
        <v>259</v>
      </c>
      <c r="O136" s="2" t="s">
        <v>224</v>
      </c>
      <c r="P136" s="2" t="s">
        <v>225</v>
      </c>
      <c r="Q136" s="2" t="s">
        <v>226</v>
      </c>
      <c r="R136" s="2" t="s">
        <v>227</v>
      </c>
      <c r="S136" s="2" t="s">
        <v>1236</v>
      </c>
      <c r="T136" s="2" t="s">
        <v>227</v>
      </c>
      <c r="U136" s="2" t="s">
        <v>227</v>
      </c>
      <c r="V136" s="2" t="s">
        <v>230</v>
      </c>
      <c r="W136" s="2" t="s">
        <v>836</v>
      </c>
      <c r="X136" s="2" t="s">
        <v>227</v>
      </c>
      <c r="Y136" s="2" t="s">
        <v>232</v>
      </c>
      <c r="Z136" s="4">
        <v>92</v>
      </c>
      <c r="AA136" s="4">
        <f>=ROUNDDOWN(11.5,0)</f>
      </c>
      <c r="AB136" s="5">
        <v>8</v>
      </c>
      <c r="AC136" s="2" t="s">
        <v>739</v>
      </c>
      <c r="AD136" s="4">
        <v>113</v>
      </c>
      <c r="AE136" s="4">
        <v>243</v>
      </c>
      <c r="AF136" s="6">
        <v>68</v>
      </c>
      <c r="AG136" s="6"/>
      <c r="AH136" s="7">
        <v>1</v>
      </c>
      <c r="AI136" s="4"/>
      <c r="AJ136" s="4">
        <f>=ROUNDDOWN({0},0)</f>
      </c>
      <c r="AK136" s="5"/>
      <c r="AL136" s="2" t="s">
        <v>227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 t="s">
        <v>227</v>
      </c>
      <c r="BD136" s="8" t="s">
        <v>227</v>
      </c>
      <c r="BE136" s="4" t="s">
        <v>227</v>
      </c>
      <c r="BF136" s="8" t="s">
        <v>227</v>
      </c>
      <c r="BG136" s="7" t="s">
        <v>227</v>
      </c>
      <c r="BH136" s="7" t="s">
        <v>227</v>
      </c>
      <c r="BI136" s="7"/>
      <c r="BJ136" s="4">
        <v>27</v>
      </c>
      <c r="BK136" s="8">
        <v>3220.56</v>
      </c>
      <c r="BL136" s="2" t="s">
        <v>1237</v>
      </c>
      <c r="BM136" s="7"/>
      <c r="BN136" s="7"/>
      <c r="BO136" s="4"/>
      <c r="BP136" s="8"/>
      <c r="BQ136" s="4"/>
      <c r="BR136" s="8"/>
      <c r="BS136" s="7"/>
      <c r="BT136" s="7"/>
      <c r="BU136" s="2" t="s">
        <v>1238</v>
      </c>
      <c r="BV136" s="2" t="s">
        <v>227</v>
      </c>
      <c r="BW136" s="2" t="s">
        <v>227</v>
      </c>
      <c r="BX136" s="2" t="s">
        <v>235</v>
      </c>
      <c r="BY136" s="2" t="s">
        <v>236</v>
      </c>
      <c r="BZ136" s="2" t="s">
        <v>224</v>
      </c>
      <c r="CA136" s="2" t="s">
        <v>1239</v>
      </c>
      <c r="CB136" s="2" t="s">
        <v>1240</v>
      </c>
      <c r="CC136" s="2" t="s">
        <v>239</v>
      </c>
      <c r="CD136" s="2" t="s">
        <v>227</v>
      </c>
      <c r="CE136" s="4"/>
      <c r="CF136" s="4">
        <v>92</v>
      </c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>
        <v>113</v>
      </c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>
        <v>130</v>
      </c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</row>
    <row r="137">
      <c r="A137" s="2" t="s">
        <v>1241</v>
      </c>
      <c r="B137" s="2" t="s">
        <v>573</v>
      </c>
      <c r="C137" s="2" t="s">
        <v>360</v>
      </c>
      <c r="D137" s="2" t="s">
        <v>1230</v>
      </c>
      <c r="E137" s="2" t="s">
        <v>1231</v>
      </c>
      <c r="F137" s="2" t="s">
        <v>1232</v>
      </c>
      <c r="G137" s="2" t="s">
        <v>1233</v>
      </c>
      <c r="H137" s="2" t="s">
        <v>1234</v>
      </c>
      <c r="I137" s="2" t="s">
        <v>1235</v>
      </c>
      <c r="J137" s="2" t="s">
        <v>548</v>
      </c>
      <c r="K137" s="2" t="s">
        <v>1242</v>
      </c>
      <c r="L137" s="3">
        <v>125.4</v>
      </c>
      <c r="M137" s="3">
        <v>131.67</v>
      </c>
      <c r="N137" s="3">
        <v>259</v>
      </c>
      <c r="O137" s="2" t="s">
        <v>224</v>
      </c>
      <c r="P137" s="2" t="s">
        <v>580</v>
      </c>
      <c r="Q137" s="2" t="s">
        <v>226</v>
      </c>
      <c r="R137" s="2" t="s">
        <v>227</v>
      </c>
      <c r="S137" s="2" t="s">
        <v>1243</v>
      </c>
      <c r="T137" s="2" t="s">
        <v>227</v>
      </c>
      <c r="U137" s="2" t="s">
        <v>227</v>
      </c>
      <c r="V137" s="2" t="s">
        <v>230</v>
      </c>
      <c r="W137" s="2" t="s">
        <v>836</v>
      </c>
      <c r="X137" s="2" t="s">
        <v>227</v>
      </c>
      <c r="Y137" s="2" t="s">
        <v>232</v>
      </c>
      <c r="Z137" s="4">
        <v>217</v>
      </c>
      <c r="AA137" s="4">
        <f>=ROUNDDOWN(54.25,0)</f>
      </c>
      <c r="AB137" s="5">
        <v>4</v>
      </c>
      <c r="AC137" s="2" t="s">
        <v>227</v>
      </c>
      <c r="AD137" s="4"/>
      <c r="AE137" s="4"/>
      <c r="AF137" s="6">
        <v>68</v>
      </c>
      <c r="AG137" s="6"/>
      <c r="AH137" s="7">
        <v>1</v>
      </c>
      <c r="AI137" s="4"/>
      <c r="AJ137" s="4">
        <f>=ROUNDDOWN({0},0)</f>
      </c>
      <c r="AK137" s="5"/>
      <c r="AL137" s="2" t="s">
        <v>227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/>
      <c r="AW137" s="8"/>
      <c r="AX137" s="4"/>
      <c r="AY137" s="8"/>
      <c r="AZ137" s="7"/>
      <c r="BA137" s="7"/>
      <c r="BB137" s="7"/>
      <c r="BC137" s="4" t="s">
        <v>227</v>
      </c>
      <c r="BD137" s="8" t="s">
        <v>227</v>
      </c>
      <c r="BE137" s="4" t="s">
        <v>227</v>
      </c>
      <c r="BF137" s="8" t="s">
        <v>227</v>
      </c>
      <c r="BG137" s="7" t="s">
        <v>227</v>
      </c>
      <c r="BH137" s="7" t="s">
        <v>227</v>
      </c>
      <c r="BI137" s="7"/>
      <c r="BJ137" s="4">
        <v>24</v>
      </c>
      <c r="BK137" s="8">
        <v>2596.58</v>
      </c>
      <c r="BL137" s="2" t="s">
        <v>1244</v>
      </c>
      <c r="BM137" s="7"/>
      <c r="BN137" s="7"/>
      <c r="BO137" s="4"/>
      <c r="BP137" s="8"/>
      <c r="BQ137" s="4"/>
      <c r="BR137" s="8"/>
      <c r="BS137" s="7"/>
      <c r="BT137" s="7"/>
      <c r="BU137" s="2" t="s">
        <v>1245</v>
      </c>
      <c r="BV137" s="2" t="s">
        <v>227</v>
      </c>
      <c r="BW137" s="2" t="s">
        <v>227</v>
      </c>
      <c r="BX137" s="2" t="s">
        <v>235</v>
      </c>
      <c r="BY137" s="2" t="s">
        <v>236</v>
      </c>
      <c r="BZ137" s="2" t="s">
        <v>224</v>
      </c>
      <c r="CA137" s="2" t="s">
        <v>1246</v>
      </c>
      <c r="CB137" s="2" t="s">
        <v>1247</v>
      </c>
      <c r="CC137" s="2" t="s">
        <v>239</v>
      </c>
      <c r="CD137" s="2" t="s">
        <v>227</v>
      </c>
      <c r="CE137" s="4"/>
      <c r="CF137" s="4">
        <v>217</v>
      </c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</row>
    <row r="138">
      <c r="A138" s="2" t="s">
        <v>1248</v>
      </c>
      <c r="B138" s="2" t="s">
        <v>573</v>
      </c>
      <c r="C138" s="2" t="s">
        <v>360</v>
      </c>
      <c r="D138" s="2" t="s">
        <v>1230</v>
      </c>
      <c r="E138" s="2" t="s">
        <v>1231</v>
      </c>
      <c r="F138" s="2" t="s">
        <v>1232</v>
      </c>
      <c r="G138" s="2" t="s">
        <v>1233</v>
      </c>
      <c r="H138" s="2" t="s">
        <v>1234</v>
      </c>
      <c r="I138" s="2" t="s">
        <v>1235</v>
      </c>
      <c r="J138" s="2" t="s">
        <v>548</v>
      </c>
      <c r="K138" s="2" t="s">
        <v>737</v>
      </c>
      <c r="L138" s="3">
        <v>125.4</v>
      </c>
      <c r="M138" s="3">
        <v>131.67</v>
      </c>
      <c r="N138" s="3">
        <v>259</v>
      </c>
      <c r="O138" s="2" t="s">
        <v>224</v>
      </c>
      <c r="P138" s="2" t="s">
        <v>225</v>
      </c>
      <c r="Q138" s="2" t="s">
        <v>226</v>
      </c>
      <c r="R138" s="2" t="s">
        <v>227</v>
      </c>
      <c r="S138" s="2" t="s">
        <v>1249</v>
      </c>
      <c r="T138" s="2" t="s">
        <v>227</v>
      </c>
      <c r="U138" s="2" t="s">
        <v>227</v>
      </c>
      <c r="V138" s="2" t="s">
        <v>230</v>
      </c>
      <c r="W138" s="2" t="s">
        <v>836</v>
      </c>
      <c r="X138" s="2" t="s">
        <v>227</v>
      </c>
      <c r="Y138" s="2" t="s">
        <v>232</v>
      </c>
      <c r="Z138" s="4">
        <v>313</v>
      </c>
      <c r="AA138" s="4">
        <f>=ROUNDDOWN(31.3,0)</f>
      </c>
      <c r="AB138" s="5">
        <v>10</v>
      </c>
      <c r="AC138" s="2" t="s">
        <v>227</v>
      </c>
      <c r="AD138" s="4"/>
      <c r="AE138" s="4"/>
      <c r="AF138" s="6">
        <v>68</v>
      </c>
      <c r="AG138" s="6">
        <v>51</v>
      </c>
      <c r="AH138" s="7">
        <v>1</v>
      </c>
      <c r="AI138" s="4"/>
      <c r="AJ138" s="4">
        <f>=ROUNDDOWN({0},0)</f>
      </c>
      <c r="AK138" s="5"/>
      <c r="AL138" s="2" t="s">
        <v>227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 t="s">
        <v>227</v>
      </c>
      <c r="BD138" s="8" t="s">
        <v>227</v>
      </c>
      <c r="BE138" s="4" t="s">
        <v>227</v>
      </c>
      <c r="BF138" s="8" t="s">
        <v>227</v>
      </c>
      <c r="BG138" s="7" t="s">
        <v>227</v>
      </c>
      <c r="BH138" s="7" t="s">
        <v>227</v>
      </c>
      <c r="BI138" s="7"/>
      <c r="BJ138" s="4">
        <v>13</v>
      </c>
      <c r="BK138" s="8">
        <v>1332.78</v>
      </c>
      <c r="BL138" s="2" t="s">
        <v>1250</v>
      </c>
      <c r="BM138" s="7"/>
      <c r="BN138" s="7"/>
      <c r="BO138" s="4"/>
      <c r="BP138" s="8"/>
      <c r="BQ138" s="4"/>
      <c r="BR138" s="8"/>
      <c r="BS138" s="7"/>
      <c r="BT138" s="7"/>
      <c r="BU138" s="2" t="s">
        <v>1251</v>
      </c>
      <c r="BV138" s="2" t="s">
        <v>227</v>
      </c>
      <c r="BW138" s="2" t="s">
        <v>227</v>
      </c>
      <c r="BX138" s="2" t="s">
        <v>235</v>
      </c>
      <c r="BY138" s="2" t="s">
        <v>236</v>
      </c>
      <c r="BZ138" s="2" t="s">
        <v>224</v>
      </c>
      <c r="CA138" s="2" t="s">
        <v>1252</v>
      </c>
      <c r="CB138" s="2" t="s">
        <v>1253</v>
      </c>
      <c r="CC138" s="2" t="s">
        <v>239</v>
      </c>
      <c r="CD138" s="2" t="s">
        <v>227</v>
      </c>
      <c r="CE138" s="4"/>
      <c r="CF138" s="4">
        <v>313</v>
      </c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</row>
    <row r="139">
      <c r="A139" s="2" t="s">
        <v>1254</v>
      </c>
      <c r="B139" s="2" t="s">
        <v>514</v>
      </c>
      <c r="C139" s="2" t="s">
        <v>1139</v>
      </c>
      <c r="D139" s="2" t="s">
        <v>516</v>
      </c>
      <c r="E139" s="2" t="s">
        <v>517</v>
      </c>
      <c r="F139" s="2" t="s">
        <v>1255</v>
      </c>
      <c r="G139" s="2" t="s">
        <v>1255</v>
      </c>
      <c r="H139" s="2" t="s">
        <v>1255</v>
      </c>
      <c r="I139" s="2" t="s">
        <v>1256</v>
      </c>
      <c r="J139" s="2" t="s">
        <v>1257</v>
      </c>
      <c r="K139" s="2" t="s">
        <v>410</v>
      </c>
      <c r="L139" s="3">
        <v>26.4</v>
      </c>
      <c r="M139" s="3">
        <v>27.72</v>
      </c>
      <c r="N139" s="3">
        <v>54.99</v>
      </c>
      <c r="O139" s="2" t="s">
        <v>224</v>
      </c>
      <c r="P139" s="2" t="s">
        <v>550</v>
      </c>
      <c r="Q139" s="2" t="s">
        <v>226</v>
      </c>
      <c r="R139" s="2" t="s">
        <v>227</v>
      </c>
      <c r="S139" s="2" t="s">
        <v>1258</v>
      </c>
      <c r="T139" s="2" t="s">
        <v>286</v>
      </c>
      <c r="U139" s="2" t="s">
        <v>994</v>
      </c>
      <c r="V139" s="2" t="s">
        <v>230</v>
      </c>
      <c r="W139" s="2" t="s">
        <v>231</v>
      </c>
      <c r="X139" s="2" t="s">
        <v>227</v>
      </c>
      <c r="Y139" s="2" t="s">
        <v>756</v>
      </c>
      <c r="Z139" s="4">
        <v>1099</v>
      </c>
      <c r="AA139" s="4">
        <f>=ROUNDDOWN(20.3518518518519,0)</f>
      </c>
      <c r="AB139" s="5">
        <v>54</v>
      </c>
      <c r="AC139" s="2" t="s">
        <v>810</v>
      </c>
      <c r="AD139" s="4">
        <v>330</v>
      </c>
      <c r="AE139" s="4">
        <v>1482</v>
      </c>
      <c r="AF139" s="6">
        <v>69</v>
      </c>
      <c r="AG139" s="6"/>
      <c r="AH139" s="7">
        <v>1</v>
      </c>
      <c r="AI139" s="4"/>
      <c r="AJ139" s="4">
        <f>=ROUNDDOWN({0},0)</f>
      </c>
      <c r="AK139" s="5"/>
      <c r="AL139" s="2" t="s">
        <v>227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 t="s">
        <v>227</v>
      </c>
      <c r="BD139" s="8" t="s">
        <v>227</v>
      </c>
      <c r="BE139" s="4" t="s">
        <v>227</v>
      </c>
      <c r="BF139" s="8" t="s">
        <v>227</v>
      </c>
      <c r="BG139" s="7" t="s">
        <v>227</v>
      </c>
      <c r="BH139" s="7" t="s">
        <v>227</v>
      </c>
      <c r="BI139" s="7"/>
      <c r="BJ139" s="4">
        <v>141</v>
      </c>
      <c r="BK139" s="8">
        <v>4023.66</v>
      </c>
      <c r="BL139" s="2" t="s">
        <v>1259</v>
      </c>
      <c r="BM139" s="7"/>
      <c r="BN139" s="7"/>
      <c r="BO139" s="4"/>
      <c r="BP139" s="8"/>
      <c r="BQ139" s="4"/>
      <c r="BR139" s="8"/>
      <c r="BS139" s="7"/>
      <c r="BT139" s="7"/>
      <c r="BU139" s="2" t="s">
        <v>1260</v>
      </c>
      <c r="BV139" s="2" t="s">
        <v>227</v>
      </c>
      <c r="BW139" s="2" t="s">
        <v>227</v>
      </c>
      <c r="BX139" s="2" t="s">
        <v>235</v>
      </c>
      <c r="BY139" s="2" t="s">
        <v>236</v>
      </c>
      <c r="BZ139" s="2" t="s">
        <v>224</v>
      </c>
      <c r="CA139" s="2" t="s">
        <v>1261</v>
      </c>
      <c r="CB139" s="2" t="s">
        <v>1262</v>
      </c>
      <c r="CC139" s="2" t="s">
        <v>239</v>
      </c>
      <c r="CD139" s="2" t="s">
        <v>227</v>
      </c>
      <c r="CE139" s="4">
        <v>1099</v>
      </c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>
        <v>330</v>
      </c>
      <c r="EJ139" s="4"/>
      <c r="EK139" s="4"/>
      <c r="EL139" s="4"/>
      <c r="EM139" s="4"/>
      <c r="EN139" s="4"/>
      <c r="EO139" s="4"/>
      <c r="EP139" s="4"/>
      <c r="EQ139" s="4">
        <v>400</v>
      </c>
      <c r="ER139" s="4"/>
      <c r="ES139" s="4"/>
      <c r="ET139" s="4"/>
      <c r="EU139" s="4"/>
      <c r="EV139" s="4"/>
      <c r="EW139" s="4"/>
      <c r="EX139" s="4"/>
      <c r="EY139" s="4"/>
      <c r="EZ139" s="4">
        <v>152</v>
      </c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>
        <v>600</v>
      </c>
    </row>
    <row r="140">
      <c r="A140" s="2" t="s">
        <v>1263</v>
      </c>
      <c r="B140" s="2" t="s">
        <v>514</v>
      </c>
      <c r="C140" s="2" t="s">
        <v>1139</v>
      </c>
      <c r="D140" s="2" t="s">
        <v>516</v>
      </c>
      <c r="E140" s="2" t="s">
        <v>517</v>
      </c>
      <c r="F140" s="2" t="s">
        <v>1255</v>
      </c>
      <c r="G140" s="2" t="s">
        <v>1255</v>
      </c>
      <c r="H140" s="2" t="s">
        <v>1255</v>
      </c>
      <c r="I140" s="2" t="s">
        <v>1256</v>
      </c>
      <c r="J140" s="2" t="s">
        <v>1257</v>
      </c>
      <c r="K140" s="2" t="s">
        <v>1264</v>
      </c>
      <c r="L140" s="3">
        <v>26.4</v>
      </c>
      <c r="M140" s="3">
        <v>27.72</v>
      </c>
      <c r="N140" s="3">
        <v>54.99</v>
      </c>
      <c r="O140" s="2" t="s">
        <v>224</v>
      </c>
      <c r="P140" s="2" t="s">
        <v>550</v>
      </c>
      <c r="Q140" s="2" t="s">
        <v>226</v>
      </c>
      <c r="R140" s="2" t="s">
        <v>227</v>
      </c>
      <c r="S140" s="2" t="s">
        <v>1265</v>
      </c>
      <c r="T140" s="2" t="s">
        <v>286</v>
      </c>
      <c r="U140" s="2" t="s">
        <v>994</v>
      </c>
      <c r="V140" s="2" t="s">
        <v>230</v>
      </c>
      <c r="W140" s="2" t="s">
        <v>231</v>
      </c>
      <c r="X140" s="2" t="s">
        <v>227</v>
      </c>
      <c r="Y140" s="2" t="s">
        <v>756</v>
      </c>
      <c r="Z140" s="4">
        <v>553</v>
      </c>
      <c r="AA140" s="4">
        <f>=ROUNDDOWN(11.7659574468085,0)</f>
      </c>
      <c r="AB140" s="5">
        <v>47</v>
      </c>
      <c r="AC140" s="2" t="s">
        <v>1266</v>
      </c>
      <c r="AD140" s="4">
        <v>500</v>
      </c>
      <c r="AE140" s="4">
        <v>1780</v>
      </c>
      <c r="AF140" s="6">
        <v>69</v>
      </c>
      <c r="AG140" s="6"/>
      <c r="AH140" s="7">
        <v>1</v>
      </c>
      <c r="AI140" s="4"/>
      <c r="AJ140" s="4">
        <f>=ROUNDDOWN({0},0)</f>
      </c>
      <c r="AK140" s="5"/>
      <c r="AL140" s="2" t="s">
        <v>227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 t="s">
        <v>227</v>
      </c>
      <c r="BD140" s="8" t="s">
        <v>227</v>
      </c>
      <c r="BE140" s="4" t="s">
        <v>227</v>
      </c>
      <c r="BF140" s="8" t="s">
        <v>227</v>
      </c>
      <c r="BG140" s="7" t="s">
        <v>227</v>
      </c>
      <c r="BH140" s="7" t="s">
        <v>227</v>
      </c>
      <c r="BI140" s="7"/>
      <c r="BJ140" s="4">
        <v>107</v>
      </c>
      <c r="BK140" s="8">
        <v>3033.41</v>
      </c>
      <c r="BL140" s="2" t="s">
        <v>1267</v>
      </c>
      <c r="BM140" s="7"/>
      <c r="BN140" s="7"/>
      <c r="BO140" s="4"/>
      <c r="BP140" s="8"/>
      <c r="BQ140" s="4"/>
      <c r="BR140" s="8"/>
      <c r="BS140" s="7"/>
      <c r="BT140" s="7"/>
      <c r="BU140" s="2" t="s">
        <v>1268</v>
      </c>
      <c r="BV140" s="2" t="s">
        <v>227</v>
      </c>
      <c r="BW140" s="2" t="s">
        <v>227</v>
      </c>
      <c r="BX140" s="2" t="s">
        <v>235</v>
      </c>
      <c r="BY140" s="2" t="s">
        <v>236</v>
      </c>
      <c r="BZ140" s="2" t="s">
        <v>224</v>
      </c>
      <c r="CA140" s="2" t="s">
        <v>1261</v>
      </c>
      <c r="CB140" s="2" t="s">
        <v>1269</v>
      </c>
      <c r="CC140" s="2" t="s">
        <v>239</v>
      </c>
      <c r="CD140" s="2" t="s">
        <v>227</v>
      </c>
      <c r="CE140" s="4">
        <v>553</v>
      </c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>
        <v>500</v>
      </c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>
        <v>480</v>
      </c>
      <c r="EJ140" s="4"/>
      <c r="EK140" s="4"/>
      <c r="EL140" s="4"/>
      <c r="EM140" s="4"/>
      <c r="EN140" s="4"/>
      <c r="EO140" s="4"/>
      <c r="EP140" s="4"/>
      <c r="EQ140" s="4">
        <v>800</v>
      </c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</row>
    <row r="141">
      <c r="A141" s="2" t="s">
        <v>1270</v>
      </c>
      <c r="B141" s="2" t="s">
        <v>514</v>
      </c>
      <c r="C141" s="2" t="s">
        <v>1139</v>
      </c>
      <c r="D141" s="2" t="s">
        <v>516</v>
      </c>
      <c r="E141" s="2" t="s">
        <v>517</v>
      </c>
      <c r="F141" s="2" t="s">
        <v>1255</v>
      </c>
      <c r="G141" s="2" t="s">
        <v>1255</v>
      </c>
      <c r="H141" s="2" t="s">
        <v>1255</v>
      </c>
      <c r="I141" s="2" t="s">
        <v>1256</v>
      </c>
      <c r="J141" s="2" t="s">
        <v>1257</v>
      </c>
      <c r="K141" s="2" t="s">
        <v>264</v>
      </c>
      <c r="L141" s="3">
        <v>26.4</v>
      </c>
      <c r="M141" s="3">
        <v>27.72</v>
      </c>
      <c r="N141" s="3">
        <v>54.99</v>
      </c>
      <c r="O141" s="2" t="s">
        <v>224</v>
      </c>
      <c r="P141" s="2" t="s">
        <v>550</v>
      </c>
      <c r="Q141" s="2" t="s">
        <v>226</v>
      </c>
      <c r="R141" s="2" t="s">
        <v>227</v>
      </c>
      <c r="S141" s="2" t="s">
        <v>1271</v>
      </c>
      <c r="T141" s="2" t="s">
        <v>286</v>
      </c>
      <c r="U141" s="2" t="s">
        <v>994</v>
      </c>
      <c r="V141" s="2" t="s">
        <v>230</v>
      </c>
      <c r="W141" s="2" t="s">
        <v>231</v>
      </c>
      <c r="X141" s="2" t="s">
        <v>227</v>
      </c>
      <c r="Y141" s="2" t="s">
        <v>756</v>
      </c>
      <c r="Z141" s="4">
        <v>1071</v>
      </c>
      <c r="AA141" s="4">
        <f>=ROUNDDOWN(24.3409090909091,0)</f>
      </c>
      <c r="AB141" s="5">
        <v>44</v>
      </c>
      <c r="AC141" s="2" t="s">
        <v>810</v>
      </c>
      <c r="AD141" s="4">
        <v>652</v>
      </c>
      <c r="AE141" s="4">
        <v>1030</v>
      </c>
      <c r="AF141" s="6">
        <v>69</v>
      </c>
      <c r="AG141" s="6"/>
      <c r="AH141" s="7">
        <v>1</v>
      </c>
      <c r="AI141" s="4"/>
      <c r="AJ141" s="4">
        <f>=ROUNDDOWN({0},0)</f>
      </c>
      <c r="AK141" s="5"/>
      <c r="AL141" s="2" t="s">
        <v>227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 t="s">
        <v>227</v>
      </c>
      <c r="BD141" s="8" t="s">
        <v>227</v>
      </c>
      <c r="BE141" s="4" t="s">
        <v>227</v>
      </c>
      <c r="BF141" s="8" t="s">
        <v>227</v>
      </c>
      <c r="BG141" s="7" t="s">
        <v>227</v>
      </c>
      <c r="BH141" s="7" t="s">
        <v>227</v>
      </c>
      <c r="BI141" s="7"/>
      <c r="BJ141" s="4">
        <v>147</v>
      </c>
      <c r="BK141" s="8">
        <v>4262.36</v>
      </c>
      <c r="BL141" s="2" t="s">
        <v>1272</v>
      </c>
      <c r="BM141" s="7"/>
      <c r="BN141" s="7"/>
      <c r="BO141" s="4"/>
      <c r="BP141" s="8"/>
      <c r="BQ141" s="4"/>
      <c r="BR141" s="8"/>
      <c r="BS141" s="7"/>
      <c r="BT141" s="7"/>
      <c r="BU141" s="2" t="s">
        <v>1273</v>
      </c>
      <c r="BV141" s="2" t="s">
        <v>227</v>
      </c>
      <c r="BW141" s="2" t="s">
        <v>227</v>
      </c>
      <c r="BX141" s="2" t="s">
        <v>235</v>
      </c>
      <c r="BY141" s="2" t="s">
        <v>236</v>
      </c>
      <c r="BZ141" s="2" t="s">
        <v>224</v>
      </c>
      <c r="CA141" s="2" t="s">
        <v>1261</v>
      </c>
      <c r="CB141" s="2" t="s">
        <v>1274</v>
      </c>
      <c r="CC141" s="2" t="s">
        <v>239</v>
      </c>
      <c r="CD141" s="2" t="s">
        <v>227</v>
      </c>
      <c r="CE141" s="4">
        <v>1071</v>
      </c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>
        <v>652</v>
      </c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>
        <v>278</v>
      </c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>
        <v>100</v>
      </c>
    </row>
    <row r="142">
      <c r="A142" s="2" t="s">
        <v>1275</v>
      </c>
      <c r="B142" s="2" t="s">
        <v>667</v>
      </c>
      <c r="C142" s="2" t="s">
        <v>1026</v>
      </c>
      <c r="D142" s="2" t="s">
        <v>1027</v>
      </c>
      <c r="E142" s="2" t="s">
        <v>1028</v>
      </c>
      <c r="F142" s="2" t="s">
        <v>1276</v>
      </c>
      <c r="G142" s="2" t="s">
        <v>1276</v>
      </c>
      <c r="H142" s="2" t="s">
        <v>1276</v>
      </c>
      <c r="I142" s="2" t="s">
        <v>1277</v>
      </c>
      <c r="J142" s="2" t="s">
        <v>1278</v>
      </c>
      <c r="K142" s="2" t="s">
        <v>565</v>
      </c>
      <c r="L142" s="3">
        <v>24.76</v>
      </c>
      <c r="M142" s="3">
        <v>26</v>
      </c>
      <c r="N142" s="3">
        <v>79.99</v>
      </c>
      <c r="O142" s="2" t="s">
        <v>224</v>
      </c>
      <c r="P142" s="2" t="s">
        <v>580</v>
      </c>
      <c r="Q142" s="2" t="s">
        <v>226</v>
      </c>
      <c r="R142" s="2" t="s">
        <v>227</v>
      </c>
      <c r="S142" s="2" t="s">
        <v>227</v>
      </c>
      <c r="T142" s="2" t="s">
        <v>227</v>
      </c>
      <c r="U142" s="2" t="s">
        <v>552</v>
      </c>
      <c r="V142" s="2" t="s">
        <v>1032</v>
      </c>
      <c r="W142" s="2" t="s">
        <v>506</v>
      </c>
      <c r="X142" s="2" t="s">
        <v>227</v>
      </c>
      <c r="Y142" s="2" t="s">
        <v>843</v>
      </c>
      <c r="Z142" s="4">
        <v>156</v>
      </c>
      <c r="AA142" s="4">
        <f>=ROUNDDOWN(39,0)</f>
      </c>
      <c r="AB142" s="5">
        <v>4</v>
      </c>
      <c r="AC142" s="2" t="s">
        <v>227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227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/>
      <c r="AW142" s="8"/>
      <c r="AX142" s="4"/>
      <c r="AY142" s="8"/>
      <c r="AZ142" s="7"/>
      <c r="BA142" s="7"/>
      <c r="BB142" s="7"/>
      <c r="BC142" s="4" t="s">
        <v>227</v>
      </c>
      <c r="BD142" s="8" t="s">
        <v>227</v>
      </c>
      <c r="BE142" s="4" t="s">
        <v>227</v>
      </c>
      <c r="BF142" s="8" t="s">
        <v>227</v>
      </c>
      <c r="BG142" s="7" t="s">
        <v>227</v>
      </c>
      <c r="BH142" s="7" t="s">
        <v>227</v>
      </c>
      <c r="BI142" s="7"/>
      <c r="BJ142" s="4">
        <v>3</v>
      </c>
      <c r="BK142" s="8">
        <v>122.59</v>
      </c>
      <c r="BL142" s="2" t="s">
        <v>1107</v>
      </c>
      <c r="BM142" s="7"/>
      <c r="BN142" s="7"/>
      <c r="BO142" s="4"/>
      <c r="BP142" s="8"/>
      <c r="BQ142" s="4"/>
      <c r="BR142" s="8"/>
      <c r="BS142" s="7"/>
      <c r="BT142" s="7"/>
      <c r="BU142" s="2" t="s">
        <v>1279</v>
      </c>
      <c r="BV142" s="2" t="s">
        <v>227</v>
      </c>
      <c r="BW142" s="2" t="s">
        <v>227</v>
      </c>
      <c r="BX142" s="2" t="s">
        <v>235</v>
      </c>
      <c r="BY142" s="2" t="s">
        <v>236</v>
      </c>
      <c r="BZ142" s="2" t="s">
        <v>224</v>
      </c>
      <c r="CA142" s="2" t="s">
        <v>1036</v>
      </c>
      <c r="CB142" s="2" t="s">
        <v>570</v>
      </c>
      <c r="CC142" s="2" t="s">
        <v>239</v>
      </c>
      <c r="CD142" s="2" t="s">
        <v>227</v>
      </c>
      <c r="CE142" s="4">
        <v>156</v>
      </c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</row>
    <row r="143">
      <c r="A143" s="2" t="s">
        <v>1280</v>
      </c>
      <c r="B143" s="2" t="s">
        <v>667</v>
      </c>
      <c r="C143" s="2" t="s">
        <v>1026</v>
      </c>
      <c r="D143" s="2" t="s">
        <v>1027</v>
      </c>
      <c r="E143" s="2" t="s">
        <v>1028</v>
      </c>
      <c r="F143" s="2" t="s">
        <v>1276</v>
      </c>
      <c r="G143" s="2" t="s">
        <v>1276</v>
      </c>
      <c r="H143" s="2" t="s">
        <v>1276</v>
      </c>
      <c r="I143" s="2" t="s">
        <v>1277</v>
      </c>
      <c r="J143" s="2" t="s">
        <v>1278</v>
      </c>
      <c r="K143" s="2" t="s">
        <v>536</v>
      </c>
      <c r="L143" s="3">
        <v>24.76</v>
      </c>
      <c r="M143" s="3">
        <v>26</v>
      </c>
      <c r="N143" s="3">
        <v>79.99</v>
      </c>
      <c r="O143" s="2" t="s">
        <v>224</v>
      </c>
      <c r="P143" s="2" t="s">
        <v>580</v>
      </c>
      <c r="Q143" s="2" t="s">
        <v>226</v>
      </c>
      <c r="R143" s="2" t="s">
        <v>227</v>
      </c>
      <c r="S143" s="2" t="s">
        <v>227</v>
      </c>
      <c r="T143" s="2" t="s">
        <v>227</v>
      </c>
      <c r="U143" s="2" t="s">
        <v>552</v>
      </c>
      <c r="V143" s="2" t="s">
        <v>1032</v>
      </c>
      <c r="W143" s="2" t="s">
        <v>506</v>
      </c>
      <c r="X143" s="2" t="s">
        <v>227</v>
      </c>
      <c r="Y143" s="2" t="s">
        <v>843</v>
      </c>
      <c r="Z143" s="4">
        <v>163</v>
      </c>
      <c r="AA143" s="4">
        <f>=ROUNDDOWN(54.3333333333333,0)</f>
      </c>
      <c r="AB143" s="5">
        <v>3</v>
      </c>
      <c r="AC143" s="2" t="s">
        <v>227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227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/>
      <c r="AW143" s="8"/>
      <c r="AX143" s="4"/>
      <c r="AY143" s="8"/>
      <c r="AZ143" s="7"/>
      <c r="BA143" s="7"/>
      <c r="BB143" s="7"/>
      <c r="BC143" s="4" t="s">
        <v>227</v>
      </c>
      <c r="BD143" s="8" t="s">
        <v>227</v>
      </c>
      <c r="BE143" s="4" t="s">
        <v>227</v>
      </c>
      <c r="BF143" s="8" t="s">
        <v>227</v>
      </c>
      <c r="BG143" s="7" t="s">
        <v>227</v>
      </c>
      <c r="BH143" s="7" t="s">
        <v>227</v>
      </c>
      <c r="BI143" s="7"/>
      <c r="BJ143" s="4">
        <v>11</v>
      </c>
      <c r="BK143" s="8">
        <v>346.45</v>
      </c>
      <c r="BL143" s="2" t="s">
        <v>1281</v>
      </c>
      <c r="BM143" s="7"/>
      <c r="BN143" s="7"/>
      <c r="BO143" s="4"/>
      <c r="BP143" s="8"/>
      <c r="BQ143" s="4"/>
      <c r="BR143" s="8"/>
      <c r="BS143" s="7"/>
      <c r="BT143" s="7"/>
      <c r="BU143" s="2" t="s">
        <v>1282</v>
      </c>
      <c r="BV143" s="2" t="s">
        <v>227</v>
      </c>
      <c r="BW143" s="2" t="s">
        <v>227</v>
      </c>
      <c r="BX143" s="2" t="s">
        <v>235</v>
      </c>
      <c r="BY143" s="2" t="s">
        <v>236</v>
      </c>
      <c r="BZ143" s="2" t="s">
        <v>224</v>
      </c>
      <c r="CA143" s="2" t="s">
        <v>1036</v>
      </c>
      <c r="CB143" s="2" t="s">
        <v>1283</v>
      </c>
      <c r="CC143" s="2" t="s">
        <v>239</v>
      </c>
      <c r="CD143" s="2" t="s">
        <v>227</v>
      </c>
      <c r="CE143" s="4">
        <v>163</v>
      </c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</row>
    <row r="144">
      <c r="A144" s="2" t="s">
        <v>1284</v>
      </c>
      <c r="B144" s="2" t="s">
        <v>697</v>
      </c>
      <c r="C144" s="2" t="s">
        <v>360</v>
      </c>
      <c r="D144" s="2" t="s">
        <v>687</v>
      </c>
      <c r="E144" s="2" t="s">
        <v>688</v>
      </c>
      <c r="F144" s="2" t="s">
        <v>1285</v>
      </c>
      <c r="G144" s="2" t="s">
        <v>1286</v>
      </c>
      <c r="H144" s="2" t="s">
        <v>1286</v>
      </c>
      <c r="I144" s="2" t="s">
        <v>1287</v>
      </c>
      <c r="J144" s="2" t="s">
        <v>626</v>
      </c>
      <c r="K144" s="2" t="s">
        <v>410</v>
      </c>
      <c r="L144" s="3">
        <v>52.38</v>
      </c>
      <c r="M144" s="3">
        <v>55</v>
      </c>
      <c r="N144" s="3">
        <v>109.99</v>
      </c>
      <c r="O144" s="2" t="s">
        <v>224</v>
      </c>
      <c r="P144" s="2" t="s">
        <v>225</v>
      </c>
      <c r="Q144" s="2" t="s">
        <v>226</v>
      </c>
      <c r="R144" s="2" t="s">
        <v>227</v>
      </c>
      <c r="S144" s="2" t="s">
        <v>1288</v>
      </c>
      <c r="T144" s="2" t="s">
        <v>876</v>
      </c>
      <c r="U144" s="2" t="s">
        <v>674</v>
      </c>
      <c r="V144" s="2" t="s">
        <v>230</v>
      </c>
      <c r="W144" s="2" t="s">
        <v>487</v>
      </c>
      <c r="X144" s="2" t="s">
        <v>231</v>
      </c>
      <c r="Y144" s="2" t="s">
        <v>1289</v>
      </c>
      <c r="Z144" s="4">
        <v>305</v>
      </c>
      <c r="AA144" s="4">
        <f>=ROUNDDOWN(76.25,0)</f>
      </c>
      <c r="AB144" s="5">
        <v>4</v>
      </c>
      <c r="AC144" s="2" t="s">
        <v>158</v>
      </c>
      <c r="AD144" s="4">
        <v>50</v>
      </c>
      <c r="AE144" s="4">
        <v>50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227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227</v>
      </c>
      <c r="AW144" s="8" t="s">
        <v>227</v>
      </c>
      <c r="AX144" s="4" t="s">
        <v>227</v>
      </c>
      <c r="AY144" s="8" t="s">
        <v>227</v>
      </c>
      <c r="AZ144" s="7" t="s">
        <v>227</v>
      </c>
      <c r="BA144" s="7" t="s">
        <v>227</v>
      </c>
      <c r="BB144" s="7"/>
      <c r="BC144" s="4" t="s">
        <v>227</v>
      </c>
      <c r="BD144" s="8" t="s">
        <v>227</v>
      </c>
      <c r="BE144" s="4" t="s">
        <v>227</v>
      </c>
      <c r="BF144" s="8" t="s">
        <v>227</v>
      </c>
      <c r="BG144" s="7" t="s">
        <v>227</v>
      </c>
      <c r="BH144" s="7" t="s">
        <v>227</v>
      </c>
      <c r="BI144" s="7"/>
      <c r="BJ144" s="4">
        <v>9</v>
      </c>
      <c r="BK144" s="8">
        <v>524.15</v>
      </c>
      <c r="BL144" s="2" t="s">
        <v>1290</v>
      </c>
      <c r="BM144" s="7"/>
      <c r="BN144" s="7"/>
      <c r="BO144" s="4"/>
      <c r="BP144" s="8"/>
      <c r="BQ144" s="4"/>
      <c r="BR144" s="8"/>
      <c r="BS144" s="7"/>
      <c r="BT144" s="7"/>
      <c r="BU144" s="2" t="s">
        <v>1291</v>
      </c>
      <c r="BV144" s="2" t="s">
        <v>227</v>
      </c>
      <c r="BW144" s="2" t="s">
        <v>227</v>
      </c>
      <c r="BX144" s="2" t="s">
        <v>235</v>
      </c>
      <c r="BY144" s="2" t="s">
        <v>236</v>
      </c>
      <c r="BZ144" s="2" t="s">
        <v>224</v>
      </c>
      <c r="CA144" s="2" t="s">
        <v>1292</v>
      </c>
      <c r="CB144" s="2" t="s">
        <v>1293</v>
      </c>
      <c r="CC144" s="2" t="s">
        <v>239</v>
      </c>
      <c r="CD144" s="2" t="s">
        <v>227</v>
      </c>
      <c r="CE144" s="4">
        <v>305</v>
      </c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>
        <v>50</v>
      </c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</row>
    <row r="145">
      <c r="A145" s="2" t="s">
        <v>1294</v>
      </c>
      <c r="B145" s="2" t="s">
        <v>697</v>
      </c>
      <c r="C145" s="2" t="s">
        <v>360</v>
      </c>
      <c r="D145" s="2" t="s">
        <v>687</v>
      </c>
      <c r="E145" s="2" t="s">
        <v>688</v>
      </c>
      <c r="F145" s="2" t="s">
        <v>1285</v>
      </c>
      <c r="G145" s="2" t="s">
        <v>1286</v>
      </c>
      <c r="H145" s="2" t="s">
        <v>1286</v>
      </c>
      <c r="I145" s="2" t="s">
        <v>1287</v>
      </c>
      <c r="J145" s="2" t="s">
        <v>682</v>
      </c>
      <c r="K145" s="2" t="s">
        <v>410</v>
      </c>
      <c r="L145" s="3">
        <v>61.9</v>
      </c>
      <c r="M145" s="3">
        <v>65</v>
      </c>
      <c r="N145" s="3">
        <v>129.99</v>
      </c>
      <c r="O145" s="2" t="s">
        <v>224</v>
      </c>
      <c r="P145" s="2" t="s">
        <v>225</v>
      </c>
      <c r="Q145" s="2" t="s">
        <v>226</v>
      </c>
      <c r="R145" s="2" t="s">
        <v>227</v>
      </c>
      <c r="S145" s="2" t="s">
        <v>1288</v>
      </c>
      <c r="T145" s="2" t="s">
        <v>876</v>
      </c>
      <c r="U145" s="2" t="s">
        <v>674</v>
      </c>
      <c r="V145" s="2" t="s">
        <v>230</v>
      </c>
      <c r="W145" s="2" t="s">
        <v>487</v>
      </c>
      <c r="X145" s="2" t="s">
        <v>231</v>
      </c>
      <c r="Y145" s="2" t="s">
        <v>1289</v>
      </c>
      <c r="Z145" s="4">
        <v>142</v>
      </c>
      <c r="AA145" s="4">
        <f>=ROUNDDOWN(35.5,0)</f>
      </c>
      <c r="AB145" s="5">
        <v>4</v>
      </c>
      <c r="AC145" s="2" t="s">
        <v>158</v>
      </c>
      <c r="AD145" s="4">
        <v>200</v>
      </c>
      <c r="AE145" s="4">
        <v>200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227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227</v>
      </c>
      <c r="AW145" s="8" t="s">
        <v>227</v>
      </c>
      <c r="AX145" s="4" t="s">
        <v>227</v>
      </c>
      <c r="AY145" s="8" t="s">
        <v>227</v>
      </c>
      <c r="AZ145" s="7" t="s">
        <v>227</v>
      </c>
      <c r="BA145" s="7" t="s">
        <v>227</v>
      </c>
      <c r="BB145" s="7"/>
      <c r="BC145" s="4" t="s">
        <v>227</v>
      </c>
      <c r="BD145" s="8" t="s">
        <v>227</v>
      </c>
      <c r="BE145" s="4" t="s">
        <v>227</v>
      </c>
      <c r="BF145" s="8" t="s">
        <v>227</v>
      </c>
      <c r="BG145" s="7" t="s">
        <v>227</v>
      </c>
      <c r="BH145" s="7" t="s">
        <v>227</v>
      </c>
      <c r="BI145" s="7"/>
      <c r="BJ145" s="4">
        <v>12</v>
      </c>
      <c r="BK145" s="8">
        <v>834.8</v>
      </c>
      <c r="BL145" s="2" t="s">
        <v>1295</v>
      </c>
      <c r="BM145" s="7"/>
      <c r="BN145" s="7"/>
      <c r="BO145" s="4"/>
      <c r="BP145" s="8"/>
      <c r="BQ145" s="4"/>
      <c r="BR145" s="8"/>
      <c r="BS145" s="7"/>
      <c r="BT145" s="7"/>
      <c r="BU145" s="2" t="s">
        <v>1296</v>
      </c>
      <c r="BV145" s="2" t="s">
        <v>227</v>
      </c>
      <c r="BW145" s="2" t="s">
        <v>227</v>
      </c>
      <c r="BX145" s="2" t="s">
        <v>235</v>
      </c>
      <c r="BY145" s="2" t="s">
        <v>236</v>
      </c>
      <c r="BZ145" s="2" t="s">
        <v>224</v>
      </c>
      <c r="CA145" s="2" t="s">
        <v>1292</v>
      </c>
      <c r="CB145" s="2" t="s">
        <v>1297</v>
      </c>
      <c r="CC145" s="2" t="s">
        <v>239</v>
      </c>
      <c r="CD145" s="2" t="s">
        <v>227</v>
      </c>
      <c r="CE145" s="4">
        <v>142</v>
      </c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>
        <v>200</v>
      </c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</row>
    <row r="146">
      <c r="A146" s="2" t="s">
        <v>1298</v>
      </c>
      <c r="B146" s="2" t="s">
        <v>618</v>
      </c>
      <c r="C146" s="2" t="s">
        <v>1299</v>
      </c>
      <c r="D146" s="2" t="s">
        <v>687</v>
      </c>
      <c r="E146" s="2" t="s">
        <v>699</v>
      </c>
      <c r="F146" s="2" t="s">
        <v>1300</v>
      </c>
      <c r="G146" s="2" t="s">
        <v>1301</v>
      </c>
      <c r="H146" s="2" t="s">
        <v>1302</v>
      </c>
      <c r="I146" s="2" t="s">
        <v>1303</v>
      </c>
      <c r="J146" s="2" t="s">
        <v>1304</v>
      </c>
      <c r="K146" s="2" t="s">
        <v>1305</v>
      </c>
      <c r="L146" s="3">
        <v>23.8</v>
      </c>
      <c r="M146" s="3">
        <v>24.99</v>
      </c>
      <c r="N146" s="3">
        <v>49.99</v>
      </c>
      <c r="O146" s="2" t="s">
        <v>224</v>
      </c>
      <c r="P146" s="2" t="s">
        <v>225</v>
      </c>
      <c r="Q146" s="2" t="s">
        <v>226</v>
      </c>
      <c r="R146" s="2" t="s">
        <v>227</v>
      </c>
      <c r="S146" s="2" t="s">
        <v>1306</v>
      </c>
      <c r="T146" s="2" t="s">
        <v>375</v>
      </c>
      <c r="U146" s="2" t="s">
        <v>287</v>
      </c>
      <c r="V146" s="2" t="s">
        <v>782</v>
      </c>
      <c r="W146" s="2" t="s">
        <v>231</v>
      </c>
      <c r="X146" s="2" t="s">
        <v>705</v>
      </c>
      <c r="Y146" s="2" t="s">
        <v>1307</v>
      </c>
      <c r="Z146" s="4">
        <v>13</v>
      </c>
      <c r="AA146" s="4">
        <f>=ROUNDDOWN(1.85714285714286,0)</f>
      </c>
      <c r="AB146" s="5">
        <v>7</v>
      </c>
      <c r="AC146" s="2" t="s">
        <v>182</v>
      </c>
      <c r="AD146" s="4">
        <v>210</v>
      </c>
      <c r="AE146" s="4">
        <v>210</v>
      </c>
      <c r="AF146" s="6">
        <v>64</v>
      </c>
      <c r="AG146" s="6"/>
      <c r="AH146" s="7">
        <v>1</v>
      </c>
      <c r="AI146" s="4"/>
      <c r="AJ146" s="4">
        <f>=ROUNDDOWN({0},0)</f>
      </c>
      <c r="AK146" s="5"/>
      <c r="AL146" s="2" t="s">
        <v>227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227</v>
      </c>
      <c r="AW146" s="8" t="s">
        <v>227</v>
      </c>
      <c r="AX146" s="4" t="s">
        <v>227</v>
      </c>
      <c r="AY146" s="8" t="s">
        <v>227</v>
      </c>
      <c r="AZ146" s="7" t="s">
        <v>227</v>
      </c>
      <c r="BA146" s="7" t="s">
        <v>227</v>
      </c>
      <c r="BB146" s="7" t="s">
        <v>227</v>
      </c>
      <c r="BC146" s="4" t="s">
        <v>227</v>
      </c>
      <c r="BD146" s="8" t="s">
        <v>227</v>
      </c>
      <c r="BE146" s="4" t="s">
        <v>227</v>
      </c>
      <c r="BF146" s="8" t="s">
        <v>227</v>
      </c>
      <c r="BG146" s="7" t="s">
        <v>227</v>
      </c>
      <c r="BH146" s="7" t="s">
        <v>227</v>
      </c>
      <c r="BI146" s="7"/>
      <c r="BJ146" s="4">
        <v>96</v>
      </c>
      <c r="BK146" s="8">
        <v>2650.83</v>
      </c>
      <c r="BL146" s="2" t="s">
        <v>1308</v>
      </c>
      <c r="BM146" s="7"/>
      <c r="BN146" s="7"/>
      <c r="BO146" s="4"/>
      <c r="BP146" s="8"/>
      <c r="BQ146" s="4"/>
      <c r="BR146" s="8"/>
      <c r="BS146" s="7"/>
      <c r="BT146" s="7"/>
      <c r="BU146" s="2" t="s">
        <v>1309</v>
      </c>
      <c r="BV146" s="2" t="s">
        <v>227</v>
      </c>
      <c r="BW146" s="2" t="s">
        <v>227</v>
      </c>
      <c r="BX146" s="2" t="s">
        <v>235</v>
      </c>
      <c r="BY146" s="2" t="s">
        <v>236</v>
      </c>
      <c r="BZ146" s="2" t="s">
        <v>224</v>
      </c>
      <c r="CA146" s="2" t="s">
        <v>1310</v>
      </c>
      <c r="CB146" s="2" t="s">
        <v>1311</v>
      </c>
      <c r="CC146" s="2" t="s">
        <v>239</v>
      </c>
      <c r="CD146" s="2" t="s">
        <v>227</v>
      </c>
      <c r="CE146" s="4">
        <v>13</v>
      </c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>
        <v>210</v>
      </c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</row>
    <row r="147">
      <c r="A147" s="2" t="s">
        <v>1312</v>
      </c>
      <c r="B147" s="2" t="s">
        <v>618</v>
      </c>
      <c r="C147" s="2" t="s">
        <v>1299</v>
      </c>
      <c r="D147" s="2" t="s">
        <v>620</v>
      </c>
      <c r="E147" s="2" t="s">
        <v>669</v>
      </c>
      <c r="F147" s="2" t="s">
        <v>1300</v>
      </c>
      <c r="G147" s="2" t="s">
        <v>1301</v>
      </c>
      <c r="H147" s="2" t="s">
        <v>1302</v>
      </c>
      <c r="I147" s="2" t="s">
        <v>1313</v>
      </c>
      <c r="J147" s="2" t="s">
        <v>1304</v>
      </c>
      <c r="K147" s="2" t="s">
        <v>1305</v>
      </c>
      <c r="L147" s="3">
        <v>14.28</v>
      </c>
      <c r="M147" s="3">
        <v>14.99</v>
      </c>
      <c r="N147" s="3">
        <v>29.99</v>
      </c>
      <c r="O147" s="2" t="s">
        <v>224</v>
      </c>
      <c r="P147" s="2" t="s">
        <v>225</v>
      </c>
      <c r="Q147" s="2" t="s">
        <v>226</v>
      </c>
      <c r="R147" s="2" t="s">
        <v>227</v>
      </c>
      <c r="S147" s="2" t="s">
        <v>1306</v>
      </c>
      <c r="T147" s="2" t="s">
        <v>375</v>
      </c>
      <c r="U147" s="2" t="s">
        <v>1044</v>
      </c>
      <c r="V147" s="2" t="s">
        <v>782</v>
      </c>
      <c r="W147" s="2" t="s">
        <v>231</v>
      </c>
      <c r="X147" s="2" t="s">
        <v>705</v>
      </c>
      <c r="Y147" s="2" t="s">
        <v>1307</v>
      </c>
      <c r="Z147" s="4">
        <v>57</v>
      </c>
      <c r="AA147" s="4">
        <f>=ROUNDDOWN(19,0)</f>
      </c>
      <c r="AB147" s="5">
        <v>3</v>
      </c>
      <c r="AC147" s="2" t="s">
        <v>182</v>
      </c>
      <c r="AD147" s="4">
        <v>80</v>
      </c>
      <c r="AE147" s="4">
        <v>80</v>
      </c>
      <c r="AF147" s="6">
        <v>64</v>
      </c>
      <c r="AG147" s="6"/>
      <c r="AH147" s="7">
        <v>1</v>
      </c>
      <c r="AI147" s="4"/>
      <c r="AJ147" s="4">
        <f>=ROUNDDOWN({0},0)</f>
      </c>
      <c r="AK147" s="5"/>
      <c r="AL147" s="2" t="s">
        <v>227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227</v>
      </c>
      <c r="AW147" s="8" t="s">
        <v>227</v>
      </c>
      <c r="AX147" s="4" t="s">
        <v>227</v>
      </c>
      <c r="AY147" s="8" t="s">
        <v>227</v>
      </c>
      <c r="AZ147" s="7" t="s">
        <v>227</v>
      </c>
      <c r="BA147" s="7" t="s">
        <v>227</v>
      </c>
      <c r="BB147" s="7" t="s">
        <v>227</v>
      </c>
      <c r="BC147" s="4" t="s">
        <v>227</v>
      </c>
      <c r="BD147" s="8" t="s">
        <v>227</v>
      </c>
      <c r="BE147" s="4" t="s">
        <v>227</v>
      </c>
      <c r="BF147" s="8" t="s">
        <v>227</v>
      </c>
      <c r="BG147" s="7" t="s">
        <v>227</v>
      </c>
      <c r="BH147" s="7" t="s">
        <v>227</v>
      </c>
      <c r="BI147" s="7"/>
      <c r="BJ147" s="4">
        <v>17</v>
      </c>
      <c r="BK147" s="8">
        <v>272.98</v>
      </c>
      <c r="BL147" s="2" t="s">
        <v>1314</v>
      </c>
      <c r="BM147" s="7"/>
      <c r="BN147" s="7"/>
      <c r="BO147" s="4"/>
      <c r="BP147" s="8"/>
      <c r="BQ147" s="4"/>
      <c r="BR147" s="8"/>
      <c r="BS147" s="7"/>
      <c r="BT147" s="7"/>
      <c r="BU147" s="2" t="s">
        <v>1315</v>
      </c>
      <c r="BV147" s="2" t="s">
        <v>227</v>
      </c>
      <c r="BW147" s="2" t="s">
        <v>227</v>
      </c>
      <c r="BX147" s="2" t="s">
        <v>235</v>
      </c>
      <c r="BY147" s="2" t="s">
        <v>236</v>
      </c>
      <c r="BZ147" s="2" t="s">
        <v>224</v>
      </c>
      <c r="CA147" s="2" t="s">
        <v>1316</v>
      </c>
      <c r="CB147" s="2" t="s">
        <v>659</v>
      </c>
      <c r="CC147" s="2" t="s">
        <v>239</v>
      </c>
      <c r="CD147" s="2" t="s">
        <v>227</v>
      </c>
      <c r="CE147" s="4">
        <v>57</v>
      </c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>
        <v>80</v>
      </c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</row>
    <row r="148">
      <c r="A148" s="2" t="s">
        <v>1317</v>
      </c>
      <c r="B148" s="2" t="s">
        <v>715</v>
      </c>
      <c r="C148" s="2" t="s">
        <v>1210</v>
      </c>
      <c r="D148" s="2" t="s">
        <v>716</v>
      </c>
      <c r="E148" s="2" t="s">
        <v>717</v>
      </c>
      <c r="F148" s="2" t="s">
        <v>1318</v>
      </c>
      <c r="G148" s="2" t="s">
        <v>1319</v>
      </c>
      <c r="H148" s="2" t="s">
        <v>1320</v>
      </c>
      <c r="I148" s="2" t="s">
        <v>1321</v>
      </c>
      <c r="J148" s="2" t="s">
        <v>808</v>
      </c>
      <c r="K148" s="2" t="s">
        <v>672</v>
      </c>
      <c r="L148" s="3">
        <v>18</v>
      </c>
      <c r="M148" s="3">
        <v>18.9</v>
      </c>
      <c r="N148" s="3">
        <v>39.99</v>
      </c>
      <c r="O148" s="2" t="s">
        <v>224</v>
      </c>
      <c r="P148" s="2" t="s">
        <v>225</v>
      </c>
      <c r="Q148" s="2" t="s">
        <v>226</v>
      </c>
      <c r="R148" s="2" t="s">
        <v>227</v>
      </c>
      <c r="S148" s="2" t="s">
        <v>1322</v>
      </c>
      <c r="T148" s="2" t="s">
        <v>227</v>
      </c>
      <c r="U148" s="2" t="s">
        <v>227</v>
      </c>
      <c r="V148" s="2" t="s">
        <v>906</v>
      </c>
      <c r="W148" s="2" t="s">
        <v>836</v>
      </c>
      <c r="X148" s="2" t="s">
        <v>1323</v>
      </c>
      <c r="Y148" s="2" t="s">
        <v>595</v>
      </c>
      <c r="Z148" s="4">
        <v>3</v>
      </c>
      <c r="AA148" s="4">
        <f>=ROUNDDOWN(0.15,0)</f>
      </c>
      <c r="AB148" s="5">
        <v>20</v>
      </c>
      <c r="AC148" s="2" t="s">
        <v>732</v>
      </c>
      <c r="AD148" s="4">
        <v>200</v>
      </c>
      <c r="AE148" s="4">
        <v>560</v>
      </c>
      <c r="AF148" s="6">
        <v>65</v>
      </c>
      <c r="AG148" s="6"/>
      <c r="AH148" s="7">
        <v>0</v>
      </c>
      <c r="AI148" s="4"/>
      <c r="AJ148" s="4">
        <f>=ROUNDDOWN({0},0)</f>
      </c>
      <c r="AK148" s="5"/>
      <c r="AL148" s="2" t="s">
        <v>227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 t="s">
        <v>227</v>
      </c>
      <c r="BD148" s="8" t="s">
        <v>227</v>
      </c>
      <c r="BE148" s="4" t="s">
        <v>227</v>
      </c>
      <c r="BF148" s="8" t="s">
        <v>227</v>
      </c>
      <c r="BG148" s="7" t="s">
        <v>227</v>
      </c>
      <c r="BH148" s="7" t="s">
        <v>227</v>
      </c>
      <c r="BI148" s="7"/>
      <c r="BJ148" s="4">
        <v>7</v>
      </c>
      <c r="BK148" s="8">
        <v>141.1</v>
      </c>
      <c r="BL148" s="2" t="s">
        <v>1324</v>
      </c>
      <c r="BM148" s="7"/>
      <c r="BN148" s="7"/>
      <c r="BO148" s="4"/>
      <c r="BP148" s="8"/>
      <c r="BQ148" s="4"/>
      <c r="BR148" s="8"/>
      <c r="BS148" s="7"/>
      <c r="BT148" s="7"/>
      <c r="BU148" s="2" t="s">
        <v>1325</v>
      </c>
      <c r="BV148" s="2" t="s">
        <v>227</v>
      </c>
      <c r="BW148" s="2" t="s">
        <v>227</v>
      </c>
      <c r="BX148" s="2" t="s">
        <v>235</v>
      </c>
      <c r="BY148" s="2" t="s">
        <v>236</v>
      </c>
      <c r="BZ148" s="2" t="s">
        <v>224</v>
      </c>
      <c r="CA148" s="2" t="s">
        <v>1326</v>
      </c>
      <c r="CB148" s="2" t="s">
        <v>1327</v>
      </c>
      <c r="CC148" s="2" t="s">
        <v>239</v>
      </c>
      <c r="CD148" s="2" t="s">
        <v>227</v>
      </c>
      <c r="CE148" s="4">
        <v>3</v>
      </c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>
        <v>200</v>
      </c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>
        <v>120</v>
      </c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>
        <v>100</v>
      </c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>
        <v>140</v>
      </c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</row>
    <row r="149">
      <c r="A149" s="2" t="s">
        <v>1328</v>
      </c>
      <c r="B149" s="2" t="s">
        <v>715</v>
      </c>
      <c r="C149" s="2" t="s">
        <v>1210</v>
      </c>
      <c r="D149" s="2" t="s">
        <v>716</v>
      </c>
      <c r="E149" s="2" t="s">
        <v>717</v>
      </c>
      <c r="F149" s="2" t="s">
        <v>1318</v>
      </c>
      <c r="G149" s="2" t="s">
        <v>1319</v>
      </c>
      <c r="H149" s="2" t="s">
        <v>1320</v>
      </c>
      <c r="I149" s="2" t="s">
        <v>1321</v>
      </c>
      <c r="J149" s="2" t="s">
        <v>808</v>
      </c>
      <c r="K149" s="2" t="s">
        <v>1067</v>
      </c>
      <c r="L149" s="3">
        <v>18</v>
      </c>
      <c r="M149" s="3">
        <v>18.9</v>
      </c>
      <c r="N149" s="3">
        <v>39.99</v>
      </c>
      <c r="O149" s="2" t="s">
        <v>224</v>
      </c>
      <c r="P149" s="2" t="s">
        <v>225</v>
      </c>
      <c r="Q149" s="2" t="s">
        <v>226</v>
      </c>
      <c r="R149" s="2" t="s">
        <v>227</v>
      </c>
      <c r="S149" s="2" t="s">
        <v>1329</v>
      </c>
      <c r="T149" s="2" t="s">
        <v>227</v>
      </c>
      <c r="U149" s="2" t="s">
        <v>227</v>
      </c>
      <c r="V149" s="2" t="s">
        <v>906</v>
      </c>
      <c r="W149" s="2" t="s">
        <v>836</v>
      </c>
      <c r="X149" s="2" t="s">
        <v>1323</v>
      </c>
      <c r="Y149" s="2" t="s">
        <v>595</v>
      </c>
      <c r="Z149" s="4">
        <v>203</v>
      </c>
      <c r="AA149" s="4">
        <f>=ROUNDDOWN(18.4545454545455,0)</f>
      </c>
      <c r="AB149" s="5">
        <v>11</v>
      </c>
      <c r="AC149" s="2" t="s">
        <v>227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227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 t="s">
        <v>227</v>
      </c>
      <c r="BD149" s="8" t="s">
        <v>227</v>
      </c>
      <c r="BE149" s="4" t="s">
        <v>227</v>
      </c>
      <c r="BF149" s="8" t="s">
        <v>227</v>
      </c>
      <c r="BG149" s="7" t="s">
        <v>227</v>
      </c>
      <c r="BH149" s="7" t="s">
        <v>227</v>
      </c>
      <c r="BI149" s="7"/>
      <c r="BJ149" s="4">
        <v>51</v>
      </c>
      <c r="BK149" s="8">
        <v>1258.58</v>
      </c>
      <c r="BL149" s="2" t="s">
        <v>1330</v>
      </c>
      <c r="BM149" s="7"/>
      <c r="BN149" s="7"/>
      <c r="BO149" s="4"/>
      <c r="BP149" s="8"/>
      <c r="BQ149" s="4"/>
      <c r="BR149" s="8"/>
      <c r="BS149" s="7"/>
      <c r="BT149" s="7"/>
      <c r="BU149" s="2" t="s">
        <v>1331</v>
      </c>
      <c r="BV149" s="2" t="s">
        <v>227</v>
      </c>
      <c r="BW149" s="2" t="s">
        <v>227</v>
      </c>
      <c r="BX149" s="2" t="s">
        <v>235</v>
      </c>
      <c r="BY149" s="2" t="s">
        <v>236</v>
      </c>
      <c r="BZ149" s="2" t="s">
        <v>224</v>
      </c>
      <c r="CA149" s="2" t="s">
        <v>1326</v>
      </c>
      <c r="CB149" s="2" t="s">
        <v>1332</v>
      </c>
      <c r="CC149" s="2" t="s">
        <v>239</v>
      </c>
      <c r="CD149" s="2" t="s">
        <v>227</v>
      </c>
      <c r="CE149" s="4">
        <v>203</v>
      </c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</row>
    <row r="150">
      <c r="A150" s="2" t="s">
        <v>1333</v>
      </c>
      <c r="B150" s="2" t="s">
        <v>697</v>
      </c>
      <c r="C150" s="2" t="s">
        <v>698</v>
      </c>
      <c r="D150" s="2" t="s">
        <v>868</v>
      </c>
      <c r="E150" s="2" t="s">
        <v>1334</v>
      </c>
      <c r="F150" s="2" t="s">
        <v>1335</v>
      </c>
      <c r="G150" s="2" t="s">
        <v>1335</v>
      </c>
      <c r="H150" s="2" t="s">
        <v>1335</v>
      </c>
      <c r="I150" s="2" t="s">
        <v>1336</v>
      </c>
      <c r="J150" s="2" t="s">
        <v>873</v>
      </c>
      <c r="K150" s="2" t="s">
        <v>737</v>
      </c>
      <c r="L150" s="3">
        <v>20.14</v>
      </c>
      <c r="M150" s="3">
        <v>21.15</v>
      </c>
      <c r="N150" s="3">
        <v>44.99</v>
      </c>
      <c r="O150" s="2" t="s">
        <v>224</v>
      </c>
      <c r="P150" s="2" t="s">
        <v>225</v>
      </c>
      <c r="Q150" s="2" t="s">
        <v>226</v>
      </c>
      <c r="R150" s="2" t="s">
        <v>227</v>
      </c>
      <c r="S150" s="2" t="s">
        <v>1337</v>
      </c>
      <c r="T150" s="2" t="s">
        <v>704</v>
      </c>
      <c r="U150" s="2" t="s">
        <v>552</v>
      </c>
      <c r="V150" s="2" t="s">
        <v>782</v>
      </c>
      <c r="W150" s="2" t="s">
        <v>705</v>
      </c>
      <c r="X150" s="2" t="s">
        <v>506</v>
      </c>
      <c r="Y150" s="2" t="s">
        <v>1338</v>
      </c>
      <c r="Z150" s="4">
        <v>329</v>
      </c>
      <c r="AA150" s="4">
        <f>=ROUNDDOWN(47,0)</f>
      </c>
      <c r="AB150" s="5">
        <v>7</v>
      </c>
      <c r="AC150" s="2" t="s">
        <v>187</v>
      </c>
      <c r="AD150" s="4">
        <v>800</v>
      </c>
      <c r="AE150" s="4">
        <v>800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227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/>
      <c r="AW150" s="8"/>
      <c r="AX150" s="4"/>
      <c r="AY150" s="8"/>
      <c r="AZ150" s="7"/>
      <c r="BA150" s="7"/>
      <c r="BB150" s="7"/>
      <c r="BC150" s="4" t="s">
        <v>227</v>
      </c>
      <c r="BD150" s="8" t="s">
        <v>227</v>
      </c>
      <c r="BE150" s="4" t="s">
        <v>227</v>
      </c>
      <c r="BF150" s="8" t="s">
        <v>227</v>
      </c>
      <c r="BG150" s="7" t="s">
        <v>227</v>
      </c>
      <c r="BH150" s="7" t="s">
        <v>227</v>
      </c>
      <c r="BI150" s="7"/>
      <c r="BJ150" s="4">
        <v>36</v>
      </c>
      <c r="BK150" s="8">
        <v>876.8</v>
      </c>
      <c r="BL150" s="2" t="s">
        <v>1339</v>
      </c>
      <c r="BM150" s="7"/>
      <c r="BN150" s="7"/>
      <c r="BO150" s="4"/>
      <c r="BP150" s="8"/>
      <c r="BQ150" s="4"/>
      <c r="BR150" s="8"/>
      <c r="BS150" s="7"/>
      <c r="BT150" s="7"/>
      <c r="BU150" s="2" t="s">
        <v>1340</v>
      </c>
      <c r="BV150" s="2" t="s">
        <v>227</v>
      </c>
      <c r="BW150" s="2" t="s">
        <v>227</v>
      </c>
      <c r="BX150" s="2" t="s">
        <v>235</v>
      </c>
      <c r="BY150" s="2" t="s">
        <v>236</v>
      </c>
      <c r="BZ150" s="2" t="s">
        <v>224</v>
      </c>
      <c r="CA150" s="2" t="s">
        <v>369</v>
      </c>
      <c r="CB150" s="2" t="s">
        <v>1341</v>
      </c>
      <c r="CC150" s="2" t="s">
        <v>239</v>
      </c>
      <c r="CD150" s="2" t="s">
        <v>227</v>
      </c>
      <c r="CE150" s="4">
        <v>329</v>
      </c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>
        <v>800</v>
      </c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</row>
    <row r="151">
      <c r="A151" s="2" t="s">
        <v>1342</v>
      </c>
      <c r="B151" s="2" t="s">
        <v>697</v>
      </c>
      <c r="C151" s="2" t="s">
        <v>698</v>
      </c>
      <c r="D151" s="2" t="s">
        <v>868</v>
      </c>
      <c r="E151" s="2" t="s">
        <v>1334</v>
      </c>
      <c r="F151" s="2" t="s">
        <v>1335</v>
      </c>
      <c r="G151" s="2" t="s">
        <v>1335</v>
      </c>
      <c r="H151" s="2" t="s">
        <v>1335</v>
      </c>
      <c r="I151" s="2" t="s">
        <v>1336</v>
      </c>
      <c r="J151" s="2" t="s">
        <v>873</v>
      </c>
      <c r="K151" s="2" t="s">
        <v>762</v>
      </c>
      <c r="L151" s="3">
        <v>20.14</v>
      </c>
      <c r="M151" s="3">
        <v>21.15</v>
      </c>
      <c r="N151" s="3">
        <v>44.99</v>
      </c>
      <c r="O151" s="2" t="s">
        <v>224</v>
      </c>
      <c r="P151" s="2" t="s">
        <v>580</v>
      </c>
      <c r="Q151" s="2" t="s">
        <v>226</v>
      </c>
      <c r="R151" s="2" t="s">
        <v>227</v>
      </c>
      <c r="S151" s="2" t="s">
        <v>1343</v>
      </c>
      <c r="T151" s="2" t="s">
        <v>704</v>
      </c>
      <c r="U151" s="2" t="s">
        <v>552</v>
      </c>
      <c r="V151" s="2" t="s">
        <v>782</v>
      </c>
      <c r="W151" s="2" t="s">
        <v>705</v>
      </c>
      <c r="X151" s="2" t="s">
        <v>506</v>
      </c>
      <c r="Y151" s="2" t="s">
        <v>1338</v>
      </c>
      <c r="Z151" s="4">
        <v>473</v>
      </c>
      <c r="AA151" s="4">
        <f>=ROUNDDOWN(94.6,0)</f>
      </c>
      <c r="AB151" s="5">
        <v>5</v>
      </c>
      <c r="AC151" s="2" t="s">
        <v>227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227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 t="s">
        <v>227</v>
      </c>
      <c r="BD151" s="8" t="s">
        <v>227</v>
      </c>
      <c r="BE151" s="4" t="s">
        <v>227</v>
      </c>
      <c r="BF151" s="8" t="s">
        <v>227</v>
      </c>
      <c r="BG151" s="7" t="s">
        <v>227</v>
      </c>
      <c r="BH151" s="7" t="s">
        <v>227</v>
      </c>
      <c r="BI151" s="7"/>
      <c r="BJ151" s="4">
        <v>18</v>
      </c>
      <c r="BK151" s="8">
        <v>432.99</v>
      </c>
      <c r="BL151" s="2" t="s">
        <v>1344</v>
      </c>
      <c r="BM151" s="7"/>
      <c r="BN151" s="7"/>
      <c r="BO151" s="4"/>
      <c r="BP151" s="8"/>
      <c r="BQ151" s="4"/>
      <c r="BR151" s="8"/>
      <c r="BS151" s="7"/>
      <c r="BT151" s="7"/>
      <c r="BU151" s="2" t="s">
        <v>1345</v>
      </c>
      <c r="BV151" s="2" t="s">
        <v>227</v>
      </c>
      <c r="BW151" s="2" t="s">
        <v>227</v>
      </c>
      <c r="BX151" s="2" t="s">
        <v>235</v>
      </c>
      <c r="BY151" s="2" t="s">
        <v>236</v>
      </c>
      <c r="BZ151" s="2" t="s">
        <v>224</v>
      </c>
      <c r="CA151" s="2" t="s">
        <v>369</v>
      </c>
      <c r="CB151" s="2" t="s">
        <v>783</v>
      </c>
      <c r="CC151" s="2" t="s">
        <v>239</v>
      </c>
      <c r="CD151" s="2" t="s">
        <v>227</v>
      </c>
      <c r="CE151" s="4">
        <v>473</v>
      </c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</row>
    <row r="152">
      <c r="A152" s="2" t="s">
        <v>1346</v>
      </c>
      <c r="B152" s="2" t="s">
        <v>542</v>
      </c>
      <c r="C152" s="2" t="s">
        <v>360</v>
      </c>
      <c r="D152" s="2" t="s">
        <v>1052</v>
      </c>
      <c r="E152" s="2" t="s">
        <v>545</v>
      </c>
      <c r="F152" s="2" t="s">
        <v>1347</v>
      </c>
      <c r="G152" s="2" t="s">
        <v>1347</v>
      </c>
      <c r="H152" s="2" t="s">
        <v>1347</v>
      </c>
      <c r="I152" s="2" t="s">
        <v>1348</v>
      </c>
      <c r="J152" s="2" t="s">
        <v>548</v>
      </c>
      <c r="K152" s="2" t="s">
        <v>737</v>
      </c>
      <c r="L152" s="3">
        <v>76.19</v>
      </c>
      <c r="M152" s="3">
        <v>80</v>
      </c>
      <c r="N152" s="3">
        <v>140.24</v>
      </c>
      <c r="O152" s="2" t="s">
        <v>224</v>
      </c>
      <c r="P152" s="2" t="s">
        <v>550</v>
      </c>
      <c r="Q152" s="2" t="s">
        <v>226</v>
      </c>
      <c r="R152" s="2" t="s">
        <v>227</v>
      </c>
      <c r="S152" s="2" t="s">
        <v>1349</v>
      </c>
      <c r="T152" s="2" t="s">
        <v>227</v>
      </c>
      <c r="U152" s="2" t="s">
        <v>1350</v>
      </c>
      <c r="V152" s="2" t="s">
        <v>945</v>
      </c>
      <c r="W152" s="2" t="s">
        <v>836</v>
      </c>
      <c r="X152" s="2" t="s">
        <v>227</v>
      </c>
      <c r="Y152" s="2" t="s">
        <v>1351</v>
      </c>
      <c r="Z152" s="4">
        <v>66</v>
      </c>
      <c r="AA152" s="4">
        <f>=ROUNDDOWN(13.2,0)</f>
      </c>
      <c r="AB152" s="5">
        <v>5</v>
      </c>
      <c r="AC152" s="2" t="s">
        <v>153</v>
      </c>
      <c r="AD152" s="4">
        <v>160</v>
      </c>
      <c r="AE152" s="4">
        <v>160</v>
      </c>
      <c r="AF152" s="6">
        <v>63</v>
      </c>
      <c r="AG152" s="6"/>
      <c r="AH152" s="7">
        <v>1</v>
      </c>
      <c r="AI152" s="4"/>
      <c r="AJ152" s="4">
        <f>=ROUNDDOWN({0},0)</f>
      </c>
      <c r="AK152" s="5"/>
      <c r="AL152" s="2" t="s">
        <v>227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/>
      <c r="BD152" s="8"/>
      <c r="BE152" s="4"/>
      <c r="BF152" s="8"/>
      <c r="BG152" s="7"/>
      <c r="BH152" s="7"/>
      <c r="BI152" s="7"/>
      <c r="BJ152" s="4">
        <v>13</v>
      </c>
      <c r="BK152" s="8">
        <v>1166.67</v>
      </c>
      <c r="BL152" s="2" t="s">
        <v>1352</v>
      </c>
      <c r="BM152" s="7"/>
      <c r="BN152" s="7"/>
      <c r="BO152" s="4"/>
      <c r="BP152" s="8"/>
      <c r="BQ152" s="4"/>
      <c r="BR152" s="8"/>
      <c r="BS152" s="7"/>
      <c r="BT152" s="7"/>
      <c r="BU152" s="2" t="s">
        <v>1353</v>
      </c>
      <c r="BV152" s="2" t="s">
        <v>227</v>
      </c>
      <c r="BW152" s="2" t="s">
        <v>227</v>
      </c>
      <c r="BX152" s="2" t="s">
        <v>235</v>
      </c>
      <c r="BY152" s="2" t="s">
        <v>236</v>
      </c>
      <c r="BZ152" s="2" t="s">
        <v>224</v>
      </c>
      <c r="CA152" s="2" t="s">
        <v>1354</v>
      </c>
      <c r="CB152" s="2" t="s">
        <v>1355</v>
      </c>
      <c r="CC152" s="2" t="s">
        <v>239</v>
      </c>
      <c r="CD152" s="2" t="s">
        <v>227</v>
      </c>
      <c r="CE152" s="4"/>
      <c r="CF152" s="4">
        <v>66</v>
      </c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>
        <v>160</v>
      </c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</row>
    <row r="153">
      <c r="A153" s="2" t="s">
        <v>1356</v>
      </c>
      <c r="B153" s="2" t="s">
        <v>542</v>
      </c>
      <c r="C153" s="2" t="s">
        <v>360</v>
      </c>
      <c r="D153" s="2" t="s">
        <v>1052</v>
      </c>
      <c r="E153" s="2" t="s">
        <v>545</v>
      </c>
      <c r="F153" s="2" t="s">
        <v>1357</v>
      </c>
      <c r="G153" s="2" t="s">
        <v>1357</v>
      </c>
      <c r="H153" s="2" t="s">
        <v>1357</v>
      </c>
      <c r="I153" s="2" t="s">
        <v>1358</v>
      </c>
      <c r="J153" s="2" t="s">
        <v>548</v>
      </c>
      <c r="K153" s="2" t="s">
        <v>1359</v>
      </c>
      <c r="L153" s="3">
        <v>69.19</v>
      </c>
      <c r="M153" s="3">
        <v>72.65</v>
      </c>
      <c r="N153" s="3">
        <v>135.99</v>
      </c>
      <c r="O153" s="2" t="s">
        <v>224</v>
      </c>
      <c r="P153" s="2" t="s">
        <v>225</v>
      </c>
      <c r="Q153" s="2" t="s">
        <v>226</v>
      </c>
      <c r="R153" s="2" t="s">
        <v>227</v>
      </c>
      <c r="S153" s="2" t="s">
        <v>1360</v>
      </c>
      <c r="T153" s="2" t="s">
        <v>227</v>
      </c>
      <c r="U153" s="2" t="s">
        <v>1350</v>
      </c>
      <c r="V153" s="2" t="s">
        <v>945</v>
      </c>
      <c r="W153" s="2" t="s">
        <v>836</v>
      </c>
      <c r="X153" s="2" t="s">
        <v>1361</v>
      </c>
      <c r="Y153" s="2" t="s">
        <v>1362</v>
      </c>
      <c r="Z153" s="4">
        <v>35</v>
      </c>
      <c r="AA153" s="4">
        <f>=ROUNDDOWN(11.6666666666667,0)</f>
      </c>
      <c r="AB153" s="5">
        <v>3</v>
      </c>
      <c r="AC153" s="2" t="s">
        <v>164</v>
      </c>
      <c r="AD153" s="4">
        <v>60</v>
      </c>
      <c r="AE153" s="4">
        <v>60</v>
      </c>
      <c r="AF153" s="6">
        <v>63</v>
      </c>
      <c r="AG153" s="6">
        <v>46</v>
      </c>
      <c r="AH153" s="7">
        <v>1</v>
      </c>
      <c r="AI153" s="4"/>
      <c r="AJ153" s="4">
        <f>=ROUNDDOWN({0},0)</f>
      </c>
      <c r="AK153" s="5"/>
      <c r="AL153" s="2" t="s">
        <v>227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/>
      <c r="BD153" s="8"/>
      <c r="BE153" s="4"/>
      <c r="BF153" s="8"/>
      <c r="BG153" s="7"/>
      <c r="BH153" s="7"/>
      <c r="BI153" s="7"/>
      <c r="BJ153" s="4">
        <v>12</v>
      </c>
      <c r="BK153" s="8">
        <v>973.58</v>
      </c>
      <c r="BL153" s="2" t="s">
        <v>1363</v>
      </c>
      <c r="BM153" s="7"/>
      <c r="BN153" s="7"/>
      <c r="BO153" s="4"/>
      <c r="BP153" s="8"/>
      <c r="BQ153" s="4"/>
      <c r="BR153" s="8"/>
      <c r="BS153" s="7"/>
      <c r="BT153" s="7"/>
      <c r="BU153" s="2" t="s">
        <v>1364</v>
      </c>
      <c r="BV153" s="2" t="s">
        <v>227</v>
      </c>
      <c r="BW153" s="2" t="s">
        <v>227</v>
      </c>
      <c r="BX153" s="2" t="s">
        <v>235</v>
      </c>
      <c r="BY153" s="2" t="s">
        <v>236</v>
      </c>
      <c r="BZ153" s="2" t="s">
        <v>224</v>
      </c>
      <c r="CA153" s="2" t="s">
        <v>1365</v>
      </c>
      <c r="CB153" s="2" t="s">
        <v>1366</v>
      </c>
      <c r="CC153" s="2" t="s">
        <v>239</v>
      </c>
      <c r="CD153" s="2" t="s">
        <v>227</v>
      </c>
      <c r="CE153" s="4"/>
      <c r="CF153" s="4">
        <v>35</v>
      </c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>
        <v>60</v>
      </c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</row>
    <row r="154">
      <c r="A154" s="2" t="s">
        <v>1367</v>
      </c>
      <c r="B154" s="2" t="s">
        <v>542</v>
      </c>
      <c r="C154" s="2" t="s">
        <v>360</v>
      </c>
      <c r="D154" s="2" t="s">
        <v>1052</v>
      </c>
      <c r="E154" s="2" t="s">
        <v>545</v>
      </c>
      <c r="F154" s="2" t="s">
        <v>1368</v>
      </c>
      <c r="G154" s="2" t="s">
        <v>1368</v>
      </c>
      <c r="H154" s="2" t="s">
        <v>1368</v>
      </c>
      <c r="I154" s="2" t="s">
        <v>1369</v>
      </c>
      <c r="J154" s="2" t="s">
        <v>548</v>
      </c>
      <c r="K154" s="2" t="s">
        <v>223</v>
      </c>
      <c r="L154" s="3">
        <v>46.22</v>
      </c>
      <c r="M154" s="3">
        <v>48.53</v>
      </c>
      <c r="N154" s="3">
        <v>89.24</v>
      </c>
      <c r="O154" s="2" t="s">
        <v>224</v>
      </c>
      <c r="P154" s="2" t="s">
        <v>225</v>
      </c>
      <c r="Q154" s="2" t="s">
        <v>226</v>
      </c>
      <c r="R154" s="2" t="s">
        <v>227</v>
      </c>
      <c r="S154" s="2" t="s">
        <v>1370</v>
      </c>
      <c r="T154" s="2" t="s">
        <v>227</v>
      </c>
      <c r="U154" s="2" t="s">
        <v>1044</v>
      </c>
      <c r="V154" s="2" t="s">
        <v>945</v>
      </c>
      <c r="W154" s="2" t="s">
        <v>836</v>
      </c>
      <c r="X154" s="2" t="s">
        <v>227</v>
      </c>
      <c r="Y154" s="2" t="s">
        <v>1371</v>
      </c>
      <c r="Z154" s="4">
        <v>59</v>
      </c>
      <c r="AA154" s="4">
        <f>=ROUNDDOWN(11.8,0)</f>
      </c>
      <c r="AB154" s="5">
        <v>5</v>
      </c>
      <c r="AC154" s="2" t="s">
        <v>153</v>
      </c>
      <c r="AD154" s="4">
        <v>120</v>
      </c>
      <c r="AE154" s="4">
        <v>120</v>
      </c>
      <c r="AF154" s="6">
        <v>63</v>
      </c>
      <c r="AG154" s="6"/>
      <c r="AH154" s="7">
        <v>1</v>
      </c>
      <c r="AI154" s="4"/>
      <c r="AJ154" s="4">
        <f>=ROUNDDOWN({0},0)</f>
      </c>
      <c r="AK154" s="5"/>
      <c r="AL154" s="2" t="s">
        <v>227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/>
      <c r="BD154" s="8"/>
      <c r="BE154" s="4"/>
      <c r="BF154" s="8"/>
      <c r="BG154" s="7"/>
      <c r="BH154" s="7"/>
      <c r="BI154" s="7"/>
      <c r="BJ154" s="4">
        <v>12</v>
      </c>
      <c r="BK154" s="8">
        <v>664.78</v>
      </c>
      <c r="BL154" s="2" t="s">
        <v>1372</v>
      </c>
      <c r="BM154" s="7"/>
      <c r="BN154" s="7"/>
      <c r="BO154" s="4"/>
      <c r="BP154" s="8"/>
      <c r="BQ154" s="4"/>
      <c r="BR154" s="8"/>
      <c r="BS154" s="7"/>
      <c r="BT154" s="7"/>
      <c r="BU154" s="2" t="s">
        <v>1373</v>
      </c>
      <c r="BV154" s="2" t="s">
        <v>227</v>
      </c>
      <c r="BW154" s="2" t="s">
        <v>227</v>
      </c>
      <c r="BX154" s="2" t="s">
        <v>235</v>
      </c>
      <c r="BY154" s="2" t="s">
        <v>236</v>
      </c>
      <c r="BZ154" s="2" t="s">
        <v>224</v>
      </c>
      <c r="CA154" s="2" t="s">
        <v>1374</v>
      </c>
      <c r="CB154" s="2" t="s">
        <v>1375</v>
      </c>
      <c r="CC154" s="2" t="s">
        <v>239</v>
      </c>
      <c r="CD154" s="2" t="s">
        <v>227</v>
      </c>
      <c r="CE154" s="4"/>
      <c r="CF154" s="4">
        <v>59</v>
      </c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>
        <v>120</v>
      </c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</row>
    <row r="155">
      <c r="A155" s="2" t="s">
        <v>1376</v>
      </c>
      <c r="B155" s="2" t="s">
        <v>542</v>
      </c>
      <c r="C155" s="2" t="s">
        <v>360</v>
      </c>
      <c r="D155" s="2" t="s">
        <v>1039</v>
      </c>
      <c r="E155" s="2" t="s">
        <v>1377</v>
      </c>
      <c r="F155" s="2" t="s">
        <v>1378</v>
      </c>
      <c r="G155" s="2" t="s">
        <v>1378</v>
      </c>
      <c r="H155" s="2" t="s">
        <v>1378</v>
      </c>
      <c r="I155" s="2" t="s">
        <v>1379</v>
      </c>
      <c r="J155" s="2" t="s">
        <v>548</v>
      </c>
      <c r="K155" s="2" t="s">
        <v>264</v>
      </c>
      <c r="L155" s="3">
        <v>20.4</v>
      </c>
      <c r="M155" s="3">
        <v>21.42</v>
      </c>
      <c r="N155" s="3">
        <v>42.49</v>
      </c>
      <c r="O155" s="2" t="s">
        <v>224</v>
      </c>
      <c r="P155" s="2" t="s">
        <v>580</v>
      </c>
      <c r="Q155" s="2" t="s">
        <v>226</v>
      </c>
      <c r="R155" s="2" t="s">
        <v>227</v>
      </c>
      <c r="S155" s="2" t="s">
        <v>1380</v>
      </c>
      <c r="T155" s="2" t="s">
        <v>227</v>
      </c>
      <c r="U155" s="2" t="s">
        <v>552</v>
      </c>
      <c r="V155" s="2" t="s">
        <v>925</v>
      </c>
      <c r="W155" s="2" t="s">
        <v>1381</v>
      </c>
      <c r="X155" s="2" t="s">
        <v>227</v>
      </c>
      <c r="Y155" s="2" t="s">
        <v>1382</v>
      </c>
      <c r="Z155" s="4">
        <v>128</v>
      </c>
      <c r="AA155" s="4">
        <f>=ROUNDDOWN(32,0)</f>
      </c>
      <c r="AB155" s="5">
        <v>4</v>
      </c>
      <c r="AC155" s="2" t="s">
        <v>227</v>
      </c>
      <c r="AD155" s="4"/>
      <c r="AE155" s="4"/>
      <c r="AF155" s="6">
        <v>63</v>
      </c>
      <c r="AG155" s="6"/>
      <c r="AH155" s="7">
        <v>1</v>
      </c>
      <c r="AI155" s="4"/>
      <c r="AJ155" s="4">
        <f>=ROUNDDOWN({0},0)</f>
      </c>
      <c r="AK155" s="5"/>
      <c r="AL155" s="2" t="s">
        <v>227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/>
      <c r="AW155" s="8"/>
      <c r="AX155" s="4"/>
      <c r="AY155" s="8"/>
      <c r="AZ155" s="7"/>
      <c r="BA155" s="7"/>
      <c r="BB155" s="7"/>
      <c r="BC155" s="4"/>
      <c r="BD155" s="8"/>
      <c r="BE155" s="4"/>
      <c r="BF155" s="8"/>
      <c r="BG155" s="7"/>
      <c r="BH155" s="7"/>
      <c r="BI155" s="7"/>
      <c r="BJ155" s="4">
        <v>17</v>
      </c>
      <c r="BK155" s="8">
        <v>394.73</v>
      </c>
      <c r="BL155" s="2" t="s">
        <v>1177</v>
      </c>
      <c r="BM155" s="7"/>
      <c r="BN155" s="7"/>
      <c r="BO155" s="4"/>
      <c r="BP155" s="8"/>
      <c r="BQ155" s="4"/>
      <c r="BR155" s="8"/>
      <c r="BS155" s="7"/>
      <c r="BT155" s="7"/>
      <c r="BU155" s="2" t="s">
        <v>1383</v>
      </c>
      <c r="BV155" s="2" t="s">
        <v>227</v>
      </c>
      <c r="BW155" s="2" t="s">
        <v>227</v>
      </c>
      <c r="BX155" s="2" t="s">
        <v>235</v>
      </c>
      <c r="BY155" s="2" t="s">
        <v>236</v>
      </c>
      <c r="BZ155" s="2" t="s">
        <v>224</v>
      </c>
      <c r="CA155" s="2" t="s">
        <v>1384</v>
      </c>
      <c r="CB155" s="2" t="s">
        <v>1385</v>
      </c>
      <c r="CC155" s="2" t="s">
        <v>239</v>
      </c>
      <c r="CD155" s="2" t="s">
        <v>227</v>
      </c>
      <c r="CE155" s="4"/>
      <c r="CF155" s="4">
        <v>128</v>
      </c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</row>
    <row r="156">
      <c r="A156" s="2" t="s">
        <v>1386</v>
      </c>
      <c r="B156" s="2" t="s">
        <v>573</v>
      </c>
      <c r="C156" s="2" t="s">
        <v>668</v>
      </c>
      <c r="D156" s="2" t="s">
        <v>574</v>
      </c>
      <c r="E156" s="2" t="s">
        <v>575</v>
      </c>
      <c r="F156" s="2" t="s">
        <v>1387</v>
      </c>
      <c r="G156" s="2" t="s">
        <v>1387</v>
      </c>
      <c r="H156" s="2" t="s">
        <v>1387</v>
      </c>
      <c r="I156" s="2" t="s">
        <v>1388</v>
      </c>
      <c r="J156" s="2" t="s">
        <v>548</v>
      </c>
      <c r="K156" s="2" t="s">
        <v>1389</v>
      </c>
      <c r="L156" s="3">
        <v>213.75</v>
      </c>
      <c r="M156" s="3">
        <v>224.44</v>
      </c>
      <c r="N156" s="3">
        <v>449</v>
      </c>
      <c r="O156" s="2" t="s">
        <v>224</v>
      </c>
      <c r="P156" s="2" t="s">
        <v>225</v>
      </c>
      <c r="Q156" s="2" t="s">
        <v>226</v>
      </c>
      <c r="R156" s="2" t="s">
        <v>227</v>
      </c>
      <c r="S156" s="2" t="s">
        <v>227</v>
      </c>
      <c r="T156" s="2" t="s">
        <v>227</v>
      </c>
      <c r="U156" s="2" t="s">
        <v>552</v>
      </c>
      <c r="V156" s="2" t="s">
        <v>566</v>
      </c>
      <c r="W156" s="2" t="s">
        <v>581</v>
      </c>
      <c r="X156" s="2" t="s">
        <v>231</v>
      </c>
      <c r="Y156" s="2" t="s">
        <v>1390</v>
      </c>
      <c r="Z156" s="4">
        <v>108</v>
      </c>
      <c r="AA156" s="4">
        <f>=ROUNDDOWN(21.6,0)</f>
      </c>
      <c r="AB156" s="5">
        <v>5</v>
      </c>
      <c r="AC156" s="2" t="s">
        <v>1391</v>
      </c>
      <c r="AD156" s="4">
        <v>180</v>
      </c>
      <c r="AE156" s="4">
        <v>180</v>
      </c>
      <c r="AF156" s="6">
        <v>74</v>
      </c>
      <c r="AG156" s="6"/>
      <c r="AH156" s="7">
        <v>1</v>
      </c>
      <c r="AI156" s="4"/>
      <c r="AJ156" s="4">
        <f>=ROUNDDOWN({0},0)</f>
      </c>
      <c r="AK156" s="5"/>
      <c r="AL156" s="2" t="s">
        <v>227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/>
      <c r="AW156" s="8"/>
      <c r="AX156" s="4"/>
      <c r="AY156" s="8"/>
      <c r="AZ156" s="7"/>
      <c r="BA156" s="7"/>
      <c r="BB156" s="7"/>
      <c r="BC156" s="4"/>
      <c r="BD156" s="8"/>
      <c r="BE156" s="4"/>
      <c r="BF156" s="8"/>
      <c r="BG156" s="7"/>
      <c r="BH156" s="7"/>
      <c r="BI156" s="7"/>
      <c r="BJ156" s="4">
        <v>20</v>
      </c>
      <c r="BK156" s="8">
        <v>4580.8</v>
      </c>
      <c r="BL156" s="2" t="s">
        <v>1392</v>
      </c>
      <c r="BM156" s="7"/>
      <c r="BN156" s="7"/>
      <c r="BO156" s="4"/>
      <c r="BP156" s="8"/>
      <c r="BQ156" s="4"/>
      <c r="BR156" s="8"/>
      <c r="BS156" s="7"/>
      <c r="BT156" s="7"/>
      <c r="BU156" s="2" t="s">
        <v>1393</v>
      </c>
      <c r="BV156" s="2" t="s">
        <v>227</v>
      </c>
      <c r="BW156" s="2" t="s">
        <v>227</v>
      </c>
      <c r="BX156" s="2" t="s">
        <v>235</v>
      </c>
      <c r="BY156" s="2" t="s">
        <v>236</v>
      </c>
      <c r="BZ156" s="2" t="s">
        <v>224</v>
      </c>
      <c r="CA156" s="2" t="s">
        <v>1394</v>
      </c>
      <c r="CB156" s="2" t="s">
        <v>1395</v>
      </c>
      <c r="CC156" s="2" t="s">
        <v>239</v>
      </c>
      <c r="CD156" s="2" t="s">
        <v>227</v>
      </c>
      <c r="CE156" s="4"/>
      <c r="CF156" s="4">
        <v>108</v>
      </c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>
        <v>180</v>
      </c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</row>
    <row r="157">
      <c r="A157" s="2" t="s">
        <v>1396</v>
      </c>
      <c r="B157" s="2" t="s">
        <v>573</v>
      </c>
      <c r="C157" s="2" t="s">
        <v>668</v>
      </c>
      <c r="D157" s="2" t="s">
        <v>1230</v>
      </c>
      <c r="E157" s="2" t="s">
        <v>1231</v>
      </c>
      <c r="F157" s="2" t="s">
        <v>1397</v>
      </c>
      <c r="G157" s="2" t="s">
        <v>1397</v>
      </c>
      <c r="H157" s="2" t="s">
        <v>1397</v>
      </c>
      <c r="I157" s="2" t="s">
        <v>1398</v>
      </c>
      <c r="J157" s="2" t="s">
        <v>548</v>
      </c>
      <c r="K157" s="2" t="s">
        <v>223</v>
      </c>
      <c r="L157" s="3">
        <v>193.5</v>
      </c>
      <c r="M157" s="3">
        <v>203.18</v>
      </c>
      <c r="N157" s="3">
        <v>399</v>
      </c>
      <c r="O157" s="2" t="s">
        <v>224</v>
      </c>
      <c r="P157" s="2" t="s">
        <v>225</v>
      </c>
      <c r="Q157" s="2" t="s">
        <v>226</v>
      </c>
      <c r="R157" s="2" t="s">
        <v>227</v>
      </c>
      <c r="S157" s="2" t="s">
        <v>1399</v>
      </c>
      <c r="T157" s="2" t="s">
        <v>227</v>
      </c>
      <c r="U157" s="2" t="s">
        <v>227</v>
      </c>
      <c r="V157" s="2" t="s">
        <v>230</v>
      </c>
      <c r="W157" s="2" t="s">
        <v>676</v>
      </c>
      <c r="X157" s="2" t="s">
        <v>227</v>
      </c>
      <c r="Y157" s="2" t="s">
        <v>232</v>
      </c>
      <c r="Z157" s="4">
        <v>162</v>
      </c>
      <c r="AA157" s="4">
        <f>=ROUNDDOWN(13.5,0)</f>
      </c>
      <c r="AB157" s="5">
        <v>12</v>
      </c>
      <c r="AC157" s="2" t="s">
        <v>183</v>
      </c>
      <c r="AD157" s="4">
        <v>100</v>
      </c>
      <c r="AE157" s="4">
        <v>250</v>
      </c>
      <c r="AF157" s="6">
        <v>66</v>
      </c>
      <c r="AG157" s="6"/>
      <c r="AH157" s="7">
        <v>1</v>
      </c>
      <c r="AI157" s="4"/>
      <c r="AJ157" s="4">
        <f>=ROUNDDOWN({0},0)</f>
      </c>
      <c r="AK157" s="5"/>
      <c r="AL157" s="2" t="s">
        <v>227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/>
      <c r="AW157" s="8"/>
      <c r="AX157" s="4"/>
      <c r="AY157" s="8"/>
      <c r="AZ157" s="7"/>
      <c r="BA157" s="7"/>
      <c r="BB157" s="7"/>
      <c r="BC157" s="4"/>
      <c r="BD157" s="8"/>
      <c r="BE157" s="4"/>
      <c r="BF157" s="8"/>
      <c r="BG157" s="7"/>
      <c r="BH157" s="7"/>
      <c r="BI157" s="7"/>
      <c r="BJ157" s="4">
        <v>32</v>
      </c>
      <c r="BK157" s="8">
        <v>6268.86</v>
      </c>
      <c r="BL157" s="2" t="s">
        <v>1400</v>
      </c>
      <c r="BM157" s="7"/>
      <c r="BN157" s="7"/>
      <c r="BO157" s="4"/>
      <c r="BP157" s="8"/>
      <c r="BQ157" s="4"/>
      <c r="BR157" s="8"/>
      <c r="BS157" s="7"/>
      <c r="BT157" s="7"/>
      <c r="BU157" s="2" t="s">
        <v>1401</v>
      </c>
      <c r="BV157" s="2" t="s">
        <v>227</v>
      </c>
      <c r="BW157" s="2" t="s">
        <v>227</v>
      </c>
      <c r="BX157" s="2" t="s">
        <v>235</v>
      </c>
      <c r="BY157" s="2" t="s">
        <v>236</v>
      </c>
      <c r="BZ157" s="2" t="s">
        <v>224</v>
      </c>
      <c r="CA157" s="2" t="s">
        <v>1402</v>
      </c>
      <c r="CB157" s="2" t="s">
        <v>1403</v>
      </c>
      <c r="CC157" s="2" t="s">
        <v>239</v>
      </c>
      <c r="CD157" s="2" t="s">
        <v>227</v>
      </c>
      <c r="CE157" s="4"/>
      <c r="CF157" s="4">
        <v>162</v>
      </c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>
        <v>100</v>
      </c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>
        <v>150</v>
      </c>
      <c r="GP157" s="4"/>
      <c r="GQ157" s="4"/>
      <c r="GR157" s="4"/>
      <c r="GS157" s="4"/>
      <c r="GT157" s="4"/>
      <c r="GU157" s="4"/>
      <c r="GV157" s="4"/>
      <c r="GW157" s="4"/>
      <c r="GX157" s="4"/>
    </row>
    <row r="158">
      <c r="A158" s="2" t="s">
        <v>1404</v>
      </c>
      <c r="B158" s="2" t="s">
        <v>1001</v>
      </c>
      <c r="C158" s="2" t="s">
        <v>1139</v>
      </c>
      <c r="D158" s="2" t="s">
        <v>1140</v>
      </c>
      <c r="E158" s="2" t="s">
        <v>1141</v>
      </c>
      <c r="F158" s="2" t="s">
        <v>1405</v>
      </c>
      <c r="G158" s="2" t="s">
        <v>1405</v>
      </c>
      <c r="H158" s="2" t="s">
        <v>1405</v>
      </c>
      <c r="I158" s="2" t="s">
        <v>1406</v>
      </c>
      <c r="J158" s="2" t="s">
        <v>548</v>
      </c>
      <c r="K158" s="2" t="s">
        <v>223</v>
      </c>
      <c r="L158" s="3">
        <v>54.94</v>
      </c>
      <c r="M158" s="3">
        <v>57.69</v>
      </c>
      <c r="N158" s="3">
        <v>119.99</v>
      </c>
      <c r="O158" s="2" t="s">
        <v>224</v>
      </c>
      <c r="P158" s="2" t="s">
        <v>550</v>
      </c>
      <c r="Q158" s="2" t="s">
        <v>226</v>
      </c>
      <c r="R158" s="2" t="s">
        <v>227</v>
      </c>
      <c r="S158" s="2" t="s">
        <v>227</v>
      </c>
      <c r="T158" s="2" t="s">
        <v>227</v>
      </c>
      <c r="U158" s="2" t="s">
        <v>227</v>
      </c>
      <c r="V158" s="2" t="s">
        <v>230</v>
      </c>
      <c r="W158" s="2" t="s">
        <v>227</v>
      </c>
      <c r="X158" s="2" t="s">
        <v>227</v>
      </c>
      <c r="Y158" s="2" t="s">
        <v>825</v>
      </c>
      <c r="Z158" s="4">
        <v>99</v>
      </c>
      <c r="AA158" s="4">
        <f>=ROUNDDOWN(16.5,0)</f>
      </c>
      <c r="AB158" s="5">
        <v>6</v>
      </c>
      <c r="AC158" s="2" t="s">
        <v>159</v>
      </c>
      <c r="AD158" s="4">
        <v>100</v>
      </c>
      <c r="AE158" s="4">
        <v>100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227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/>
      <c r="BD158" s="8"/>
      <c r="BE158" s="4"/>
      <c r="BF158" s="8"/>
      <c r="BG158" s="7"/>
      <c r="BH158" s="7"/>
      <c r="BI158" s="7"/>
      <c r="BJ158" s="4">
        <v>17</v>
      </c>
      <c r="BK158" s="8">
        <v>986.12</v>
      </c>
      <c r="BL158" s="2" t="s">
        <v>1407</v>
      </c>
      <c r="BM158" s="7"/>
      <c r="BN158" s="7"/>
      <c r="BO158" s="4"/>
      <c r="BP158" s="8"/>
      <c r="BQ158" s="4"/>
      <c r="BR158" s="8"/>
      <c r="BS158" s="7"/>
      <c r="BT158" s="7"/>
      <c r="BU158" s="2" t="s">
        <v>1408</v>
      </c>
      <c r="BV158" s="2" t="s">
        <v>227</v>
      </c>
      <c r="BW158" s="2" t="s">
        <v>227</v>
      </c>
      <c r="BX158" s="2" t="s">
        <v>235</v>
      </c>
      <c r="BY158" s="2" t="s">
        <v>236</v>
      </c>
      <c r="BZ158" s="2" t="s">
        <v>224</v>
      </c>
      <c r="CA158" s="2" t="s">
        <v>1409</v>
      </c>
      <c r="CB158" s="2" t="s">
        <v>1410</v>
      </c>
      <c r="CC158" s="2" t="s">
        <v>239</v>
      </c>
      <c r="CD158" s="2" t="s">
        <v>227</v>
      </c>
      <c r="CE158" s="4"/>
      <c r="CF158" s="4">
        <v>99</v>
      </c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>
        <v>100</v>
      </c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</row>
    <row r="159">
      <c r="A159" s="2" t="s">
        <v>1411</v>
      </c>
      <c r="B159" s="2" t="s">
        <v>573</v>
      </c>
      <c r="C159" s="2" t="s">
        <v>360</v>
      </c>
      <c r="D159" s="2" t="s">
        <v>832</v>
      </c>
      <c r="E159" s="2" t="s">
        <v>833</v>
      </c>
      <c r="F159" s="2" t="s">
        <v>1412</v>
      </c>
      <c r="G159" s="2" t="s">
        <v>1413</v>
      </c>
      <c r="H159" s="2" t="s">
        <v>1414</v>
      </c>
      <c r="I159" s="2" t="s">
        <v>1415</v>
      </c>
      <c r="J159" s="2" t="s">
        <v>548</v>
      </c>
      <c r="K159" s="2" t="s">
        <v>410</v>
      </c>
      <c r="L159" s="3">
        <v>276</v>
      </c>
      <c r="M159" s="3">
        <v>289.8</v>
      </c>
      <c r="N159" s="3">
        <v>579</v>
      </c>
      <c r="O159" s="2" t="s">
        <v>224</v>
      </c>
      <c r="P159" s="2" t="s">
        <v>580</v>
      </c>
      <c r="Q159" s="2" t="s">
        <v>226</v>
      </c>
      <c r="R159" s="2" t="s">
        <v>227</v>
      </c>
      <c r="S159" s="2" t="s">
        <v>1416</v>
      </c>
      <c r="T159" s="2" t="s">
        <v>227</v>
      </c>
      <c r="U159" s="2" t="s">
        <v>552</v>
      </c>
      <c r="V159" s="2" t="s">
        <v>230</v>
      </c>
      <c r="W159" s="2" t="s">
        <v>581</v>
      </c>
      <c r="X159" s="2" t="s">
        <v>227</v>
      </c>
      <c r="Y159" s="2" t="s">
        <v>1417</v>
      </c>
      <c r="Z159" s="4">
        <v>107</v>
      </c>
      <c r="AA159" s="4">
        <f>=ROUNDDOWN(26.75,0)</f>
      </c>
      <c r="AB159" s="5">
        <v>4</v>
      </c>
      <c r="AC159" s="2" t="s">
        <v>195</v>
      </c>
      <c r="AD159" s="4">
        <v>100</v>
      </c>
      <c r="AE159" s="4">
        <v>100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227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/>
      <c r="AW159" s="8"/>
      <c r="AX159" s="4"/>
      <c r="AY159" s="8"/>
      <c r="AZ159" s="7"/>
      <c r="BA159" s="7"/>
      <c r="BB159" s="7"/>
      <c r="BC159" s="4"/>
      <c r="BD159" s="8"/>
      <c r="BE159" s="4"/>
      <c r="BF159" s="8"/>
      <c r="BG159" s="7"/>
      <c r="BH159" s="7"/>
      <c r="BI159" s="7"/>
      <c r="BJ159" s="4">
        <v>2</v>
      </c>
      <c r="BK159" s="8">
        <v>579.6</v>
      </c>
      <c r="BL159" s="2" t="s">
        <v>1418</v>
      </c>
      <c r="BM159" s="7"/>
      <c r="BN159" s="7"/>
      <c r="BO159" s="4"/>
      <c r="BP159" s="8"/>
      <c r="BQ159" s="4"/>
      <c r="BR159" s="8"/>
      <c r="BS159" s="7"/>
      <c r="BT159" s="7"/>
      <c r="BU159" s="2" t="s">
        <v>1419</v>
      </c>
      <c r="BV159" s="2" t="s">
        <v>227</v>
      </c>
      <c r="BW159" s="2" t="s">
        <v>227</v>
      </c>
      <c r="BX159" s="2" t="s">
        <v>235</v>
      </c>
      <c r="BY159" s="2" t="s">
        <v>236</v>
      </c>
      <c r="BZ159" s="2" t="s">
        <v>224</v>
      </c>
      <c r="CA159" s="2" t="s">
        <v>1420</v>
      </c>
      <c r="CB159" s="2" t="s">
        <v>1421</v>
      </c>
      <c r="CC159" s="2" t="s">
        <v>239</v>
      </c>
      <c r="CD159" s="2" t="s">
        <v>227</v>
      </c>
      <c r="CE159" s="4"/>
      <c r="CF159" s="4">
        <v>107</v>
      </c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>
        <v>100</v>
      </c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  <c r="GW159" s="4"/>
      <c r="GX159" s="4"/>
    </row>
    <row r="160">
      <c r="A160" s="2" t="s">
        <v>1422</v>
      </c>
      <c r="B160" s="2" t="s">
        <v>697</v>
      </c>
      <c r="C160" s="2" t="s">
        <v>668</v>
      </c>
      <c r="D160" s="2" t="s">
        <v>1423</v>
      </c>
      <c r="E160" s="2" t="s">
        <v>1424</v>
      </c>
      <c r="F160" s="2" t="s">
        <v>1425</v>
      </c>
      <c r="G160" s="2" t="s">
        <v>1425</v>
      </c>
      <c r="H160" s="2" t="s">
        <v>1425</v>
      </c>
      <c r="I160" s="2" t="s">
        <v>1426</v>
      </c>
      <c r="J160" s="2" t="s">
        <v>1427</v>
      </c>
      <c r="K160" s="2" t="s">
        <v>1428</v>
      </c>
      <c r="L160" s="3">
        <v>10.58</v>
      </c>
      <c r="M160" s="3">
        <v>11.11</v>
      </c>
      <c r="N160" s="3">
        <v>22.99</v>
      </c>
      <c r="O160" s="2" t="s">
        <v>224</v>
      </c>
      <c r="P160" s="2" t="s">
        <v>580</v>
      </c>
      <c r="Q160" s="2" t="s">
        <v>226</v>
      </c>
      <c r="R160" s="2" t="s">
        <v>227</v>
      </c>
      <c r="S160" s="2" t="s">
        <v>1429</v>
      </c>
      <c r="T160" s="2" t="s">
        <v>1430</v>
      </c>
      <c r="U160" s="2" t="s">
        <v>552</v>
      </c>
      <c r="V160" s="2" t="s">
        <v>230</v>
      </c>
      <c r="W160" s="2" t="s">
        <v>231</v>
      </c>
      <c r="X160" s="2" t="s">
        <v>706</v>
      </c>
      <c r="Y160" s="2" t="s">
        <v>783</v>
      </c>
      <c r="Z160" s="4">
        <v>526</v>
      </c>
      <c r="AA160" s="4">
        <f>=ROUNDDOWN(87.6666666666667,0)</f>
      </c>
      <c r="AB160" s="5">
        <v>6</v>
      </c>
      <c r="AC160" s="2" t="s">
        <v>227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227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227</v>
      </c>
      <c r="AW160" s="8" t="s">
        <v>227</v>
      </c>
      <c r="AX160" s="4" t="s">
        <v>227</v>
      </c>
      <c r="AY160" s="8" t="s">
        <v>227</v>
      </c>
      <c r="AZ160" s="7" t="s">
        <v>227</v>
      </c>
      <c r="BA160" s="7" t="s">
        <v>227</v>
      </c>
      <c r="BB160" s="7"/>
      <c r="BC160" s="4" t="s">
        <v>227</v>
      </c>
      <c r="BD160" s="8" t="s">
        <v>227</v>
      </c>
      <c r="BE160" s="4" t="s">
        <v>227</v>
      </c>
      <c r="BF160" s="8" t="s">
        <v>227</v>
      </c>
      <c r="BG160" s="7" t="s">
        <v>227</v>
      </c>
      <c r="BH160" s="7" t="s">
        <v>227</v>
      </c>
      <c r="BI160" s="7"/>
      <c r="BJ160" s="4">
        <v>9</v>
      </c>
      <c r="BK160" s="8">
        <v>106.13</v>
      </c>
      <c r="BL160" s="2" t="s">
        <v>266</v>
      </c>
      <c r="BM160" s="7"/>
      <c r="BN160" s="7"/>
      <c r="BO160" s="4"/>
      <c r="BP160" s="8"/>
      <c r="BQ160" s="4"/>
      <c r="BR160" s="8"/>
      <c r="BS160" s="7"/>
      <c r="BT160" s="7"/>
      <c r="BU160" s="2" t="s">
        <v>1431</v>
      </c>
      <c r="BV160" s="2" t="s">
        <v>227</v>
      </c>
      <c r="BW160" s="2" t="s">
        <v>227</v>
      </c>
      <c r="BX160" s="2" t="s">
        <v>235</v>
      </c>
      <c r="BY160" s="2" t="s">
        <v>236</v>
      </c>
      <c r="BZ160" s="2" t="s">
        <v>224</v>
      </c>
      <c r="CA160" s="2" t="s">
        <v>570</v>
      </c>
      <c r="CB160" s="2" t="s">
        <v>571</v>
      </c>
      <c r="CC160" s="2" t="s">
        <v>239</v>
      </c>
      <c r="CD160" s="2" t="s">
        <v>227</v>
      </c>
      <c r="CE160" s="4">
        <v>526</v>
      </c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  <c r="GW160" s="4"/>
      <c r="GX160" s="4"/>
    </row>
    <row r="161">
      <c r="A161" s="2" t="s">
        <v>1432</v>
      </c>
      <c r="B161" s="2" t="s">
        <v>697</v>
      </c>
      <c r="C161" s="2" t="s">
        <v>668</v>
      </c>
      <c r="D161" s="2" t="s">
        <v>1423</v>
      </c>
      <c r="E161" s="2" t="s">
        <v>1424</v>
      </c>
      <c r="F161" s="2" t="s">
        <v>1425</v>
      </c>
      <c r="G161" s="2" t="s">
        <v>1425</v>
      </c>
      <c r="H161" s="2" t="s">
        <v>1425</v>
      </c>
      <c r="I161" s="2" t="s">
        <v>1433</v>
      </c>
      <c r="J161" s="2" t="s">
        <v>1434</v>
      </c>
      <c r="K161" s="2" t="s">
        <v>1428</v>
      </c>
      <c r="L161" s="3">
        <v>12.96</v>
      </c>
      <c r="M161" s="3">
        <v>13.61</v>
      </c>
      <c r="N161" s="3">
        <v>26.99</v>
      </c>
      <c r="O161" s="2" t="s">
        <v>224</v>
      </c>
      <c r="P161" s="2" t="s">
        <v>580</v>
      </c>
      <c r="Q161" s="2" t="s">
        <v>226</v>
      </c>
      <c r="R161" s="2" t="s">
        <v>227</v>
      </c>
      <c r="S161" s="2" t="s">
        <v>1429</v>
      </c>
      <c r="T161" s="2" t="s">
        <v>1430</v>
      </c>
      <c r="U161" s="2" t="s">
        <v>552</v>
      </c>
      <c r="V161" s="2" t="s">
        <v>230</v>
      </c>
      <c r="W161" s="2" t="s">
        <v>231</v>
      </c>
      <c r="X161" s="2" t="s">
        <v>706</v>
      </c>
      <c r="Y161" s="2" t="s">
        <v>783</v>
      </c>
      <c r="Z161" s="4">
        <v>725</v>
      </c>
      <c r="AA161" s="4">
        <f>=ROUNDDOWN(60.4166666666667,0)</f>
      </c>
      <c r="AB161" s="5">
        <v>12</v>
      </c>
      <c r="AC161" s="2" t="s">
        <v>227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227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227</v>
      </c>
      <c r="AW161" s="8" t="s">
        <v>227</v>
      </c>
      <c r="AX161" s="4" t="s">
        <v>227</v>
      </c>
      <c r="AY161" s="8" t="s">
        <v>227</v>
      </c>
      <c r="AZ161" s="7" t="s">
        <v>227</v>
      </c>
      <c r="BA161" s="7" t="s">
        <v>227</v>
      </c>
      <c r="BB161" s="7"/>
      <c r="BC161" s="4" t="s">
        <v>227</v>
      </c>
      <c r="BD161" s="8" t="s">
        <v>227</v>
      </c>
      <c r="BE161" s="4" t="s">
        <v>227</v>
      </c>
      <c r="BF161" s="8" t="s">
        <v>227</v>
      </c>
      <c r="BG161" s="7" t="s">
        <v>227</v>
      </c>
      <c r="BH161" s="7" t="s">
        <v>227</v>
      </c>
      <c r="BI161" s="7"/>
      <c r="BJ161" s="4">
        <v>6</v>
      </c>
      <c r="BK161" s="8">
        <v>82.22</v>
      </c>
      <c r="BL161" s="2" t="s">
        <v>1435</v>
      </c>
      <c r="BM161" s="7"/>
      <c r="BN161" s="7"/>
      <c r="BO161" s="4"/>
      <c r="BP161" s="8"/>
      <c r="BQ161" s="4"/>
      <c r="BR161" s="8"/>
      <c r="BS161" s="7"/>
      <c r="BT161" s="7"/>
      <c r="BU161" s="2" t="s">
        <v>1436</v>
      </c>
      <c r="BV161" s="2" t="s">
        <v>227</v>
      </c>
      <c r="BW161" s="2" t="s">
        <v>227</v>
      </c>
      <c r="BX161" s="2" t="s">
        <v>235</v>
      </c>
      <c r="BY161" s="2" t="s">
        <v>236</v>
      </c>
      <c r="BZ161" s="2" t="s">
        <v>224</v>
      </c>
      <c r="CA161" s="2" t="s">
        <v>570</v>
      </c>
      <c r="CB161" s="2" t="s">
        <v>227</v>
      </c>
      <c r="CC161" s="2" t="s">
        <v>239</v>
      </c>
      <c r="CD161" s="2" t="s">
        <v>227</v>
      </c>
      <c r="CE161" s="4">
        <v>725</v>
      </c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  <c r="GW161" s="4"/>
      <c r="GX161" s="4"/>
    </row>
    <row r="162">
      <c r="A162" s="2" t="s">
        <v>1437</v>
      </c>
      <c r="B162" s="2" t="s">
        <v>697</v>
      </c>
      <c r="C162" s="2" t="s">
        <v>668</v>
      </c>
      <c r="D162" s="2" t="s">
        <v>1423</v>
      </c>
      <c r="E162" s="2" t="s">
        <v>1424</v>
      </c>
      <c r="F162" s="2" t="s">
        <v>1425</v>
      </c>
      <c r="G162" s="2" t="s">
        <v>1425</v>
      </c>
      <c r="H162" s="2" t="s">
        <v>1425</v>
      </c>
      <c r="I162" s="2" t="s">
        <v>1438</v>
      </c>
      <c r="J162" s="2" t="s">
        <v>1439</v>
      </c>
      <c r="K162" s="2" t="s">
        <v>1428</v>
      </c>
      <c r="L162" s="3">
        <v>18.4</v>
      </c>
      <c r="M162" s="3">
        <v>19.32</v>
      </c>
      <c r="N162" s="3">
        <v>39.99</v>
      </c>
      <c r="O162" s="2" t="s">
        <v>224</v>
      </c>
      <c r="P162" s="2" t="s">
        <v>580</v>
      </c>
      <c r="Q162" s="2" t="s">
        <v>226</v>
      </c>
      <c r="R162" s="2" t="s">
        <v>227</v>
      </c>
      <c r="S162" s="2" t="s">
        <v>1429</v>
      </c>
      <c r="T162" s="2" t="s">
        <v>1430</v>
      </c>
      <c r="U162" s="2" t="s">
        <v>552</v>
      </c>
      <c r="V162" s="2" t="s">
        <v>230</v>
      </c>
      <c r="W162" s="2" t="s">
        <v>231</v>
      </c>
      <c r="X162" s="2" t="s">
        <v>706</v>
      </c>
      <c r="Y162" s="2" t="s">
        <v>783</v>
      </c>
      <c r="Z162" s="4">
        <v>388</v>
      </c>
      <c r="AA162" s="4">
        <f>=ROUNDDOWN(64.6666666666667,0)</f>
      </c>
      <c r="AB162" s="5">
        <v>6</v>
      </c>
      <c r="AC162" s="2" t="s">
        <v>227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227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227</v>
      </c>
      <c r="AW162" s="8" t="s">
        <v>227</v>
      </c>
      <c r="AX162" s="4" t="s">
        <v>227</v>
      </c>
      <c r="AY162" s="8" t="s">
        <v>227</v>
      </c>
      <c r="AZ162" s="7" t="s">
        <v>227</v>
      </c>
      <c r="BA162" s="7" t="s">
        <v>227</v>
      </c>
      <c r="BB162" s="7"/>
      <c r="BC162" s="4" t="s">
        <v>227</v>
      </c>
      <c r="BD162" s="8" t="s">
        <v>227</v>
      </c>
      <c r="BE162" s="4" t="s">
        <v>227</v>
      </c>
      <c r="BF162" s="8" t="s">
        <v>227</v>
      </c>
      <c r="BG162" s="7" t="s">
        <v>227</v>
      </c>
      <c r="BH162" s="7" t="s">
        <v>227</v>
      </c>
      <c r="BI162" s="7"/>
      <c r="BJ162" s="4">
        <v>14</v>
      </c>
      <c r="BK162" s="8">
        <v>278.21</v>
      </c>
      <c r="BL162" s="2" t="s">
        <v>1440</v>
      </c>
      <c r="BM162" s="7"/>
      <c r="BN162" s="7"/>
      <c r="BO162" s="4"/>
      <c r="BP162" s="8"/>
      <c r="BQ162" s="4"/>
      <c r="BR162" s="8"/>
      <c r="BS162" s="7"/>
      <c r="BT162" s="7"/>
      <c r="BU162" s="2" t="s">
        <v>1441</v>
      </c>
      <c r="BV162" s="2" t="s">
        <v>227</v>
      </c>
      <c r="BW162" s="2" t="s">
        <v>227</v>
      </c>
      <c r="BX162" s="2" t="s">
        <v>235</v>
      </c>
      <c r="BY162" s="2" t="s">
        <v>236</v>
      </c>
      <c r="BZ162" s="2" t="s">
        <v>224</v>
      </c>
      <c r="CA162" s="2" t="s">
        <v>570</v>
      </c>
      <c r="CB162" s="2" t="s">
        <v>1164</v>
      </c>
      <c r="CC162" s="2" t="s">
        <v>239</v>
      </c>
      <c r="CD162" s="2" t="s">
        <v>227</v>
      </c>
      <c r="CE162" s="4">
        <v>388</v>
      </c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</row>
    <row r="163">
      <c r="A163" s="2" t="s">
        <v>1442</v>
      </c>
      <c r="B163" s="2" t="s">
        <v>697</v>
      </c>
      <c r="C163" s="2" t="s">
        <v>668</v>
      </c>
      <c r="D163" s="2" t="s">
        <v>1423</v>
      </c>
      <c r="E163" s="2" t="s">
        <v>1424</v>
      </c>
      <c r="F163" s="2" t="s">
        <v>1425</v>
      </c>
      <c r="G163" s="2" t="s">
        <v>1425</v>
      </c>
      <c r="H163" s="2" t="s">
        <v>1425</v>
      </c>
      <c r="I163" s="2" t="s">
        <v>1433</v>
      </c>
      <c r="J163" s="2" t="s">
        <v>1434</v>
      </c>
      <c r="K163" s="2" t="s">
        <v>780</v>
      </c>
      <c r="L163" s="3">
        <v>12.96</v>
      </c>
      <c r="M163" s="3">
        <v>13.61</v>
      </c>
      <c r="N163" s="3">
        <v>26.99</v>
      </c>
      <c r="O163" s="2" t="s">
        <v>224</v>
      </c>
      <c r="P163" s="2" t="s">
        <v>580</v>
      </c>
      <c r="Q163" s="2" t="s">
        <v>226</v>
      </c>
      <c r="R163" s="2" t="s">
        <v>227</v>
      </c>
      <c r="S163" s="2" t="s">
        <v>1443</v>
      </c>
      <c r="T163" s="2" t="s">
        <v>1430</v>
      </c>
      <c r="U163" s="2" t="s">
        <v>552</v>
      </c>
      <c r="V163" s="2" t="s">
        <v>230</v>
      </c>
      <c r="W163" s="2" t="s">
        <v>231</v>
      </c>
      <c r="X163" s="2" t="s">
        <v>706</v>
      </c>
      <c r="Y163" s="2" t="s">
        <v>783</v>
      </c>
      <c r="Z163" s="4">
        <v>207</v>
      </c>
      <c r="AA163" s="4">
        <f>=ROUNDDOWN(103.5,0)</f>
      </c>
      <c r="AB163" s="5">
        <v>2</v>
      </c>
      <c r="AC163" s="2" t="s">
        <v>227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227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 t="s">
        <v>227</v>
      </c>
      <c r="BD163" s="8" t="s">
        <v>227</v>
      </c>
      <c r="BE163" s="4" t="s">
        <v>227</v>
      </c>
      <c r="BF163" s="8" t="s">
        <v>227</v>
      </c>
      <c r="BG163" s="7" t="s">
        <v>227</v>
      </c>
      <c r="BH163" s="7" t="s">
        <v>227</v>
      </c>
      <c r="BI163" s="7"/>
      <c r="BJ163" s="4">
        <v>8</v>
      </c>
      <c r="BK163" s="8">
        <v>106.96</v>
      </c>
      <c r="BL163" s="2" t="s">
        <v>1444</v>
      </c>
      <c r="BM163" s="7"/>
      <c r="BN163" s="7"/>
      <c r="BO163" s="4"/>
      <c r="BP163" s="8"/>
      <c r="BQ163" s="4"/>
      <c r="BR163" s="8"/>
      <c r="BS163" s="7"/>
      <c r="BT163" s="7"/>
      <c r="BU163" s="2" t="s">
        <v>1445</v>
      </c>
      <c r="BV163" s="2" t="s">
        <v>227</v>
      </c>
      <c r="BW163" s="2" t="s">
        <v>227</v>
      </c>
      <c r="BX163" s="2" t="s">
        <v>235</v>
      </c>
      <c r="BY163" s="2" t="s">
        <v>236</v>
      </c>
      <c r="BZ163" s="2" t="s">
        <v>224</v>
      </c>
      <c r="CA163" s="2" t="s">
        <v>570</v>
      </c>
      <c r="CB163" s="2" t="s">
        <v>1446</v>
      </c>
      <c r="CC163" s="2" t="s">
        <v>239</v>
      </c>
      <c r="CD163" s="2" t="s">
        <v>227</v>
      </c>
      <c r="CE163" s="4">
        <v>207</v>
      </c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</row>
    <row r="164">
      <c r="A164" s="2" t="s">
        <v>1447</v>
      </c>
      <c r="B164" s="2" t="s">
        <v>697</v>
      </c>
      <c r="C164" s="2" t="s">
        <v>668</v>
      </c>
      <c r="D164" s="2" t="s">
        <v>1448</v>
      </c>
      <c r="E164" s="2" t="s">
        <v>1449</v>
      </c>
      <c r="F164" s="2" t="s">
        <v>1425</v>
      </c>
      <c r="G164" s="2" t="s">
        <v>1425</v>
      </c>
      <c r="H164" s="2" t="s">
        <v>1425</v>
      </c>
      <c r="I164" s="2" t="s">
        <v>1449</v>
      </c>
      <c r="J164" s="2" t="s">
        <v>222</v>
      </c>
      <c r="K164" s="2" t="s">
        <v>410</v>
      </c>
      <c r="L164" s="3">
        <v>30.35</v>
      </c>
      <c r="M164" s="3">
        <v>31.87</v>
      </c>
      <c r="N164" s="3">
        <v>65.99</v>
      </c>
      <c r="O164" s="2" t="s">
        <v>224</v>
      </c>
      <c r="P164" s="2" t="s">
        <v>225</v>
      </c>
      <c r="Q164" s="2" t="s">
        <v>226</v>
      </c>
      <c r="R164" s="2" t="s">
        <v>227</v>
      </c>
      <c r="S164" s="2" t="s">
        <v>1450</v>
      </c>
      <c r="T164" s="2" t="s">
        <v>1430</v>
      </c>
      <c r="U164" s="2" t="s">
        <v>552</v>
      </c>
      <c r="V164" s="2" t="s">
        <v>230</v>
      </c>
      <c r="W164" s="2" t="s">
        <v>231</v>
      </c>
      <c r="X164" s="2" t="s">
        <v>706</v>
      </c>
      <c r="Y164" s="2" t="s">
        <v>1451</v>
      </c>
      <c r="Z164" s="4">
        <v>151</v>
      </c>
      <c r="AA164" s="4">
        <f>=ROUNDDOWN(30.2,0)</f>
      </c>
      <c r="AB164" s="5">
        <v>5</v>
      </c>
      <c r="AC164" s="2" t="s">
        <v>227</v>
      </c>
      <c r="AD164" s="4"/>
      <c r="AE164" s="4"/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227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227</v>
      </c>
      <c r="AW164" s="8" t="s">
        <v>227</v>
      </c>
      <c r="AX164" s="4" t="s">
        <v>227</v>
      </c>
      <c r="AY164" s="8" t="s">
        <v>227</v>
      </c>
      <c r="AZ164" s="7" t="s">
        <v>227</v>
      </c>
      <c r="BA164" s="7" t="s">
        <v>227</v>
      </c>
      <c r="BB164" s="7"/>
      <c r="BC164" s="4" t="s">
        <v>227</v>
      </c>
      <c r="BD164" s="8" t="s">
        <v>227</v>
      </c>
      <c r="BE164" s="4" t="s">
        <v>227</v>
      </c>
      <c r="BF164" s="8" t="s">
        <v>227</v>
      </c>
      <c r="BG164" s="7" t="s">
        <v>227</v>
      </c>
      <c r="BH164" s="7" t="s">
        <v>227</v>
      </c>
      <c r="BI164" s="7"/>
      <c r="BJ164" s="4">
        <v>12</v>
      </c>
      <c r="BK164" s="8">
        <v>438.46</v>
      </c>
      <c r="BL164" s="2" t="s">
        <v>1452</v>
      </c>
      <c r="BM164" s="7"/>
      <c r="BN164" s="7"/>
      <c r="BO164" s="4"/>
      <c r="BP164" s="8"/>
      <c r="BQ164" s="4"/>
      <c r="BR164" s="8"/>
      <c r="BS164" s="7"/>
      <c r="BT164" s="7"/>
      <c r="BU164" s="2" t="s">
        <v>1453</v>
      </c>
      <c r="BV164" s="2" t="s">
        <v>227</v>
      </c>
      <c r="BW164" s="2" t="s">
        <v>227</v>
      </c>
      <c r="BX164" s="2" t="s">
        <v>235</v>
      </c>
      <c r="BY164" s="2" t="s">
        <v>236</v>
      </c>
      <c r="BZ164" s="2" t="s">
        <v>224</v>
      </c>
      <c r="CA164" s="2" t="s">
        <v>1454</v>
      </c>
      <c r="CB164" s="2" t="s">
        <v>1455</v>
      </c>
      <c r="CC164" s="2" t="s">
        <v>239</v>
      </c>
      <c r="CD164" s="2" t="s">
        <v>227</v>
      </c>
      <c r="CE164" s="4">
        <v>114</v>
      </c>
      <c r="CF164" s="4"/>
      <c r="CG164" s="4"/>
      <c r="CH164" s="4">
        <v>37</v>
      </c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</row>
    <row r="165">
      <c r="A165" s="2" t="s">
        <v>1456</v>
      </c>
      <c r="B165" s="2" t="s">
        <v>697</v>
      </c>
      <c r="C165" s="2" t="s">
        <v>668</v>
      </c>
      <c r="D165" s="2" t="s">
        <v>1423</v>
      </c>
      <c r="E165" s="2" t="s">
        <v>1424</v>
      </c>
      <c r="F165" s="2" t="s">
        <v>1425</v>
      </c>
      <c r="G165" s="2" t="s">
        <v>1425</v>
      </c>
      <c r="H165" s="2" t="s">
        <v>1425</v>
      </c>
      <c r="I165" s="2" t="s">
        <v>1433</v>
      </c>
      <c r="J165" s="2" t="s">
        <v>1434</v>
      </c>
      <c r="K165" s="2" t="s">
        <v>410</v>
      </c>
      <c r="L165" s="3">
        <v>12.96</v>
      </c>
      <c r="M165" s="3">
        <v>13.61</v>
      </c>
      <c r="N165" s="3">
        <v>26.99</v>
      </c>
      <c r="O165" s="2" t="s">
        <v>224</v>
      </c>
      <c r="P165" s="2" t="s">
        <v>225</v>
      </c>
      <c r="Q165" s="2" t="s">
        <v>226</v>
      </c>
      <c r="R165" s="2" t="s">
        <v>227</v>
      </c>
      <c r="S165" s="2" t="s">
        <v>1450</v>
      </c>
      <c r="T165" s="2" t="s">
        <v>1430</v>
      </c>
      <c r="U165" s="2" t="s">
        <v>552</v>
      </c>
      <c r="V165" s="2" t="s">
        <v>230</v>
      </c>
      <c r="W165" s="2" t="s">
        <v>231</v>
      </c>
      <c r="X165" s="2" t="s">
        <v>706</v>
      </c>
      <c r="Y165" s="2" t="s">
        <v>1457</v>
      </c>
      <c r="Z165" s="4">
        <v>278</v>
      </c>
      <c r="AA165" s="4">
        <f>=ROUNDDOWN(92.6666666666667,0)</f>
      </c>
      <c r="AB165" s="5">
        <v>3</v>
      </c>
      <c r="AC165" s="2" t="s">
        <v>227</v>
      </c>
      <c r="AD165" s="4"/>
      <c r="AE165" s="4"/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227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227</v>
      </c>
      <c r="AW165" s="8" t="s">
        <v>227</v>
      </c>
      <c r="AX165" s="4" t="s">
        <v>227</v>
      </c>
      <c r="AY165" s="8" t="s">
        <v>227</v>
      </c>
      <c r="AZ165" s="7" t="s">
        <v>227</v>
      </c>
      <c r="BA165" s="7" t="s">
        <v>227</v>
      </c>
      <c r="BB165" s="7"/>
      <c r="BC165" s="4" t="s">
        <v>227</v>
      </c>
      <c r="BD165" s="8" t="s">
        <v>227</v>
      </c>
      <c r="BE165" s="4" t="s">
        <v>227</v>
      </c>
      <c r="BF165" s="8" t="s">
        <v>227</v>
      </c>
      <c r="BG165" s="7" t="s">
        <v>227</v>
      </c>
      <c r="BH165" s="7" t="s">
        <v>227</v>
      </c>
      <c r="BI165" s="7"/>
      <c r="BJ165" s="4">
        <v>8</v>
      </c>
      <c r="BK165" s="8">
        <v>105.04</v>
      </c>
      <c r="BL165" s="2" t="s">
        <v>1435</v>
      </c>
      <c r="BM165" s="7"/>
      <c r="BN165" s="7"/>
      <c r="BO165" s="4"/>
      <c r="BP165" s="8"/>
      <c r="BQ165" s="4"/>
      <c r="BR165" s="8"/>
      <c r="BS165" s="7"/>
      <c r="BT165" s="7"/>
      <c r="BU165" s="2" t="s">
        <v>1458</v>
      </c>
      <c r="BV165" s="2" t="s">
        <v>227</v>
      </c>
      <c r="BW165" s="2" t="s">
        <v>227</v>
      </c>
      <c r="BX165" s="2" t="s">
        <v>235</v>
      </c>
      <c r="BY165" s="2" t="s">
        <v>236</v>
      </c>
      <c r="BZ165" s="2" t="s">
        <v>224</v>
      </c>
      <c r="CA165" s="2" t="s">
        <v>1459</v>
      </c>
      <c r="CB165" s="2" t="s">
        <v>1460</v>
      </c>
      <c r="CC165" s="2" t="s">
        <v>239</v>
      </c>
      <c r="CD165" s="2" t="s">
        <v>227</v>
      </c>
      <c r="CE165" s="4">
        <v>278</v>
      </c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</row>
    <row r="166">
      <c r="A166" s="2" t="s">
        <v>1461</v>
      </c>
      <c r="B166" s="2" t="s">
        <v>697</v>
      </c>
      <c r="C166" s="2" t="s">
        <v>668</v>
      </c>
      <c r="D166" s="2" t="s">
        <v>1448</v>
      </c>
      <c r="E166" s="2" t="s">
        <v>1449</v>
      </c>
      <c r="F166" s="2" t="s">
        <v>1425</v>
      </c>
      <c r="G166" s="2" t="s">
        <v>1425</v>
      </c>
      <c r="H166" s="2" t="s">
        <v>1425</v>
      </c>
      <c r="I166" s="2" t="s">
        <v>1449</v>
      </c>
      <c r="J166" s="2" t="s">
        <v>222</v>
      </c>
      <c r="K166" s="2" t="s">
        <v>1264</v>
      </c>
      <c r="L166" s="3">
        <v>30.35</v>
      </c>
      <c r="M166" s="3">
        <v>31.87</v>
      </c>
      <c r="N166" s="3">
        <v>65.99</v>
      </c>
      <c r="O166" s="2" t="s">
        <v>224</v>
      </c>
      <c r="P166" s="2" t="s">
        <v>225</v>
      </c>
      <c r="Q166" s="2" t="s">
        <v>226</v>
      </c>
      <c r="R166" s="2" t="s">
        <v>227</v>
      </c>
      <c r="S166" s="2" t="s">
        <v>1462</v>
      </c>
      <c r="T166" s="2" t="s">
        <v>1430</v>
      </c>
      <c r="U166" s="2" t="s">
        <v>552</v>
      </c>
      <c r="V166" s="2" t="s">
        <v>230</v>
      </c>
      <c r="W166" s="2" t="s">
        <v>231</v>
      </c>
      <c r="X166" s="2" t="s">
        <v>706</v>
      </c>
      <c r="Y166" s="2" t="s">
        <v>1451</v>
      </c>
      <c r="Z166" s="4">
        <v>146</v>
      </c>
      <c r="AA166" s="4">
        <f>=ROUNDDOWN(29.2,0)</f>
      </c>
      <c r="AB166" s="5">
        <v>5</v>
      </c>
      <c r="AC166" s="2" t="s">
        <v>164</v>
      </c>
      <c r="AD166" s="4">
        <v>30</v>
      </c>
      <c r="AE166" s="4">
        <v>30</v>
      </c>
      <c r="AF166" s="6">
        <v>64</v>
      </c>
      <c r="AG166" s="6"/>
      <c r="AH166" s="7">
        <v>1</v>
      </c>
      <c r="AI166" s="4"/>
      <c r="AJ166" s="4">
        <f>=ROUNDDOWN({0},0)</f>
      </c>
      <c r="AK166" s="5"/>
      <c r="AL166" s="2" t="s">
        <v>227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 t="s">
        <v>227</v>
      </c>
      <c r="BD166" s="8" t="s">
        <v>227</v>
      </c>
      <c r="BE166" s="4" t="s">
        <v>227</v>
      </c>
      <c r="BF166" s="8" t="s">
        <v>227</v>
      </c>
      <c r="BG166" s="7" t="s">
        <v>227</v>
      </c>
      <c r="BH166" s="7" t="s">
        <v>227</v>
      </c>
      <c r="BI166" s="7"/>
      <c r="BJ166" s="4">
        <v>25</v>
      </c>
      <c r="BK166" s="8">
        <v>836.13</v>
      </c>
      <c r="BL166" s="2" t="s">
        <v>1463</v>
      </c>
      <c r="BM166" s="7"/>
      <c r="BN166" s="7"/>
      <c r="BO166" s="4"/>
      <c r="BP166" s="8"/>
      <c r="BQ166" s="4"/>
      <c r="BR166" s="8"/>
      <c r="BS166" s="7"/>
      <c r="BT166" s="7"/>
      <c r="BU166" s="2" t="s">
        <v>1464</v>
      </c>
      <c r="BV166" s="2" t="s">
        <v>227</v>
      </c>
      <c r="BW166" s="2" t="s">
        <v>227</v>
      </c>
      <c r="BX166" s="2" t="s">
        <v>235</v>
      </c>
      <c r="BY166" s="2" t="s">
        <v>236</v>
      </c>
      <c r="BZ166" s="2" t="s">
        <v>224</v>
      </c>
      <c r="CA166" s="2" t="s">
        <v>1454</v>
      </c>
      <c r="CB166" s="2" t="s">
        <v>1465</v>
      </c>
      <c r="CC166" s="2" t="s">
        <v>239</v>
      </c>
      <c r="CD166" s="2" t="s">
        <v>227</v>
      </c>
      <c r="CE166" s="4">
        <v>146</v>
      </c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>
        <v>30</v>
      </c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</row>
    <row r="167">
      <c r="A167" s="2" t="s">
        <v>1466</v>
      </c>
      <c r="B167" s="2" t="s">
        <v>697</v>
      </c>
      <c r="C167" s="2" t="s">
        <v>668</v>
      </c>
      <c r="D167" s="2" t="s">
        <v>1448</v>
      </c>
      <c r="E167" s="2" t="s">
        <v>1449</v>
      </c>
      <c r="F167" s="2" t="s">
        <v>1425</v>
      </c>
      <c r="G167" s="2" t="s">
        <v>1425</v>
      </c>
      <c r="H167" s="2" t="s">
        <v>1425</v>
      </c>
      <c r="I167" s="2" t="s">
        <v>1449</v>
      </c>
      <c r="J167" s="2" t="s">
        <v>222</v>
      </c>
      <c r="K167" s="2" t="s">
        <v>363</v>
      </c>
      <c r="L167" s="3">
        <v>30.35</v>
      </c>
      <c r="M167" s="3">
        <v>31.87</v>
      </c>
      <c r="N167" s="3">
        <v>65.99</v>
      </c>
      <c r="O167" s="2" t="s">
        <v>224</v>
      </c>
      <c r="P167" s="2" t="s">
        <v>225</v>
      </c>
      <c r="Q167" s="2" t="s">
        <v>226</v>
      </c>
      <c r="R167" s="2" t="s">
        <v>227</v>
      </c>
      <c r="S167" s="2" t="s">
        <v>1467</v>
      </c>
      <c r="T167" s="2" t="s">
        <v>1430</v>
      </c>
      <c r="U167" s="2" t="s">
        <v>227</v>
      </c>
      <c r="V167" s="2" t="s">
        <v>230</v>
      </c>
      <c r="W167" s="2" t="s">
        <v>231</v>
      </c>
      <c r="X167" s="2" t="s">
        <v>706</v>
      </c>
      <c r="Y167" s="2" t="s">
        <v>232</v>
      </c>
      <c r="Z167" s="4">
        <v>191</v>
      </c>
      <c r="AA167" s="4">
        <f>=ROUNDDOWN(47.75,0)</f>
      </c>
      <c r="AB167" s="5">
        <v>4</v>
      </c>
      <c r="AC167" s="2" t="s">
        <v>203</v>
      </c>
      <c r="AD167" s="4">
        <v>30</v>
      </c>
      <c r="AE167" s="4">
        <v>30</v>
      </c>
      <c r="AF167" s="6">
        <v>64</v>
      </c>
      <c r="AG167" s="6"/>
      <c r="AH167" s="7">
        <v>1</v>
      </c>
      <c r="AI167" s="4"/>
      <c r="AJ167" s="4">
        <f>=ROUNDDOWN({0},0)</f>
      </c>
      <c r="AK167" s="5"/>
      <c r="AL167" s="2" t="s">
        <v>227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227</v>
      </c>
      <c r="AW167" s="8" t="s">
        <v>227</v>
      </c>
      <c r="AX167" s="4" t="s">
        <v>227</v>
      </c>
      <c r="AY167" s="8" t="s">
        <v>227</v>
      </c>
      <c r="AZ167" s="7" t="s">
        <v>227</v>
      </c>
      <c r="BA167" s="7" t="s">
        <v>227</v>
      </c>
      <c r="BB167" s="7"/>
      <c r="BC167" s="4" t="s">
        <v>227</v>
      </c>
      <c r="BD167" s="8" t="s">
        <v>227</v>
      </c>
      <c r="BE167" s="4" t="s">
        <v>227</v>
      </c>
      <c r="BF167" s="8" t="s">
        <v>227</v>
      </c>
      <c r="BG167" s="7" t="s">
        <v>227</v>
      </c>
      <c r="BH167" s="7" t="s">
        <v>227</v>
      </c>
      <c r="BI167" s="7"/>
      <c r="BJ167" s="4">
        <v>20</v>
      </c>
      <c r="BK167" s="8">
        <v>670.84</v>
      </c>
      <c r="BL167" s="2" t="s">
        <v>1468</v>
      </c>
      <c r="BM167" s="7"/>
      <c r="BN167" s="7"/>
      <c r="BO167" s="4"/>
      <c r="BP167" s="8"/>
      <c r="BQ167" s="4"/>
      <c r="BR167" s="8"/>
      <c r="BS167" s="7"/>
      <c r="BT167" s="7"/>
      <c r="BU167" s="2" t="s">
        <v>1469</v>
      </c>
      <c r="BV167" s="2" t="s">
        <v>227</v>
      </c>
      <c r="BW167" s="2" t="s">
        <v>227</v>
      </c>
      <c r="BX167" s="2" t="s">
        <v>235</v>
      </c>
      <c r="BY167" s="2" t="s">
        <v>236</v>
      </c>
      <c r="BZ167" s="2" t="s">
        <v>224</v>
      </c>
      <c r="CA167" s="2" t="s">
        <v>237</v>
      </c>
      <c r="CB167" s="2" t="s">
        <v>238</v>
      </c>
      <c r="CC167" s="2" t="s">
        <v>239</v>
      </c>
      <c r="CD167" s="2" t="s">
        <v>227</v>
      </c>
      <c r="CE167" s="4">
        <v>191</v>
      </c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>
        <v>30</v>
      </c>
      <c r="GN167" s="4"/>
      <c r="GO167" s="4"/>
      <c r="GP167" s="4"/>
      <c r="GQ167" s="4"/>
      <c r="GR167" s="4"/>
      <c r="GS167" s="4"/>
      <c r="GT167" s="4"/>
      <c r="GU167" s="4"/>
      <c r="GV167" s="4"/>
      <c r="GW167" s="4"/>
      <c r="GX167" s="4"/>
    </row>
    <row r="168">
      <c r="A168" s="2" t="s">
        <v>1470</v>
      </c>
      <c r="B168" s="2" t="s">
        <v>697</v>
      </c>
      <c r="C168" s="2" t="s">
        <v>668</v>
      </c>
      <c r="D168" s="2" t="s">
        <v>1448</v>
      </c>
      <c r="E168" s="2" t="s">
        <v>1449</v>
      </c>
      <c r="F168" s="2" t="s">
        <v>1425</v>
      </c>
      <c r="G168" s="2" t="s">
        <v>1425</v>
      </c>
      <c r="H168" s="2" t="s">
        <v>1425</v>
      </c>
      <c r="I168" s="2" t="s">
        <v>1449</v>
      </c>
      <c r="J168" s="2" t="s">
        <v>626</v>
      </c>
      <c r="K168" s="2" t="s">
        <v>363</v>
      </c>
      <c r="L168" s="3">
        <v>36.18</v>
      </c>
      <c r="M168" s="3">
        <v>37.99</v>
      </c>
      <c r="N168" s="3">
        <v>76.99</v>
      </c>
      <c r="O168" s="2" t="s">
        <v>224</v>
      </c>
      <c r="P168" s="2" t="s">
        <v>225</v>
      </c>
      <c r="Q168" s="2" t="s">
        <v>226</v>
      </c>
      <c r="R168" s="2" t="s">
        <v>227</v>
      </c>
      <c r="S168" s="2" t="s">
        <v>1467</v>
      </c>
      <c r="T168" s="2" t="s">
        <v>1430</v>
      </c>
      <c r="U168" s="2" t="s">
        <v>227</v>
      </c>
      <c r="V168" s="2" t="s">
        <v>230</v>
      </c>
      <c r="W168" s="2" t="s">
        <v>231</v>
      </c>
      <c r="X168" s="2" t="s">
        <v>706</v>
      </c>
      <c r="Y168" s="2" t="s">
        <v>232</v>
      </c>
      <c r="Z168" s="4">
        <v>283</v>
      </c>
      <c r="AA168" s="4">
        <f>=ROUNDDOWN(31.4444444444444,0)</f>
      </c>
      <c r="AB168" s="5">
        <v>9</v>
      </c>
      <c r="AC168" s="2" t="s">
        <v>164</v>
      </c>
      <c r="AD168" s="4">
        <v>80</v>
      </c>
      <c r="AE168" s="4">
        <v>230</v>
      </c>
      <c r="AF168" s="6">
        <v>64</v>
      </c>
      <c r="AG168" s="6"/>
      <c r="AH168" s="7">
        <v>1</v>
      </c>
      <c r="AI168" s="4"/>
      <c r="AJ168" s="4">
        <f>=ROUNDDOWN({0},0)</f>
      </c>
      <c r="AK168" s="5"/>
      <c r="AL168" s="2" t="s">
        <v>227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227</v>
      </c>
      <c r="AW168" s="8" t="s">
        <v>227</v>
      </c>
      <c r="AX168" s="4" t="s">
        <v>227</v>
      </c>
      <c r="AY168" s="8" t="s">
        <v>227</v>
      </c>
      <c r="AZ168" s="7" t="s">
        <v>227</v>
      </c>
      <c r="BA168" s="7" t="s">
        <v>227</v>
      </c>
      <c r="BB168" s="7"/>
      <c r="BC168" s="4" t="s">
        <v>227</v>
      </c>
      <c r="BD168" s="8" t="s">
        <v>227</v>
      </c>
      <c r="BE168" s="4" t="s">
        <v>227</v>
      </c>
      <c r="BF168" s="8" t="s">
        <v>227</v>
      </c>
      <c r="BG168" s="7" t="s">
        <v>227</v>
      </c>
      <c r="BH168" s="7" t="s">
        <v>227</v>
      </c>
      <c r="BI168" s="7"/>
      <c r="BJ168" s="4">
        <v>51</v>
      </c>
      <c r="BK168" s="8">
        <v>1977.77</v>
      </c>
      <c r="BL168" s="2" t="s">
        <v>312</v>
      </c>
      <c r="BM168" s="7"/>
      <c r="BN168" s="7"/>
      <c r="BO168" s="4"/>
      <c r="BP168" s="8"/>
      <c r="BQ168" s="4"/>
      <c r="BR168" s="8"/>
      <c r="BS168" s="7"/>
      <c r="BT168" s="7"/>
      <c r="BU168" s="2" t="s">
        <v>1471</v>
      </c>
      <c r="BV168" s="2" t="s">
        <v>227</v>
      </c>
      <c r="BW168" s="2" t="s">
        <v>227</v>
      </c>
      <c r="BX168" s="2" t="s">
        <v>235</v>
      </c>
      <c r="BY168" s="2" t="s">
        <v>236</v>
      </c>
      <c r="BZ168" s="2" t="s">
        <v>224</v>
      </c>
      <c r="CA168" s="2" t="s">
        <v>237</v>
      </c>
      <c r="CB168" s="2" t="s">
        <v>1088</v>
      </c>
      <c r="CC168" s="2" t="s">
        <v>239</v>
      </c>
      <c r="CD168" s="2" t="s">
        <v>227</v>
      </c>
      <c r="CE168" s="4">
        <v>283</v>
      </c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>
        <v>80</v>
      </c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>
        <v>150</v>
      </c>
      <c r="GN168" s="4"/>
      <c r="GO168" s="4"/>
      <c r="GP168" s="4"/>
      <c r="GQ168" s="4"/>
      <c r="GR168" s="4"/>
      <c r="GS168" s="4"/>
      <c r="GT168" s="4"/>
      <c r="GU168" s="4"/>
      <c r="GV168" s="4"/>
      <c r="GW168" s="4"/>
      <c r="GX168" s="4"/>
    </row>
    <row r="169">
      <c r="A169" s="2" t="s">
        <v>1472</v>
      </c>
      <c r="B169" s="2" t="s">
        <v>697</v>
      </c>
      <c r="C169" s="2" t="s">
        <v>668</v>
      </c>
      <c r="D169" s="2" t="s">
        <v>1423</v>
      </c>
      <c r="E169" s="2" t="s">
        <v>1424</v>
      </c>
      <c r="F169" s="2" t="s">
        <v>1425</v>
      </c>
      <c r="G169" s="2" t="s">
        <v>1425</v>
      </c>
      <c r="H169" s="2" t="s">
        <v>1425</v>
      </c>
      <c r="I169" s="2" t="s">
        <v>1426</v>
      </c>
      <c r="J169" s="2" t="s">
        <v>1427</v>
      </c>
      <c r="K169" s="2" t="s">
        <v>363</v>
      </c>
      <c r="L169" s="3">
        <v>10.58</v>
      </c>
      <c r="M169" s="3">
        <v>11.11</v>
      </c>
      <c r="N169" s="3">
        <v>22.99</v>
      </c>
      <c r="O169" s="2" t="s">
        <v>224</v>
      </c>
      <c r="P169" s="2" t="s">
        <v>485</v>
      </c>
      <c r="Q169" s="2" t="s">
        <v>226</v>
      </c>
      <c r="R169" s="2" t="s">
        <v>227</v>
      </c>
      <c r="S169" s="2" t="s">
        <v>1467</v>
      </c>
      <c r="T169" s="2" t="s">
        <v>1430</v>
      </c>
      <c r="U169" s="2" t="s">
        <v>227</v>
      </c>
      <c r="V169" s="2" t="s">
        <v>230</v>
      </c>
      <c r="W169" s="2" t="s">
        <v>231</v>
      </c>
      <c r="X169" s="2" t="s">
        <v>706</v>
      </c>
      <c r="Y169" s="2" t="s">
        <v>232</v>
      </c>
      <c r="Z169" s="4">
        <v>896</v>
      </c>
      <c r="AA169" s="4">
        <f>=ROUNDDOWN(68.9230769230769,0)</f>
      </c>
      <c r="AB169" s="5">
        <v>13</v>
      </c>
      <c r="AC169" s="2" t="s">
        <v>227</v>
      </c>
      <c r="AD169" s="4"/>
      <c r="AE169" s="4"/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227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227</v>
      </c>
      <c r="AW169" s="8" t="s">
        <v>227</v>
      </c>
      <c r="AX169" s="4" t="s">
        <v>227</v>
      </c>
      <c r="AY169" s="8" t="s">
        <v>227</v>
      </c>
      <c r="AZ169" s="7" t="s">
        <v>227</v>
      </c>
      <c r="BA169" s="7" t="s">
        <v>227</v>
      </c>
      <c r="BB169" s="7"/>
      <c r="BC169" s="4" t="s">
        <v>227</v>
      </c>
      <c r="BD169" s="8" t="s">
        <v>227</v>
      </c>
      <c r="BE169" s="4" t="s">
        <v>227</v>
      </c>
      <c r="BF169" s="8" t="s">
        <v>227</v>
      </c>
      <c r="BG169" s="7" t="s">
        <v>227</v>
      </c>
      <c r="BH169" s="7" t="s">
        <v>227</v>
      </c>
      <c r="BI169" s="7"/>
      <c r="BJ169" s="4">
        <v>69</v>
      </c>
      <c r="BK169" s="8">
        <v>770.23</v>
      </c>
      <c r="BL169" s="2" t="s">
        <v>1473</v>
      </c>
      <c r="BM169" s="7"/>
      <c r="BN169" s="7"/>
      <c r="BO169" s="4"/>
      <c r="BP169" s="8"/>
      <c r="BQ169" s="4"/>
      <c r="BR169" s="8"/>
      <c r="BS169" s="7"/>
      <c r="BT169" s="7"/>
      <c r="BU169" s="2" t="s">
        <v>1474</v>
      </c>
      <c r="BV169" s="2" t="s">
        <v>227</v>
      </c>
      <c r="BW169" s="2" t="s">
        <v>227</v>
      </c>
      <c r="BX169" s="2" t="s">
        <v>235</v>
      </c>
      <c r="BY169" s="2" t="s">
        <v>236</v>
      </c>
      <c r="BZ169" s="2" t="s">
        <v>224</v>
      </c>
      <c r="CA169" s="2" t="s">
        <v>330</v>
      </c>
      <c r="CB169" s="2" t="s">
        <v>1475</v>
      </c>
      <c r="CC169" s="2" t="s">
        <v>239</v>
      </c>
      <c r="CD169" s="2" t="s">
        <v>227</v>
      </c>
      <c r="CE169" s="4">
        <v>896</v>
      </c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</row>
    <row r="170">
      <c r="A170" s="2" t="s">
        <v>1476</v>
      </c>
      <c r="B170" s="2" t="s">
        <v>697</v>
      </c>
      <c r="C170" s="2" t="s">
        <v>668</v>
      </c>
      <c r="D170" s="2" t="s">
        <v>1448</v>
      </c>
      <c r="E170" s="2" t="s">
        <v>1449</v>
      </c>
      <c r="F170" s="2" t="s">
        <v>1425</v>
      </c>
      <c r="G170" s="2" t="s">
        <v>1425</v>
      </c>
      <c r="H170" s="2" t="s">
        <v>1425</v>
      </c>
      <c r="I170" s="2" t="s">
        <v>1449</v>
      </c>
      <c r="J170" s="2" t="s">
        <v>222</v>
      </c>
      <c r="K170" s="2" t="s">
        <v>1477</v>
      </c>
      <c r="L170" s="3">
        <v>30.35</v>
      </c>
      <c r="M170" s="3">
        <v>31.87</v>
      </c>
      <c r="N170" s="3">
        <v>65.99</v>
      </c>
      <c r="O170" s="2" t="s">
        <v>224</v>
      </c>
      <c r="P170" s="2" t="s">
        <v>225</v>
      </c>
      <c r="Q170" s="2" t="s">
        <v>226</v>
      </c>
      <c r="R170" s="2" t="s">
        <v>227</v>
      </c>
      <c r="S170" s="2" t="s">
        <v>1478</v>
      </c>
      <c r="T170" s="2" t="s">
        <v>1430</v>
      </c>
      <c r="U170" s="2" t="s">
        <v>552</v>
      </c>
      <c r="V170" s="2" t="s">
        <v>230</v>
      </c>
      <c r="W170" s="2" t="s">
        <v>231</v>
      </c>
      <c r="X170" s="2" t="s">
        <v>706</v>
      </c>
      <c r="Y170" s="2" t="s">
        <v>783</v>
      </c>
      <c r="Z170" s="4">
        <v>200</v>
      </c>
      <c r="AA170" s="4">
        <f>=ROUNDDOWN(33.3333333333333,0)</f>
      </c>
      <c r="AB170" s="5">
        <v>6</v>
      </c>
      <c r="AC170" s="2" t="s">
        <v>227</v>
      </c>
      <c r="AD170" s="4"/>
      <c r="AE170" s="4"/>
      <c r="AF170" s="6">
        <v>65</v>
      </c>
      <c r="AG170" s="6"/>
      <c r="AH170" s="7">
        <v>0.5161</v>
      </c>
      <c r="AI170" s="4"/>
      <c r="AJ170" s="4">
        <f>=ROUNDDOWN({0},0)</f>
      </c>
      <c r="AK170" s="5"/>
      <c r="AL170" s="2" t="s">
        <v>227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227</v>
      </c>
      <c r="AW170" s="8" t="s">
        <v>227</v>
      </c>
      <c r="AX170" s="4" t="s">
        <v>227</v>
      </c>
      <c r="AY170" s="8" t="s">
        <v>227</v>
      </c>
      <c r="AZ170" s="7" t="s">
        <v>227</v>
      </c>
      <c r="BA170" s="7" t="s">
        <v>227</v>
      </c>
      <c r="BB170" s="7"/>
      <c r="BC170" s="4" t="s">
        <v>227</v>
      </c>
      <c r="BD170" s="8" t="s">
        <v>227</v>
      </c>
      <c r="BE170" s="4" t="s">
        <v>227</v>
      </c>
      <c r="BF170" s="8" t="s">
        <v>227</v>
      </c>
      <c r="BG170" s="7" t="s">
        <v>227</v>
      </c>
      <c r="BH170" s="7" t="s">
        <v>227</v>
      </c>
      <c r="BI170" s="7"/>
      <c r="BJ170" s="4">
        <v>27</v>
      </c>
      <c r="BK170" s="8">
        <v>932.7</v>
      </c>
      <c r="BL170" s="2" t="s">
        <v>1479</v>
      </c>
      <c r="BM170" s="7"/>
      <c r="BN170" s="7"/>
      <c r="BO170" s="4"/>
      <c r="BP170" s="8"/>
      <c r="BQ170" s="4"/>
      <c r="BR170" s="8"/>
      <c r="BS170" s="7"/>
      <c r="BT170" s="7"/>
      <c r="BU170" s="2" t="s">
        <v>1480</v>
      </c>
      <c r="BV170" s="2" t="s">
        <v>227</v>
      </c>
      <c r="BW170" s="2" t="s">
        <v>227</v>
      </c>
      <c r="BX170" s="2" t="s">
        <v>235</v>
      </c>
      <c r="BY170" s="2" t="s">
        <v>236</v>
      </c>
      <c r="BZ170" s="2" t="s">
        <v>224</v>
      </c>
      <c r="CA170" s="2" t="s">
        <v>1341</v>
      </c>
      <c r="CB170" s="2" t="s">
        <v>998</v>
      </c>
      <c r="CC170" s="2" t="s">
        <v>239</v>
      </c>
      <c r="CD170" s="2" t="s">
        <v>227</v>
      </c>
      <c r="CE170" s="4"/>
      <c r="CF170" s="4"/>
      <c r="CG170" s="4"/>
      <c r="CH170" s="4"/>
      <c r="CI170" s="4"/>
      <c r="CJ170" s="4"/>
      <c r="CK170" s="4">
        <v>200</v>
      </c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</row>
    <row r="171">
      <c r="A171" s="2" t="s">
        <v>1481</v>
      </c>
      <c r="B171" s="2" t="s">
        <v>697</v>
      </c>
      <c r="C171" s="2" t="s">
        <v>668</v>
      </c>
      <c r="D171" s="2" t="s">
        <v>1448</v>
      </c>
      <c r="E171" s="2" t="s">
        <v>1449</v>
      </c>
      <c r="F171" s="2" t="s">
        <v>1425</v>
      </c>
      <c r="G171" s="2" t="s">
        <v>1425</v>
      </c>
      <c r="H171" s="2" t="s">
        <v>1425</v>
      </c>
      <c r="I171" s="2" t="s">
        <v>1449</v>
      </c>
      <c r="J171" s="2" t="s">
        <v>626</v>
      </c>
      <c r="K171" s="2" t="s">
        <v>1477</v>
      </c>
      <c r="L171" s="3">
        <v>36.18</v>
      </c>
      <c r="M171" s="3">
        <v>37.99</v>
      </c>
      <c r="N171" s="3">
        <v>76.99</v>
      </c>
      <c r="O171" s="2" t="s">
        <v>224</v>
      </c>
      <c r="P171" s="2" t="s">
        <v>225</v>
      </c>
      <c r="Q171" s="2" t="s">
        <v>226</v>
      </c>
      <c r="R171" s="2" t="s">
        <v>227</v>
      </c>
      <c r="S171" s="2" t="s">
        <v>1478</v>
      </c>
      <c r="T171" s="2" t="s">
        <v>1430</v>
      </c>
      <c r="U171" s="2" t="s">
        <v>552</v>
      </c>
      <c r="V171" s="2" t="s">
        <v>230</v>
      </c>
      <c r="W171" s="2" t="s">
        <v>231</v>
      </c>
      <c r="X171" s="2" t="s">
        <v>706</v>
      </c>
      <c r="Y171" s="2" t="s">
        <v>783</v>
      </c>
      <c r="Z171" s="4">
        <v>166</v>
      </c>
      <c r="AA171" s="4">
        <f>=ROUNDDOWN(41.5,0)</f>
      </c>
      <c r="AB171" s="5">
        <v>4</v>
      </c>
      <c r="AC171" s="2" t="s">
        <v>839</v>
      </c>
      <c r="AD171" s="4">
        <v>80</v>
      </c>
      <c r="AE171" s="4">
        <v>80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227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227</v>
      </c>
      <c r="AW171" s="8" t="s">
        <v>227</v>
      </c>
      <c r="AX171" s="4" t="s">
        <v>227</v>
      </c>
      <c r="AY171" s="8" t="s">
        <v>227</v>
      </c>
      <c r="AZ171" s="7" t="s">
        <v>227</v>
      </c>
      <c r="BA171" s="7" t="s">
        <v>227</v>
      </c>
      <c r="BB171" s="7"/>
      <c r="BC171" s="4" t="s">
        <v>227</v>
      </c>
      <c r="BD171" s="8" t="s">
        <v>227</v>
      </c>
      <c r="BE171" s="4" t="s">
        <v>227</v>
      </c>
      <c r="BF171" s="8" t="s">
        <v>227</v>
      </c>
      <c r="BG171" s="7" t="s">
        <v>227</v>
      </c>
      <c r="BH171" s="7" t="s">
        <v>227</v>
      </c>
      <c r="BI171" s="7"/>
      <c r="BJ171" s="4">
        <v>17</v>
      </c>
      <c r="BK171" s="8">
        <v>666.56</v>
      </c>
      <c r="BL171" s="2" t="s">
        <v>1482</v>
      </c>
      <c r="BM171" s="7"/>
      <c r="BN171" s="7"/>
      <c r="BO171" s="4"/>
      <c r="BP171" s="8"/>
      <c r="BQ171" s="4"/>
      <c r="BR171" s="8"/>
      <c r="BS171" s="7"/>
      <c r="BT171" s="7"/>
      <c r="BU171" s="2" t="s">
        <v>1483</v>
      </c>
      <c r="BV171" s="2" t="s">
        <v>227</v>
      </c>
      <c r="BW171" s="2" t="s">
        <v>227</v>
      </c>
      <c r="BX171" s="2" t="s">
        <v>235</v>
      </c>
      <c r="BY171" s="2" t="s">
        <v>236</v>
      </c>
      <c r="BZ171" s="2" t="s">
        <v>224</v>
      </c>
      <c r="CA171" s="2" t="s">
        <v>1341</v>
      </c>
      <c r="CB171" s="2" t="s">
        <v>995</v>
      </c>
      <c r="CC171" s="2" t="s">
        <v>239</v>
      </c>
      <c r="CD171" s="2" t="s">
        <v>227</v>
      </c>
      <c r="CE171" s="4">
        <v>166</v>
      </c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>
        <v>80</v>
      </c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</row>
    <row r="172">
      <c r="A172" s="2" t="s">
        <v>1484</v>
      </c>
      <c r="B172" s="2" t="s">
        <v>697</v>
      </c>
      <c r="C172" s="2" t="s">
        <v>668</v>
      </c>
      <c r="D172" s="2" t="s">
        <v>1448</v>
      </c>
      <c r="E172" s="2" t="s">
        <v>1449</v>
      </c>
      <c r="F172" s="2" t="s">
        <v>1425</v>
      </c>
      <c r="G172" s="2" t="s">
        <v>1425</v>
      </c>
      <c r="H172" s="2" t="s">
        <v>1425</v>
      </c>
      <c r="I172" s="2" t="s">
        <v>1449</v>
      </c>
      <c r="J172" s="2" t="s">
        <v>257</v>
      </c>
      <c r="K172" s="2" t="s">
        <v>1477</v>
      </c>
      <c r="L172" s="3">
        <v>42.4</v>
      </c>
      <c r="M172" s="3">
        <v>44.52</v>
      </c>
      <c r="N172" s="3">
        <v>89.99</v>
      </c>
      <c r="O172" s="2" t="s">
        <v>224</v>
      </c>
      <c r="P172" s="2" t="s">
        <v>225</v>
      </c>
      <c r="Q172" s="2" t="s">
        <v>226</v>
      </c>
      <c r="R172" s="2" t="s">
        <v>227</v>
      </c>
      <c r="S172" s="2" t="s">
        <v>1478</v>
      </c>
      <c r="T172" s="2" t="s">
        <v>1430</v>
      </c>
      <c r="U172" s="2" t="s">
        <v>552</v>
      </c>
      <c r="V172" s="2" t="s">
        <v>230</v>
      </c>
      <c r="W172" s="2" t="s">
        <v>231</v>
      </c>
      <c r="X172" s="2" t="s">
        <v>706</v>
      </c>
      <c r="Y172" s="2" t="s">
        <v>783</v>
      </c>
      <c r="Z172" s="4">
        <v>196</v>
      </c>
      <c r="AA172" s="4">
        <f>=ROUNDDOWN(39.2,0)</f>
      </c>
      <c r="AB172" s="5">
        <v>5</v>
      </c>
      <c r="AC172" s="2" t="s">
        <v>839</v>
      </c>
      <c r="AD172" s="4">
        <v>30</v>
      </c>
      <c r="AE172" s="4">
        <v>30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227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227</v>
      </c>
      <c r="AW172" s="8" t="s">
        <v>227</v>
      </c>
      <c r="AX172" s="4" t="s">
        <v>227</v>
      </c>
      <c r="AY172" s="8" t="s">
        <v>227</v>
      </c>
      <c r="AZ172" s="7" t="s">
        <v>227</v>
      </c>
      <c r="BA172" s="7" t="s">
        <v>227</v>
      </c>
      <c r="BB172" s="7"/>
      <c r="BC172" s="4" t="s">
        <v>227</v>
      </c>
      <c r="BD172" s="8" t="s">
        <v>227</v>
      </c>
      <c r="BE172" s="4" t="s">
        <v>227</v>
      </c>
      <c r="BF172" s="8" t="s">
        <v>227</v>
      </c>
      <c r="BG172" s="7" t="s">
        <v>227</v>
      </c>
      <c r="BH172" s="7" t="s">
        <v>227</v>
      </c>
      <c r="BI172" s="7"/>
      <c r="BJ172" s="4">
        <v>20</v>
      </c>
      <c r="BK172" s="8">
        <v>950.41</v>
      </c>
      <c r="BL172" s="2" t="s">
        <v>1485</v>
      </c>
      <c r="BM172" s="7"/>
      <c r="BN172" s="7"/>
      <c r="BO172" s="4"/>
      <c r="BP172" s="8"/>
      <c r="BQ172" s="4"/>
      <c r="BR172" s="8"/>
      <c r="BS172" s="7"/>
      <c r="BT172" s="7"/>
      <c r="BU172" s="2" t="s">
        <v>1486</v>
      </c>
      <c r="BV172" s="2" t="s">
        <v>227</v>
      </c>
      <c r="BW172" s="2" t="s">
        <v>227</v>
      </c>
      <c r="BX172" s="2" t="s">
        <v>235</v>
      </c>
      <c r="BY172" s="2" t="s">
        <v>236</v>
      </c>
      <c r="BZ172" s="2" t="s">
        <v>224</v>
      </c>
      <c r="CA172" s="2" t="s">
        <v>1341</v>
      </c>
      <c r="CB172" s="2" t="s">
        <v>1487</v>
      </c>
      <c r="CC172" s="2" t="s">
        <v>239</v>
      </c>
      <c r="CD172" s="2" t="s">
        <v>227</v>
      </c>
      <c r="CE172" s="4">
        <v>196</v>
      </c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>
        <v>30</v>
      </c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</row>
    <row r="173">
      <c r="A173" s="2" t="s">
        <v>1488</v>
      </c>
      <c r="B173" s="2" t="s">
        <v>697</v>
      </c>
      <c r="C173" s="2" t="s">
        <v>668</v>
      </c>
      <c r="D173" s="2" t="s">
        <v>1423</v>
      </c>
      <c r="E173" s="2" t="s">
        <v>1424</v>
      </c>
      <c r="F173" s="2" t="s">
        <v>1425</v>
      </c>
      <c r="G173" s="2" t="s">
        <v>1425</v>
      </c>
      <c r="H173" s="2" t="s">
        <v>1425</v>
      </c>
      <c r="I173" s="2" t="s">
        <v>1426</v>
      </c>
      <c r="J173" s="2" t="s">
        <v>1427</v>
      </c>
      <c r="K173" s="2" t="s">
        <v>1477</v>
      </c>
      <c r="L173" s="3">
        <v>10.58</v>
      </c>
      <c r="M173" s="3">
        <v>11.11</v>
      </c>
      <c r="N173" s="3">
        <v>22.99</v>
      </c>
      <c r="O173" s="2" t="s">
        <v>224</v>
      </c>
      <c r="P173" s="2" t="s">
        <v>580</v>
      </c>
      <c r="Q173" s="2" t="s">
        <v>226</v>
      </c>
      <c r="R173" s="2" t="s">
        <v>227</v>
      </c>
      <c r="S173" s="2" t="s">
        <v>1478</v>
      </c>
      <c r="T173" s="2" t="s">
        <v>1430</v>
      </c>
      <c r="U173" s="2" t="s">
        <v>552</v>
      </c>
      <c r="V173" s="2" t="s">
        <v>230</v>
      </c>
      <c r="W173" s="2" t="s">
        <v>231</v>
      </c>
      <c r="X173" s="2" t="s">
        <v>706</v>
      </c>
      <c r="Y173" s="2" t="s">
        <v>783</v>
      </c>
      <c r="Z173" s="4">
        <v>312</v>
      </c>
      <c r="AA173" s="4">
        <f>=ROUNDDOWN(173.333333333333,0)</f>
      </c>
      <c r="AB173" s="5">
        <v>1.8</v>
      </c>
      <c r="AC173" s="2" t="s">
        <v>227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227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227</v>
      </c>
      <c r="AW173" s="8" t="s">
        <v>227</v>
      </c>
      <c r="AX173" s="4" t="s">
        <v>227</v>
      </c>
      <c r="AY173" s="8" t="s">
        <v>227</v>
      </c>
      <c r="AZ173" s="7" t="s">
        <v>227</v>
      </c>
      <c r="BA173" s="7" t="s">
        <v>227</v>
      </c>
      <c r="BB173" s="7"/>
      <c r="BC173" s="4" t="s">
        <v>227</v>
      </c>
      <c r="BD173" s="8" t="s">
        <v>227</v>
      </c>
      <c r="BE173" s="4" t="s">
        <v>227</v>
      </c>
      <c r="BF173" s="8" t="s">
        <v>227</v>
      </c>
      <c r="BG173" s="7" t="s">
        <v>227</v>
      </c>
      <c r="BH173" s="7" t="s">
        <v>227</v>
      </c>
      <c r="BI173" s="7"/>
      <c r="BJ173" s="4">
        <v>12</v>
      </c>
      <c r="BK173" s="8">
        <v>138.87</v>
      </c>
      <c r="BL173" s="2" t="s">
        <v>1444</v>
      </c>
      <c r="BM173" s="7"/>
      <c r="BN173" s="7"/>
      <c r="BO173" s="4"/>
      <c r="BP173" s="8"/>
      <c r="BQ173" s="4"/>
      <c r="BR173" s="8"/>
      <c r="BS173" s="7"/>
      <c r="BT173" s="7"/>
      <c r="BU173" s="2" t="s">
        <v>1489</v>
      </c>
      <c r="BV173" s="2" t="s">
        <v>227</v>
      </c>
      <c r="BW173" s="2" t="s">
        <v>227</v>
      </c>
      <c r="BX173" s="2" t="s">
        <v>235</v>
      </c>
      <c r="BY173" s="2" t="s">
        <v>236</v>
      </c>
      <c r="BZ173" s="2" t="s">
        <v>224</v>
      </c>
      <c r="CA173" s="2" t="s">
        <v>570</v>
      </c>
      <c r="CB173" s="2" t="s">
        <v>1490</v>
      </c>
      <c r="CC173" s="2" t="s">
        <v>239</v>
      </c>
      <c r="CD173" s="2" t="s">
        <v>227</v>
      </c>
      <c r="CE173" s="4">
        <v>312</v>
      </c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</row>
    <row r="174">
      <c r="A174" s="2" t="s">
        <v>1491</v>
      </c>
      <c r="B174" s="2" t="s">
        <v>697</v>
      </c>
      <c r="C174" s="2" t="s">
        <v>668</v>
      </c>
      <c r="D174" s="2" t="s">
        <v>1423</v>
      </c>
      <c r="E174" s="2" t="s">
        <v>1424</v>
      </c>
      <c r="F174" s="2" t="s">
        <v>1425</v>
      </c>
      <c r="G174" s="2" t="s">
        <v>1425</v>
      </c>
      <c r="H174" s="2" t="s">
        <v>1425</v>
      </c>
      <c r="I174" s="2" t="s">
        <v>1438</v>
      </c>
      <c r="J174" s="2" t="s">
        <v>1439</v>
      </c>
      <c r="K174" s="2" t="s">
        <v>1477</v>
      </c>
      <c r="L174" s="3">
        <v>18.4</v>
      </c>
      <c r="M174" s="3">
        <v>19.32</v>
      </c>
      <c r="N174" s="3">
        <v>39.99</v>
      </c>
      <c r="O174" s="2" t="s">
        <v>224</v>
      </c>
      <c r="P174" s="2" t="s">
        <v>580</v>
      </c>
      <c r="Q174" s="2" t="s">
        <v>226</v>
      </c>
      <c r="R174" s="2" t="s">
        <v>227</v>
      </c>
      <c r="S174" s="2" t="s">
        <v>1478</v>
      </c>
      <c r="T174" s="2" t="s">
        <v>1430</v>
      </c>
      <c r="U174" s="2" t="s">
        <v>552</v>
      </c>
      <c r="V174" s="2" t="s">
        <v>230</v>
      </c>
      <c r="W174" s="2" t="s">
        <v>231</v>
      </c>
      <c r="X174" s="2" t="s">
        <v>706</v>
      </c>
      <c r="Y174" s="2" t="s">
        <v>783</v>
      </c>
      <c r="Z174" s="4">
        <v>189</v>
      </c>
      <c r="AA174" s="4">
        <f>=ROUNDDOWN(55.5882352941177,0)</f>
      </c>
      <c r="AB174" s="5">
        <v>3.4</v>
      </c>
      <c r="AC174" s="2" t="s">
        <v>227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227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227</v>
      </c>
      <c r="AW174" s="8" t="s">
        <v>227</v>
      </c>
      <c r="AX174" s="4" t="s">
        <v>227</v>
      </c>
      <c r="AY174" s="8" t="s">
        <v>227</v>
      </c>
      <c r="AZ174" s="7" t="s">
        <v>227</v>
      </c>
      <c r="BA174" s="7" t="s">
        <v>227</v>
      </c>
      <c r="BB174" s="7"/>
      <c r="BC174" s="4" t="s">
        <v>227</v>
      </c>
      <c r="BD174" s="8" t="s">
        <v>227</v>
      </c>
      <c r="BE174" s="4" t="s">
        <v>227</v>
      </c>
      <c r="BF174" s="8" t="s">
        <v>227</v>
      </c>
      <c r="BG174" s="7" t="s">
        <v>227</v>
      </c>
      <c r="BH174" s="7" t="s">
        <v>227</v>
      </c>
      <c r="BI174" s="7"/>
      <c r="BJ174" s="4">
        <v>23</v>
      </c>
      <c r="BK174" s="8">
        <v>441.56</v>
      </c>
      <c r="BL174" s="2" t="s">
        <v>266</v>
      </c>
      <c r="BM174" s="7"/>
      <c r="BN174" s="7"/>
      <c r="BO174" s="4"/>
      <c r="BP174" s="8"/>
      <c r="BQ174" s="4"/>
      <c r="BR174" s="8"/>
      <c r="BS174" s="7"/>
      <c r="BT174" s="7"/>
      <c r="BU174" s="2" t="s">
        <v>1492</v>
      </c>
      <c r="BV174" s="2" t="s">
        <v>227</v>
      </c>
      <c r="BW174" s="2" t="s">
        <v>227</v>
      </c>
      <c r="BX174" s="2" t="s">
        <v>235</v>
      </c>
      <c r="BY174" s="2" t="s">
        <v>236</v>
      </c>
      <c r="BZ174" s="2" t="s">
        <v>224</v>
      </c>
      <c r="CA174" s="2" t="s">
        <v>570</v>
      </c>
      <c r="CB174" s="2" t="s">
        <v>1493</v>
      </c>
      <c r="CC174" s="2" t="s">
        <v>239</v>
      </c>
      <c r="CD174" s="2" t="s">
        <v>227</v>
      </c>
      <c r="CE174" s="4">
        <v>189</v>
      </c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</row>
    <row r="175">
      <c r="A175" s="2" t="s">
        <v>1494</v>
      </c>
      <c r="B175" s="2" t="s">
        <v>697</v>
      </c>
      <c r="C175" s="2" t="s">
        <v>1299</v>
      </c>
      <c r="D175" s="2" t="s">
        <v>687</v>
      </c>
      <c r="E175" s="2" t="s">
        <v>688</v>
      </c>
      <c r="F175" s="2" t="s">
        <v>1495</v>
      </c>
      <c r="G175" s="2" t="s">
        <v>1496</v>
      </c>
      <c r="H175" s="2" t="s">
        <v>1496</v>
      </c>
      <c r="I175" s="2" t="s">
        <v>1497</v>
      </c>
      <c r="J175" s="2" t="s">
        <v>626</v>
      </c>
      <c r="K175" s="2" t="s">
        <v>737</v>
      </c>
      <c r="L175" s="3">
        <v>37.23</v>
      </c>
      <c r="M175" s="3">
        <v>39.09</v>
      </c>
      <c r="N175" s="3">
        <v>79.99</v>
      </c>
      <c r="O175" s="2" t="s">
        <v>224</v>
      </c>
      <c r="P175" s="2" t="s">
        <v>225</v>
      </c>
      <c r="Q175" s="2" t="s">
        <v>226</v>
      </c>
      <c r="R175" s="2" t="s">
        <v>227</v>
      </c>
      <c r="S175" s="2" t="s">
        <v>1498</v>
      </c>
      <c r="T175" s="2" t="s">
        <v>876</v>
      </c>
      <c r="U175" s="2" t="s">
        <v>674</v>
      </c>
      <c r="V175" s="2" t="s">
        <v>1499</v>
      </c>
      <c r="W175" s="2" t="s">
        <v>581</v>
      </c>
      <c r="X175" s="2" t="s">
        <v>836</v>
      </c>
      <c r="Y175" s="2" t="s">
        <v>1338</v>
      </c>
      <c r="Z175" s="4">
        <v>576</v>
      </c>
      <c r="AA175" s="4">
        <f>=ROUNDDOWN(32,0)</f>
      </c>
      <c r="AB175" s="5">
        <v>18</v>
      </c>
      <c r="AC175" s="2" t="s">
        <v>156</v>
      </c>
      <c r="AD175" s="4">
        <v>300</v>
      </c>
      <c r="AE175" s="4">
        <v>650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227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/>
      <c r="BD175" s="8"/>
      <c r="BE175" s="4"/>
      <c r="BF175" s="8"/>
      <c r="BG175" s="7"/>
      <c r="BH175" s="7"/>
      <c r="BI175" s="7"/>
      <c r="BJ175" s="4">
        <v>55</v>
      </c>
      <c r="BK175" s="8">
        <v>2085.46</v>
      </c>
      <c r="BL175" s="2" t="s">
        <v>1500</v>
      </c>
      <c r="BM175" s="7"/>
      <c r="BN175" s="7"/>
      <c r="BO175" s="4"/>
      <c r="BP175" s="8"/>
      <c r="BQ175" s="4"/>
      <c r="BR175" s="8"/>
      <c r="BS175" s="7"/>
      <c r="BT175" s="7"/>
      <c r="BU175" s="2" t="s">
        <v>1501</v>
      </c>
      <c r="BV175" s="2" t="s">
        <v>227</v>
      </c>
      <c r="BW175" s="2" t="s">
        <v>227</v>
      </c>
      <c r="BX175" s="2" t="s">
        <v>235</v>
      </c>
      <c r="BY175" s="2" t="s">
        <v>236</v>
      </c>
      <c r="BZ175" s="2" t="s">
        <v>224</v>
      </c>
      <c r="CA175" s="2" t="s">
        <v>1502</v>
      </c>
      <c r="CB175" s="2" t="s">
        <v>1503</v>
      </c>
      <c r="CC175" s="2" t="s">
        <v>239</v>
      </c>
      <c r="CD175" s="2" t="s">
        <v>227</v>
      </c>
      <c r="CE175" s="4">
        <v>576</v>
      </c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>
        <v>300</v>
      </c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>
        <v>150</v>
      </c>
      <c r="GN175" s="4"/>
      <c r="GO175" s="4"/>
      <c r="GP175" s="4"/>
      <c r="GQ175" s="4"/>
      <c r="GR175" s="4"/>
      <c r="GS175" s="4"/>
      <c r="GT175" s="4"/>
      <c r="GU175" s="4">
        <v>200</v>
      </c>
      <c r="GV175" s="4"/>
      <c r="GW175" s="4"/>
      <c r="GX175" s="4"/>
    </row>
    <row r="176">
      <c r="A176" s="2" t="s">
        <v>1504</v>
      </c>
      <c r="B176" s="2" t="s">
        <v>573</v>
      </c>
      <c r="C176" s="2" t="s">
        <v>360</v>
      </c>
      <c r="D176" s="2" t="s">
        <v>1230</v>
      </c>
      <c r="E176" s="2" t="s">
        <v>1231</v>
      </c>
      <c r="F176" s="2" t="s">
        <v>1505</v>
      </c>
      <c r="G176" s="2" t="s">
        <v>1506</v>
      </c>
      <c r="H176" s="2" t="s">
        <v>1507</v>
      </c>
      <c r="I176" s="2" t="s">
        <v>1508</v>
      </c>
      <c r="J176" s="2" t="s">
        <v>548</v>
      </c>
      <c r="K176" s="2" t="s">
        <v>1509</v>
      </c>
      <c r="L176" s="3">
        <v>171</v>
      </c>
      <c r="M176" s="3">
        <v>179.55</v>
      </c>
      <c r="N176" s="3">
        <v>359</v>
      </c>
      <c r="O176" s="2" t="s">
        <v>224</v>
      </c>
      <c r="P176" s="2" t="s">
        <v>225</v>
      </c>
      <c r="Q176" s="2" t="s">
        <v>226</v>
      </c>
      <c r="R176" s="2" t="s">
        <v>227</v>
      </c>
      <c r="S176" s="2" t="s">
        <v>1510</v>
      </c>
      <c r="T176" s="2" t="s">
        <v>227</v>
      </c>
      <c r="U176" s="2" t="s">
        <v>227</v>
      </c>
      <c r="V176" s="2" t="s">
        <v>230</v>
      </c>
      <c r="W176" s="2" t="s">
        <v>836</v>
      </c>
      <c r="X176" s="2" t="s">
        <v>227</v>
      </c>
      <c r="Y176" s="2" t="s">
        <v>232</v>
      </c>
      <c r="Z176" s="4">
        <v>255</v>
      </c>
      <c r="AA176" s="4">
        <f>=ROUNDDOWN(62.1951219512195,0)</f>
      </c>
      <c r="AB176" s="5">
        <v>4.1</v>
      </c>
      <c r="AC176" s="2" t="s">
        <v>227</v>
      </c>
      <c r="AD176" s="4"/>
      <c r="AE176" s="4"/>
      <c r="AF176" s="6">
        <v>74</v>
      </c>
      <c r="AG176" s="6"/>
      <c r="AH176" s="7">
        <v>1</v>
      </c>
      <c r="AI176" s="4"/>
      <c r="AJ176" s="4">
        <f>=ROUNDDOWN({0},0)</f>
      </c>
      <c r="AK176" s="5"/>
      <c r="AL176" s="2" t="s">
        <v>227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227</v>
      </c>
      <c r="BD176" s="8" t="s">
        <v>227</v>
      </c>
      <c r="BE176" s="4" t="s">
        <v>227</v>
      </c>
      <c r="BF176" s="8" t="s">
        <v>227</v>
      </c>
      <c r="BG176" s="7" t="s">
        <v>227</v>
      </c>
      <c r="BH176" s="7" t="s">
        <v>227</v>
      </c>
      <c r="BI176" s="7"/>
      <c r="BJ176" s="4">
        <v>18</v>
      </c>
      <c r="BK176" s="8">
        <v>2997.11</v>
      </c>
      <c r="BL176" s="2" t="s">
        <v>1511</v>
      </c>
      <c r="BM176" s="7"/>
      <c r="BN176" s="7"/>
      <c r="BO176" s="4"/>
      <c r="BP176" s="8"/>
      <c r="BQ176" s="4"/>
      <c r="BR176" s="8"/>
      <c r="BS176" s="7"/>
      <c r="BT176" s="7"/>
      <c r="BU176" s="2" t="s">
        <v>1512</v>
      </c>
      <c r="BV176" s="2" t="s">
        <v>227</v>
      </c>
      <c r="BW176" s="2" t="s">
        <v>227</v>
      </c>
      <c r="BX176" s="2" t="s">
        <v>235</v>
      </c>
      <c r="BY176" s="2" t="s">
        <v>236</v>
      </c>
      <c r="BZ176" s="2" t="s">
        <v>224</v>
      </c>
      <c r="CA176" s="2" t="s">
        <v>1513</v>
      </c>
      <c r="CB176" s="2" t="s">
        <v>358</v>
      </c>
      <c r="CC176" s="2" t="s">
        <v>239</v>
      </c>
      <c r="CD176" s="2" t="s">
        <v>227</v>
      </c>
      <c r="CE176" s="4"/>
      <c r="CF176" s="4">
        <v>255</v>
      </c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</row>
    <row r="177">
      <c r="A177" s="2" t="s">
        <v>1514</v>
      </c>
      <c r="B177" s="2" t="s">
        <v>573</v>
      </c>
      <c r="C177" s="2" t="s">
        <v>360</v>
      </c>
      <c r="D177" s="2" t="s">
        <v>1515</v>
      </c>
      <c r="E177" s="2" t="s">
        <v>1516</v>
      </c>
      <c r="F177" s="2" t="s">
        <v>1505</v>
      </c>
      <c r="G177" s="2" t="s">
        <v>1506</v>
      </c>
      <c r="H177" s="2" t="s">
        <v>1507</v>
      </c>
      <c r="I177" s="2" t="s">
        <v>1516</v>
      </c>
      <c r="J177" s="2" t="s">
        <v>548</v>
      </c>
      <c r="K177" s="2" t="s">
        <v>410</v>
      </c>
      <c r="L177" s="3">
        <v>80.75</v>
      </c>
      <c r="M177" s="3">
        <v>84.79</v>
      </c>
      <c r="N177" s="3">
        <v>169</v>
      </c>
      <c r="O177" s="2" t="s">
        <v>224</v>
      </c>
      <c r="P177" s="2" t="s">
        <v>580</v>
      </c>
      <c r="Q177" s="2" t="s">
        <v>226</v>
      </c>
      <c r="R177" s="2" t="s">
        <v>227</v>
      </c>
      <c r="S177" s="2" t="s">
        <v>1517</v>
      </c>
      <c r="T177" s="2" t="s">
        <v>227</v>
      </c>
      <c r="U177" s="2" t="s">
        <v>227</v>
      </c>
      <c r="V177" s="2" t="s">
        <v>230</v>
      </c>
      <c r="W177" s="2" t="s">
        <v>836</v>
      </c>
      <c r="X177" s="2" t="s">
        <v>227</v>
      </c>
      <c r="Y177" s="2" t="s">
        <v>232</v>
      </c>
      <c r="Z177" s="4">
        <v>216</v>
      </c>
      <c r="AA177" s="4">
        <f>=ROUNDDOWN(216,0)</f>
      </c>
      <c r="AB177" s="5">
        <v>1</v>
      </c>
      <c r="AC177" s="2" t="s">
        <v>227</v>
      </c>
      <c r="AD177" s="4"/>
      <c r="AE177" s="4"/>
      <c r="AF177" s="6">
        <v>74</v>
      </c>
      <c r="AG177" s="6"/>
      <c r="AH177" s="7">
        <v>1</v>
      </c>
      <c r="AI177" s="4"/>
      <c r="AJ177" s="4">
        <f>=ROUNDDOWN({0},0)</f>
      </c>
      <c r="AK177" s="5"/>
      <c r="AL177" s="2" t="s">
        <v>227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 t="s">
        <v>227</v>
      </c>
      <c r="BD177" s="8" t="s">
        <v>227</v>
      </c>
      <c r="BE177" s="4" t="s">
        <v>227</v>
      </c>
      <c r="BF177" s="8" t="s">
        <v>227</v>
      </c>
      <c r="BG177" s="7" t="s">
        <v>227</v>
      </c>
      <c r="BH177" s="7" t="s">
        <v>227</v>
      </c>
      <c r="BI177" s="7"/>
      <c r="BJ177" s="4">
        <v>16</v>
      </c>
      <c r="BK177" s="8">
        <v>1037.92</v>
      </c>
      <c r="BL177" s="2" t="s">
        <v>1518</v>
      </c>
      <c r="BM177" s="7"/>
      <c r="BN177" s="7"/>
      <c r="BO177" s="4"/>
      <c r="BP177" s="8"/>
      <c r="BQ177" s="4"/>
      <c r="BR177" s="8"/>
      <c r="BS177" s="7"/>
      <c r="BT177" s="7"/>
      <c r="BU177" s="2" t="s">
        <v>1519</v>
      </c>
      <c r="BV177" s="2" t="s">
        <v>227</v>
      </c>
      <c r="BW177" s="2" t="s">
        <v>227</v>
      </c>
      <c r="BX177" s="2" t="s">
        <v>235</v>
      </c>
      <c r="BY177" s="2" t="s">
        <v>236</v>
      </c>
      <c r="BZ177" s="2" t="s">
        <v>224</v>
      </c>
      <c r="CA177" s="2" t="s">
        <v>237</v>
      </c>
      <c r="CB177" s="2" t="s">
        <v>1520</v>
      </c>
      <c r="CC177" s="2" t="s">
        <v>239</v>
      </c>
      <c r="CD177" s="2" t="s">
        <v>227</v>
      </c>
      <c r="CE177" s="4"/>
      <c r="CF177" s="4">
        <v>216</v>
      </c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</row>
    <row r="178">
      <c r="A178" s="2" t="s">
        <v>1521</v>
      </c>
      <c r="B178" s="2" t="s">
        <v>1001</v>
      </c>
      <c r="C178" s="2" t="s">
        <v>668</v>
      </c>
      <c r="D178" s="2" t="s">
        <v>1140</v>
      </c>
      <c r="E178" s="2" t="s">
        <v>1141</v>
      </c>
      <c r="F178" s="2" t="s">
        <v>1522</v>
      </c>
      <c r="G178" s="2" t="s">
        <v>1522</v>
      </c>
      <c r="H178" s="2" t="s">
        <v>1522</v>
      </c>
      <c r="I178" s="2" t="s">
        <v>1523</v>
      </c>
      <c r="J178" s="2" t="s">
        <v>548</v>
      </c>
      <c r="K178" s="2" t="s">
        <v>1524</v>
      </c>
      <c r="L178" s="3">
        <v>38.7</v>
      </c>
      <c r="M178" s="3">
        <v>40.64</v>
      </c>
      <c r="N178" s="3">
        <v>89.99</v>
      </c>
      <c r="O178" s="2" t="s">
        <v>224</v>
      </c>
      <c r="P178" s="2" t="s">
        <v>225</v>
      </c>
      <c r="Q178" s="2" t="s">
        <v>226</v>
      </c>
      <c r="R178" s="2" t="s">
        <v>227</v>
      </c>
      <c r="S178" s="2" t="s">
        <v>227</v>
      </c>
      <c r="T178" s="2" t="s">
        <v>227</v>
      </c>
      <c r="U178" s="2" t="s">
        <v>552</v>
      </c>
      <c r="V178" s="2" t="s">
        <v>566</v>
      </c>
      <c r="W178" s="2" t="s">
        <v>676</v>
      </c>
      <c r="X178" s="2" t="s">
        <v>227</v>
      </c>
      <c r="Y178" s="2" t="s">
        <v>1525</v>
      </c>
      <c r="Z178" s="4">
        <v>130</v>
      </c>
      <c r="AA178" s="4">
        <f>=ROUNDDOWN(41.9354838709677,0)</f>
      </c>
      <c r="AB178" s="5">
        <v>3.1</v>
      </c>
      <c r="AC178" s="2" t="s">
        <v>227</v>
      </c>
      <c r="AD178" s="4"/>
      <c r="AE178" s="4"/>
      <c r="AF178" s="6">
        <v>63</v>
      </c>
      <c r="AG178" s="6"/>
      <c r="AH178" s="7">
        <v>1</v>
      </c>
      <c r="AI178" s="4"/>
      <c r="AJ178" s="4">
        <f>=ROUNDDOWN({0},0)</f>
      </c>
      <c r="AK178" s="5"/>
      <c r="AL178" s="2" t="s">
        <v>227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/>
      <c r="BD178" s="8"/>
      <c r="BE178" s="4"/>
      <c r="BF178" s="8"/>
      <c r="BG178" s="7"/>
      <c r="BH178" s="7"/>
      <c r="BI178" s="7"/>
      <c r="BJ178" s="4">
        <v>18</v>
      </c>
      <c r="BK178" s="8">
        <v>835.04</v>
      </c>
      <c r="BL178" s="2" t="s">
        <v>1526</v>
      </c>
      <c r="BM178" s="7"/>
      <c r="BN178" s="7"/>
      <c r="BO178" s="4"/>
      <c r="BP178" s="8"/>
      <c r="BQ178" s="4"/>
      <c r="BR178" s="8"/>
      <c r="BS178" s="7"/>
      <c r="BT178" s="7"/>
      <c r="BU178" s="2" t="s">
        <v>1527</v>
      </c>
      <c r="BV178" s="2" t="s">
        <v>227</v>
      </c>
      <c r="BW178" s="2" t="s">
        <v>227</v>
      </c>
      <c r="BX178" s="2" t="s">
        <v>235</v>
      </c>
      <c r="BY178" s="2" t="s">
        <v>236</v>
      </c>
      <c r="BZ178" s="2" t="s">
        <v>224</v>
      </c>
      <c r="CA178" s="2" t="s">
        <v>1528</v>
      </c>
      <c r="CB178" s="2" t="s">
        <v>1529</v>
      </c>
      <c r="CC178" s="2" t="s">
        <v>239</v>
      </c>
      <c r="CD178" s="2" t="s">
        <v>227</v>
      </c>
      <c r="CE178" s="4"/>
      <c r="CF178" s="4">
        <v>130</v>
      </c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</row>
    <row r="179">
      <c r="A179" s="2" t="s">
        <v>1530</v>
      </c>
      <c r="B179" s="2" t="s">
        <v>573</v>
      </c>
      <c r="C179" s="2" t="s">
        <v>360</v>
      </c>
      <c r="D179" s="2" t="s">
        <v>832</v>
      </c>
      <c r="E179" s="2" t="s">
        <v>833</v>
      </c>
      <c r="F179" s="2" t="s">
        <v>1531</v>
      </c>
      <c r="G179" s="2" t="s">
        <v>1532</v>
      </c>
      <c r="H179" s="2" t="s">
        <v>1533</v>
      </c>
      <c r="I179" s="2" t="s">
        <v>1534</v>
      </c>
      <c r="J179" s="2" t="s">
        <v>548</v>
      </c>
      <c r="K179" s="2" t="s">
        <v>737</v>
      </c>
      <c r="L179" s="3">
        <v>162.45</v>
      </c>
      <c r="M179" s="3">
        <v>170.57</v>
      </c>
      <c r="N179" s="3">
        <v>339</v>
      </c>
      <c r="O179" s="2" t="s">
        <v>224</v>
      </c>
      <c r="P179" s="2" t="s">
        <v>580</v>
      </c>
      <c r="Q179" s="2" t="s">
        <v>226</v>
      </c>
      <c r="R179" s="2" t="s">
        <v>227</v>
      </c>
      <c r="S179" s="2" t="s">
        <v>227</v>
      </c>
      <c r="T179" s="2" t="s">
        <v>227</v>
      </c>
      <c r="U179" s="2" t="s">
        <v>227</v>
      </c>
      <c r="V179" s="2" t="s">
        <v>877</v>
      </c>
      <c r="W179" s="2" t="s">
        <v>581</v>
      </c>
      <c r="X179" s="2" t="s">
        <v>227</v>
      </c>
      <c r="Y179" s="2" t="s">
        <v>1535</v>
      </c>
      <c r="Z179" s="4">
        <v>212</v>
      </c>
      <c r="AA179" s="4">
        <f>=ROUNDDOWN(70.6666666666667,0)</f>
      </c>
      <c r="AB179" s="5">
        <v>3</v>
      </c>
      <c r="AC179" s="2" t="s">
        <v>227</v>
      </c>
      <c r="AD179" s="4"/>
      <c r="AE179" s="4"/>
      <c r="AF179" s="6">
        <v>74</v>
      </c>
      <c r="AG179" s="6"/>
      <c r="AH179" s="7">
        <v>1</v>
      </c>
      <c r="AI179" s="4"/>
      <c r="AJ179" s="4">
        <f>=ROUNDDOWN({0},0)</f>
      </c>
      <c r="AK179" s="5"/>
      <c r="AL179" s="2" t="s">
        <v>227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227</v>
      </c>
      <c r="BD179" s="8" t="s">
        <v>227</v>
      </c>
      <c r="BE179" s="4" t="s">
        <v>227</v>
      </c>
      <c r="BF179" s="8" t="s">
        <v>227</v>
      </c>
      <c r="BG179" s="7" t="s">
        <v>227</v>
      </c>
      <c r="BH179" s="7" t="s">
        <v>227</v>
      </c>
      <c r="BI179" s="7"/>
      <c r="BJ179" s="4">
        <v>50</v>
      </c>
      <c r="BK179" s="8">
        <v>8594.7</v>
      </c>
      <c r="BL179" s="2" t="s">
        <v>1536</v>
      </c>
      <c r="BM179" s="7"/>
      <c r="BN179" s="7"/>
      <c r="BO179" s="4"/>
      <c r="BP179" s="8"/>
      <c r="BQ179" s="4"/>
      <c r="BR179" s="8"/>
      <c r="BS179" s="7"/>
      <c r="BT179" s="7"/>
      <c r="BU179" s="2" t="s">
        <v>1537</v>
      </c>
      <c r="BV179" s="2" t="s">
        <v>227</v>
      </c>
      <c r="BW179" s="2" t="s">
        <v>227</v>
      </c>
      <c r="BX179" s="2" t="s">
        <v>235</v>
      </c>
      <c r="BY179" s="2" t="s">
        <v>236</v>
      </c>
      <c r="BZ179" s="2" t="s">
        <v>224</v>
      </c>
      <c r="CA179" s="2" t="s">
        <v>1538</v>
      </c>
      <c r="CB179" s="2" t="s">
        <v>1539</v>
      </c>
      <c r="CC179" s="2" t="s">
        <v>239</v>
      </c>
      <c r="CD179" s="2" t="s">
        <v>227</v>
      </c>
      <c r="CE179" s="4"/>
      <c r="CF179" s="4">
        <v>212</v>
      </c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</row>
    <row r="180">
      <c r="A180" s="2" t="s">
        <v>1540</v>
      </c>
      <c r="B180" s="2" t="s">
        <v>573</v>
      </c>
      <c r="C180" s="2" t="s">
        <v>360</v>
      </c>
      <c r="D180" s="2" t="s">
        <v>832</v>
      </c>
      <c r="E180" s="2" t="s">
        <v>833</v>
      </c>
      <c r="F180" s="2" t="s">
        <v>1531</v>
      </c>
      <c r="G180" s="2" t="s">
        <v>1532</v>
      </c>
      <c r="H180" s="2" t="s">
        <v>1533</v>
      </c>
      <c r="I180" s="2" t="s">
        <v>1534</v>
      </c>
      <c r="J180" s="2" t="s">
        <v>548</v>
      </c>
      <c r="K180" s="2" t="s">
        <v>657</v>
      </c>
      <c r="L180" s="3">
        <v>162.45</v>
      </c>
      <c r="M180" s="3">
        <v>170.57</v>
      </c>
      <c r="N180" s="3">
        <v>339</v>
      </c>
      <c r="O180" s="2" t="s">
        <v>224</v>
      </c>
      <c r="P180" s="2" t="s">
        <v>225</v>
      </c>
      <c r="Q180" s="2" t="s">
        <v>226</v>
      </c>
      <c r="R180" s="2" t="s">
        <v>227</v>
      </c>
      <c r="S180" s="2" t="s">
        <v>1541</v>
      </c>
      <c r="T180" s="2" t="s">
        <v>227</v>
      </c>
      <c r="U180" s="2" t="s">
        <v>227</v>
      </c>
      <c r="V180" s="2" t="s">
        <v>906</v>
      </c>
      <c r="W180" s="2" t="s">
        <v>836</v>
      </c>
      <c r="X180" s="2" t="s">
        <v>227</v>
      </c>
      <c r="Y180" s="2" t="s">
        <v>232</v>
      </c>
      <c r="Z180" s="4">
        <v>256</v>
      </c>
      <c r="AA180" s="4">
        <f>=ROUNDDOWN(85.3333333333333,0)</f>
      </c>
      <c r="AB180" s="5">
        <v>3</v>
      </c>
      <c r="AC180" s="2" t="s">
        <v>227</v>
      </c>
      <c r="AD180" s="4"/>
      <c r="AE180" s="4"/>
      <c r="AF180" s="6">
        <v>74</v>
      </c>
      <c r="AG180" s="6"/>
      <c r="AH180" s="7">
        <v>1</v>
      </c>
      <c r="AI180" s="4"/>
      <c r="AJ180" s="4">
        <f>=ROUNDDOWN({0},0)</f>
      </c>
      <c r="AK180" s="5"/>
      <c r="AL180" s="2" t="s">
        <v>227</v>
      </c>
      <c r="AM180" s="4"/>
      <c r="AN180" s="4"/>
      <c r="AO180" s="7">
        <v>0.5484</v>
      </c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227</v>
      </c>
      <c r="BD180" s="8" t="s">
        <v>227</v>
      </c>
      <c r="BE180" s="4" t="s">
        <v>227</v>
      </c>
      <c r="BF180" s="8" t="s">
        <v>227</v>
      </c>
      <c r="BG180" s="7" t="s">
        <v>227</v>
      </c>
      <c r="BH180" s="7" t="s">
        <v>227</v>
      </c>
      <c r="BI180" s="7"/>
      <c r="BJ180" s="4">
        <v>32</v>
      </c>
      <c r="BK180" s="8">
        <v>5475.3</v>
      </c>
      <c r="BL180" s="2" t="s">
        <v>1542</v>
      </c>
      <c r="BM180" s="7"/>
      <c r="BN180" s="7"/>
      <c r="BO180" s="4"/>
      <c r="BP180" s="8"/>
      <c r="BQ180" s="4"/>
      <c r="BR180" s="8"/>
      <c r="BS180" s="7"/>
      <c r="BT180" s="7"/>
      <c r="BU180" s="2" t="s">
        <v>1543</v>
      </c>
      <c r="BV180" s="2" t="s">
        <v>227</v>
      </c>
      <c r="BW180" s="2" t="s">
        <v>227</v>
      </c>
      <c r="BX180" s="2" t="s">
        <v>235</v>
      </c>
      <c r="BY180" s="2" t="s">
        <v>236</v>
      </c>
      <c r="BZ180" s="2" t="s">
        <v>224</v>
      </c>
      <c r="CA180" s="2" t="s">
        <v>237</v>
      </c>
      <c r="CB180" s="2" t="s">
        <v>1544</v>
      </c>
      <c r="CC180" s="2" t="s">
        <v>239</v>
      </c>
      <c r="CD180" s="2" t="s">
        <v>227</v>
      </c>
      <c r="CE180" s="4"/>
      <c r="CF180" s="4">
        <v>256</v>
      </c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  <c r="GU180" s="4"/>
      <c r="GV180" s="4"/>
      <c r="GW180" s="4"/>
      <c r="GX180" s="4"/>
    </row>
    <row r="181">
      <c r="A181" s="2" t="s">
        <v>1545</v>
      </c>
      <c r="B181" s="2" t="s">
        <v>618</v>
      </c>
      <c r="C181" s="2" t="s">
        <v>1546</v>
      </c>
      <c r="D181" s="2" t="s">
        <v>687</v>
      </c>
      <c r="E181" s="2" t="s">
        <v>699</v>
      </c>
      <c r="F181" s="2" t="s">
        <v>1547</v>
      </c>
      <c r="G181" s="2" t="s">
        <v>1548</v>
      </c>
      <c r="H181" s="2" t="s">
        <v>1549</v>
      </c>
      <c r="I181" s="2" t="s">
        <v>1550</v>
      </c>
      <c r="J181" s="2" t="s">
        <v>682</v>
      </c>
      <c r="K181" s="2" t="s">
        <v>223</v>
      </c>
      <c r="L181" s="3">
        <v>75.6</v>
      </c>
      <c r="M181" s="3">
        <v>79.38</v>
      </c>
      <c r="N181" s="3">
        <v>159.99</v>
      </c>
      <c r="O181" s="2" t="s">
        <v>224</v>
      </c>
      <c r="P181" s="2" t="s">
        <v>225</v>
      </c>
      <c r="Q181" s="2" t="s">
        <v>226</v>
      </c>
      <c r="R181" s="2" t="s">
        <v>227</v>
      </c>
      <c r="S181" s="2" t="s">
        <v>1551</v>
      </c>
      <c r="T181" s="2" t="s">
        <v>286</v>
      </c>
      <c r="U181" s="2" t="s">
        <v>1069</v>
      </c>
      <c r="V181" s="2" t="s">
        <v>230</v>
      </c>
      <c r="W181" s="2" t="s">
        <v>1552</v>
      </c>
      <c r="X181" s="2" t="s">
        <v>1553</v>
      </c>
      <c r="Y181" s="2" t="s">
        <v>1554</v>
      </c>
      <c r="Z181" s="4">
        <v>189</v>
      </c>
      <c r="AA181" s="4">
        <f>=ROUNDDOWN(37.8,0)</f>
      </c>
      <c r="AB181" s="5">
        <v>5</v>
      </c>
      <c r="AC181" s="2" t="s">
        <v>227</v>
      </c>
      <c r="AD181" s="4"/>
      <c r="AE181" s="4"/>
      <c r="AF181" s="6">
        <v>66</v>
      </c>
      <c r="AG181" s="6">
        <v>49</v>
      </c>
      <c r="AH181" s="7">
        <v>1</v>
      </c>
      <c r="AI181" s="4"/>
      <c r="AJ181" s="4">
        <f>=ROUNDDOWN({0},0)</f>
      </c>
      <c r="AK181" s="5"/>
      <c r="AL181" s="2" t="s">
        <v>227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 t="s">
        <v>227</v>
      </c>
      <c r="BD181" s="8" t="s">
        <v>227</v>
      </c>
      <c r="BE181" s="4" t="s">
        <v>227</v>
      </c>
      <c r="BF181" s="8" t="s">
        <v>227</v>
      </c>
      <c r="BG181" s="7" t="s">
        <v>227</v>
      </c>
      <c r="BH181" s="7" t="s">
        <v>227</v>
      </c>
      <c r="BI181" s="7"/>
      <c r="BJ181" s="4">
        <v>18</v>
      </c>
      <c r="BK181" s="8">
        <v>1599.36</v>
      </c>
      <c r="BL181" s="2" t="s">
        <v>1555</v>
      </c>
      <c r="BM181" s="7"/>
      <c r="BN181" s="7"/>
      <c r="BO181" s="4"/>
      <c r="BP181" s="8"/>
      <c r="BQ181" s="4"/>
      <c r="BR181" s="8"/>
      <c r="BS181" s="7"/>
      <c r="BT181" s="7"/>
      <c r="BU181" s="2" t="s">
        <v>1556</v>
      </c>
      <c r="BV181" s="2" t="s">
        <v>227</v>
      </c>
      <c r="BW181" s="2" t="s">
        <v>227</v>
      </c>
      <c r="BX181" s="2" t="s">
        <v>235</v>
      </c>
      <c r="BY181" s="2" t="s">
        <v>236</v>
      </c>
      <c r="BZ181" s="2" t="s">
        <v>224</v>
      </c>
      <c r="CA181" s="2" t="s">
        <v>1557</v>
      </c>
      <c r="CB181" s="2" t="s">
        <v>1558</v>
      </c>
      <c r="CC181" s="2" t="s">
        <v>239</v>
      </c>
      <c r="CD181" s="2" t="s">
        <v>227</v>
      </c>
      <c r="CE181" s="4">
        <v>101</v>
      </c>
      <c r="CF181" s="4"/>
      <c r="CG181" s="4"/>
      <c r="CH181" s="4">
        <v>88</v>
      </c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  <c r="GU181" s="4"/>
      <c r="GV181" s="4"/>
      <c r="GW181" s="4"/>
      <c r="GX181" s="4"/>
    </row>
    <row r="182">
      <c r="A182" s="2" t="s">
        <v>1559</v>
      </c>
      <c r="B182" s="2" t="s">
        <v>618</v>
      </c>
      <c r="C182" s="2" t="s">
        <v>1546</v>
      </c>
      <c r="D182" s="2" t="s">
        <v>620</v>
      </c>
      <c r="E182" s="2" t="s">
        <v>621</v>
      </c>
      <c r="F182" s="2" t="s">
        <v>1547</v>
      </c>
      <c r="G182" s="2" t="s">
        <v>1548</v>
      </c>
      <c r="H182" s="2" t="s">
        <v>1549</v>
      </c>
      <c r="I182" s="2" t="s">
        <v>1560</v>
      </c>
      <c r="J182" s="2" t="s">
        <v>1304</v>
      </c>
      <c r="K182" s="2" t="s">
        <v>1242</v>
      </c>
      <c r="L182" s="3">
        <v>46.53</v>
      </c>
      <c r="M182" s="3">
        <v>48.86</v>
      </c>
      <c r="N182" s="3">
        <v>89.99</v>
      </c>
      <c r="O182" s="2" t="s">
        <v>224</v>
      </c>
      <c r="P182" s="2" t="s">
        <v>225</v>
      </c>
      <c r="Q182" s="2" t="s">
        <v>226</v>
      </c>
      <c r="R182" s="2" t="s">
        <v>227</v>
      </c>
      <c r="S182" s="2" t="s">
        <v>1561</v>
      </c>
      <c r="T182" s="2" t="s">
        <v>286</v>
      </c>
      <c r="U182" s="2" t="s">
        <v>1350</v>
      </c>
      <c r="V182" s="2" t="s">
        <v>230</v>
      </c>
      <c r="W182" s="2" t="s">
        <v>1552</v>
      </c>
      <c r="X182" s="2" t="s">
        <v>1553</v>
      </c>
      <c r="Y182" s="2" t="s">
        <v>1562</v>
      </c>
      <c r="Z182" s="4">
        <v>331</v>
      </c>
      <c r="AA182" s="4">
        <f>=ROUNDDOWN(165.5,0)</f>
      </c>
      <c r="AB182" s="5">
        <v>2</v>
      </c>
      <c r="AC182" s="2" t="s">
        <v>227</v>
      </c>
      <c r="AD182" s="4"/>
      <c r="AE182" s="4"/>
      <c r="AF182" s="6">
        <v>66</v>
      </c>
      <c r="AG182" s="6"/>
      <c r="AH182" s="7">
        <v>1</v>
      </c>
      <c r="AI182" s="4"/>
      <c r="AJ182" s="4">
        <f>=ROUNDDOWN({0},0)</f>
      </c>
      <c r="AK182" s="5"/>
      <c r="AL182" s="2" t="s">
        <v>227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227</v>
      </c>
      <c r="AW182" s="8" t="s">
        <v>227</v>
      </c>
      <c r="AX182" s="4" t="s">
        <v>227</v>
      </c>
      <c r="AY182" s="8" t="s">
        <v>227</v>
      </c>
      <c r="AZ182" s="7" t="s">
        <v>227</v>
      </c>
      <c r="BA182" s="7" t="s">
        <v>227</v>
      </c>
      <c r="BB182" s="7"/>
      <c r="BC182" s="4" t="s">
        <v>227</v>
      </c>
      <c r="BD182" s="8" t="s">
        <v>227</v>
      </c>
      <c r="BE182" s="4" t="s">
        <v>227</v>
      </c>
      <c r="BF182" s="8" t="s">
        <v>227</v>
      </c>
      <c r="BG182" s="7" t="s">
        <v>227</v>
      </c>
      <c r="BH182" s="7" t="s">
        <v>227</v>
      </c>
      <c r="BI182" s="7"/>
      <c r="BJ182" s="4">
        <v>2</v>
      </c>
      <c r="BK182" s="8">
        <v>94.58</v>
      </c>
      <c r="BL182" s="2" t="s">
        <v>1563</v>
      </c>
      <c r="BM182" s="7"/>
      <c r="BN182" s="7"/>
      <c r="BO182" s="4"/>
      <c r="BP182" s="8"/>
      <c r="BQ182" s="4"/>
      <c r="BR182" s="8"/>
      <c r="BS182" s="7"/>
      <c r="BT182" s="7"/>
      <c r="BU182" s="2" t="s">
        <v>1564</v>
      </c>
      <c r="BV182" s="2" t="s">
        <v>227</v>
      </c>
      <c r="BW182" s="2" t="s">
        <v>227</v>
      </c>
      <c r="BX182" s="2" t="s">
        <v>235</v>
      </c>
      <c r="BY182" s="2" t="s">
        <v>236</v>
      </c>
      <c r="BZ182" s="2" t="s">
        <v>224</v>
      </c>
      <c r="CA182" s="2" t="s">
        <v>1565</v>
      </c>
      <c r="CB182" s="2" t="s">
        <v>1566</v>
      </c>
      <c r="CC182" s="2" t="s">
        <v>239</v>
      </c>
      <c r="CD182" s="2" t="s">
        <v>227</v>
      </c>
      <c r="CE182" s="4">
        <v>331</v>
      </c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  <c r="GU182" s="4"/>
      <c r="GV182" s="4"/>
      <c r="GW182" s="4"/>
      <c r="GX182" s="4"/>
    </row>
    <row r="183">
      <c r="A183" s="2" t="s">
        <v>1567</v>
      </c>
      <c r="B183" s="2" t="s">
        <v>618</v>
      </c>
      <c r="C183" s="2" t="s">
        <v>1546</v>
      </c>
      <c r="D183" s="2" t="s">
        <v>620</v>
      </c>
      <c r="E183" s="2" t="s">
        <v>621</v>
      </c>
      <c r="F183" s="2" t="s">
        <v>1547</v>
      </c>
      <c r="G183" s="2" t="s">
        <v>1548</v>
      </c>
      <c r="H183" s="2" t="s">
        <v>1549</v>
      </c>
      <c r="I183" s="2" t="s">
        <v>1560</v>
      </c>
      <c r="J183" s="2" t="s">
        <v>682</v>
      </c>
      <c r="K183" s="2" t="s">
        <v>1242</v>
      </c>
      <c r="L183" s="3">
        <v>72</v>
      </c>
      <c r="M183" s="3">
        <v>75.6</v>
      </c>
      <c r="N183" s="3">
        <v>139.99</v>
      </c>
      <c r="O183" s="2" t="s">
        <v>224</v>
      </c>
      <c r="P183" s="2" t="s">
        <v>225</v>
      </c>
      <c r="Q183" s="2" t="s">
        <v>226</v>
      </c>
      <c r="R183" s="2" t="s">
        <v>227</v>
      </c>
      <c r="S183" s="2" t="s">
        <v>1561</v>
      </c>
      <c r="T183" s="2" t="s">
        <v>286</v>
      </c>
      <c r="U183" s="2" t="s">
        <v>1069</v>
      </c>
      <c r="V183" s="2" t="s">
        <v>230</v>
      </c>
      <c r="W183" s="2" t="s">
        <v>1552</v>
      </c>
      <c r="X183" s="2" t="s">
        <v>1553</v>
      </c>
      <c r="Y183" s="2" t="s">
        <v>1562</v>
      </c>
      <c r="Z183" s="4">
        <v>132</v>
      </c>
      <c r="AA183" s="4">
        <f>=ROUNDDOWN(66,0)</f>
      </c>
      <c r="AB183" s="5">
        <v>2</v>
      </c>
      <c r="AC183" s="2" t="s">
        <v>227</v>
      </c>
      <c r="AD183" s="4"/>
      <c r="AE183" s="4"/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227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227</v>
      </c>
      <c r="AW183" s="8" t="s">
        <v>227</v>
      </c>
      <c r="AX183" s="4" t="s">
        <v>227</v>
      </c>
      <c r="AY183" s="8" t="s">
        <v>227</v>
      </c>
      <c r="AZ183" s="7" t="s">
        <v>227</v>
      </c>
      <c r="BA183" s="7" t="s">
        <v>227</v>
      </c>
      <c r="BB183" s="7"/>
      <c r="BC183" s="4" t="s">
        <v>227</v>
      </c>
      <c r="BD183" s="8" t="s">
        <v>227</v>
      </c>
      <c r="BE183" s="4" t="s">
        <v>227</v>
      </c>
      <c r="BF183" s="8" t="s">
        <v>227</v>
      </c>
      <c r="BG183" s="7" t="s">
        <v>227</v>
      </c>
      <c r="BH183" s="7" t="s">
        <v>227</v>
      </c>
      <c r="BI183" s="7"/>
      <c r="BJ183" s="4">
        <v>5</v>
      </c>
      <c r="BK183" s="8">
        <v>411.16</v>
      </c>
      <c r="BL183" s="2" t="s">
        <v>1568</v>
      </c>
      <c r="BM183" s="7"/>
      <c r="BN183" s="7"/>
      <c r="BO183" s="4"/>
      <c r="BP183" s="8"/>
      <c r="BQ183" s="4"/>
      <c r="BR183" s="8"/>
      <c r="BS183" s="7"/>
      <c r="BT183" s="7"/>
      <c r="BU183" s="2" t="s">
        <v>1569</v>
      </c>
      <c r="BV183" s="2" t="s">
        <v>227</v>
      </c>
      <c r="BW183" s="2" t="s">
        <v>227</v>
      </c>
      <c r="BX183" s="2" t="s">
        <v>235</v>
      </c>
      <c r="BY183" s="2" t="s">
        <v>236</v>
      </c>
      <c r="BZ183" s="2" t="s">
        <v>224</v>
      </c>
      <c r="CA183" s="2" t="s">
        <v>1565</v>
      </c>
      <c r="CB183" s="2" t="s">
        <v>1570</v>
      </c>
      <c r="CC183" s="2" t="s">
        <v>239</v>
      </c>
      <c r="CD183" s="2" t="s">
        <v>227</v>
      </c>
      <c r="CE183" s="4">
        <v>132</v>
      </c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/>
    </row>
    <row r="184">
      <c r="A184" s="2" t="s">
        <v>1571</v>
      </c>
      <c r="B184" s="2" t="s">
        <v>618</v>
      </c>
      <c r="C184" s="2" t="s">
        <v>1546</v>
      </c>
      <c r="D184" s="2" t="s">
        <v>687</v>
      </c>
      <c r="E184" s="2" t="s">
        <v>699</v>
      </c>
      <c r="F184" s="2" t="s">
        <v>1547</v>
      </c>
      <c r="G184" s="2" t="s">
        <v>1548</v>
      </c>
      <c r="H184" s="2" t="s">
        <v>1549</v>
      </c>
      <c r="I184" s="2" t="s">
        <v>1550</v>
      </c>
      <c r="J184" s="2" t="s">
        <v>682</v>
      </c>
      <c r="K184" s="2" t="s">
        <v>657</v>
      </c>
      <c r="L184" s="3">
        <v>75.6</v>
      </c>
      <c r="M184" s="3">
        <v>79.38</v>
      </c>
      <c r="N184" s="3">
        <v>159.99</v>
      </c>
      <c r="O184" s="2" t="s">
        <v>224</v>
      </c>
      <c r="P184" s="2" t="s">
        <v>225</v>
      </c>
      <c r="Q184" s="2" t="s">
        <v>226</v>
      </c>
      <c r="R184" s="2" t="s">
        <v>227</v>
      </c>
      <c r="S184" s="2" t="s">
        <v>1572</v>
      </c>
      <c r="T184" s="2" t="s">
        <v>286</v>
      </c>
      <c r="U184" s="2" t="s">
        <v>1069</v>
      </c>
      <c r="V184" s="2" t="s">
        <v>230</v>
      </c>
      <c r="W184" s="2" t="s">
        <v>1552</v>
      </c>
      <c r="X184" s="2" t="s">
        <v>1553</v>
      </c>
      <c r="Y184" s="2" t="s">
        <v>1562</v>
      </c>
      <c r="Z184" s="4">
        <v>136</v>
      </c>
      <c r="AA184" s="4">
        <f>=ROUNDDOWN(27.2,0)</f>
      </c>
      <c r="AB184" s="5">
        <v>5</v>
      </c>
      <c r="AC184" s="2" t="s">
        <v>155</v>
      </c>
      <c r="AD184" s="4">
        <v>60</v>
      </c>
      <c r="AE184" s="4">
        <v>60</v>
      </c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227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 t="s">
        <v>227</v>
      </c>
      <c r="BD184" s="8" t="s">
        <v>227</v>
      </c>
      <c r="BE184" s="4" t="s">
        <v>227</v>
      </c>
      <c r="BF184" s="8" t="s">
        <v>227</v>
      </c>
      <c r="BG184" s="7" t="s">
        <v>227</v>
      </c>
      <c r="BH184" s="7" t="s">
        <v>227</v>
      </c>
      <c r="BI184" s="7"/>
      <c r="BJ184" s="4">
        <v>11</v>
      </c>
      <c r="BK184" s="8">
        <v>976.4</v>
      </c>
      <c r="BL184" s="2" t="s">
        <v>1573</v>
      </c>
      <c r="BM184" s="7"/>
      <c r="BN184" s="7"/>
      <c r="BO184" s="4"/>
      <c r="BP184" s="8"/>
      <c r="BQ184" s="4"/>
      <c r="BR184" s="8"/>
      <c r="BS184" s="7"/>
      <c r="BT184" s="7"/>
      <c r="BU184" s="2" t="s">
        <v>1574</v>
      </c>
      <c r="BV184" s="2" t="s">
        <v>227</v>
      </c>
      <c r="BW184" s="2" t="s">
        <v>227</v>
      </c>
      <c r="BX184" s="2" t="s">
        <v>235</v>
      </c>
      <c r="BY184" s="2" t="s">
        <v>236</v>
      </c>
      <c r="BZ184" s="2" t="s">
        <v>224</v>
      </c>
      <c r="CA184" s="2" t="s">
        <v>1562</v>
      </c>
      <c r="CB184" s="2" t="s">
        <v>1575</v>
      </c>
      <c r="CC184" s="2" t="s">
        <v>239</v>
      </c>
      <c r="CD184" s="2" t="s">
        <v>227</v>
      </c>
      <c r="CE184" s="4">
        <v>136</v>
      </c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>
        <v>60</v>
      </c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  <c r="GW184" s="4"/>
      <c r="GX184" s="4"/>
    </row>
    <row r="185">
      <c r="A185" s="2" t="s">
        <v>1576</v>
      </c>
      <c r="B185" s="2" t="s">
        <v>618</v>
      </c>
      <c r="C185" s="2" t="s">
        <v>1546</v>
      </c>
      <c r="D185" s="2" t="s">
        <v>620</v>
      </c>
      <c r="E185" s="2" t="s">
        <v>621</v>
      </c>
      <c r="F185" s="2" t="s">
        <v>1547</v>
      </c>
      <c r="G185" s="2" t="s">
        <v>1548</v>
      </c>
      <c r="H185" s="2" t="s">
        <v>1549</v>
      </c>
      <c r="I185" s="2" t="s">
        <v>1560</v>
      </c>
      <c r="J185" s="2" t="s">
        <v>682</v>
      </c>
      <c r="K185" s="2" t="s">
        <v>1577</v>
      </c>
      <c r="L185" s="3">
        <v>72</v>
      </c>
      <c r="M185" s="3">
        <v>75.6</v>
      </c>
      <c r="N185" s="3">
        <v>139.99</v>
      </c>
      <c r="O185" s="2" t="s">
        <v>224</v>
      </c>
      <c r="P185" s="2" t="s">
        <v>550</v>
      </c>
      <c r="Q185" s="2" t="s">
        <v>226</v>
      </c>
      <c r="R185" s="2" t="s">
        <v>227</v>
      </c>
      <c r="S185" s="2" t="s">
        <v>1578</v>
      </c>
      <c r="T185" s="2" t="s">
        <v>286</v>
      </c>
      <c r="U185" s="2" t="s">
        <v>1069</v>
      </c>
      <c r="V185" s="2" t="s">
        <v>230</v>
      </c>
      <c r="W185" s="2" t="s">
        <v>1552</v>
      </c>
      <c r="X185" s="2" t="s">
        <v>1553</v>
      </c>
      <c r="Y185" s="2" t="s">
        <v>1579</v>
      </c>
      <c r="Z185" s="4">
        <v>103</v>
      </c>
      <c r="AA185" s="4">
        <f>=ROUNDDOWN(51.5,0)</f>
      </c>
      <c r="AB185" s="5">
        <v>2</v>
      </c>
      <c r="AC185" s="2" t="s">
        <v>227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227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227</v>
      </c>
      <c r="AW185" s="8" t="s">
        <v>227</v>
      </c>
      <c r="AX185" s="4" t="s">
        <v>227</v>
      </c>
      <c r="AY185" s="8" t="s">
        <v>227</v>
      </c>
      <c r="AZ185" s="7" t="s">
        <v>227</v>
      </c>
      <c r="BA185" s="7" t="s">
        <v>227</v>
      </c>
      <c r="BB185" s="7"/>
      <c r="BC185" s="4" t="s">
        <v>227</v>
      </c>
      <c r="BD185" s="8" t="s">
        <v>227</v>
      </c>
      <c r="BE185" s="4" t="s">
        <v>227</v>
      </c>
      <c r="BF185" s="8" t="s">
        <v>227</v>
      </c>
      <c r="BG185" s="7" t="s">
        <v>227</v>
      </c>
      <c r="BH185" s="7" t="s">
        <v>227</v>
      </c>
      <c r="BI185" s="7"/>
      <c r="BJ185" s="4">
        <v>3</v>
      </c>
      <c r="BK185" s="8">
        <v>242.99</v>
      </c>
      <c r="BL185" s="2" t="s">
        <v>1580</v>
      </c>
      <c r="BM185" s="7"/>
      <c r="BN185" s="7"/>
      <c r="BO185" s="4"/>
      <c r="BP185" s="8"/>
      <c r="BQ185" s="4"/>
      <c r="BR185" s="8"/>
      <c r="BS185" s="7"/>
      <c r="BT185" s="7"/>
      <c r="BU185" s="2" t="s">
        <v>1581</v>
      </c>
      <c r="BV185" s="2" t="s">
        <v>227</v>
      </c>
      <c r="BW185" s="2" t="s">
        <v>227</v>
      </c>
      <c r="BX185" s="2" t="s">
        <v>235</v>
      </c>
      <c r="BY185" s="2" t="s">
        <v>236</v>
      </c>
      <c r="BZ185" s="2" t="s">
        <v>224</v>
      </c>
      <c r="CA185" s="2" t="s">
        <v>1582</v>
      </c>
      <c r="CB185" s="2" t="s">
        <v>1583</v>
      </c>
      <c r="CC185" s="2" t="s">
        <v>239</v>
      </c>
      <c r="CD185" s="2" t="s">
        <v>227</v>
      </c>
      <c r="CE185" s="4">
        <v>103</v>
      </c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  <c r="GU185" s="4"/>
      <c r="GV185" s="4"/>
      <c r="GW185" s="4"/>
      <c r="GX185" s="4"/>
    </row>
    <row r="186">
      <c r="A186" s="2" t="s">
        <v>1584</v>
      </c>
      <c r="B186" s="2" t="s">
        <v>744</v>
      </c>
      <c r="C186" s="2" t="s">
        <v>1546</v>
      </c>
      <c r="D186" s="2" t="s">
        <v>768</v>
      </c>
      <c r="E186" s="2" t="s">
        <v>769</v>
      </c>
      <c r="F186" s="2" t="s">
        <v>1547</v>
      </c>
      <c r="G186" s="2" t="s">
        <v>1548</v>
      </c>
      <c r="H186" s="2" t="s">
        <v>1549</v>
      </c>
      <c r="I186" s="2" t="s">
        <v>1585</v>
      </c>
      <c r="J186" s="2" t="s">
        <v>1586</v>
      </c>
      <c r="K186" s="2" t="s">
        <v>1577</v>
      </c>
      <c r="L186" s="3">
        <v>19.8</v>
      </c>
      <c r="M186" s="3">
        <v>20.79</v>
      </c>
      <c r="N186" s="3">
        <v>44.99</v>
      </c>
      <c r="O186" s="2" t="s">
        <v>224</v>
      </c>
      <c r="P186" s="2" t="s">
        <v>225</v>
      </c>
      <c r="Q186" s="2" t="s">
        <v>226</v>
      </c>
      <c r="R186" s="2" t="s">
        <v>227</v>
      </c>
      <c r="S186" s="2" t="s">
        <v>1587</v>
      </c>
      <c r="T186" s="2" t="s">
        <v>286</v>
      </c>
      <c r="U186" s="2" t="s">
        <v>552</v>
      </c>
      <c r="V186" s="2" t="s">
        <v>230</v>
      </c>
      <c r="W186" s="2" t="s">
        <v>231</v>
      </c>
      <c r="X186" s="2" t="s">
        <v>1552</v>
      </c>
      <c r="Y186" s="2" t="s">
        <v>1588</v>
      </c>
      <c r="Z186" s="4">
        <v>329</v>
      </c>
      <c r="AA186" s="4">
        <f>=ROUNDDOWN(18.2777777777778,0)</f>
      </c>
      <c r="AB186" s="5">
        <v>18</v>
      </c>
      <c r="AC186" s="2" t="s">
        <v>209</v>
      </c>
      <c r="AD186" s="4">
        <v>300</v>
      </c>
      <c r="AE186" s="4">
        <v>300</v>
      </c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227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227</v>
      </c>
      <c r="AW186" s="8" t="s">
        <v>227</v>
      </c>
      <c r="AX186" s="4" t="s">
        <v>227</v>
      </c>
      <c r="AY186" s="8" t="s">
        <v>227</v>
      </c>
      <c r="AZ186" s="7" t="s">
        <v>227</v>
      </c>
      <c r="BA186" s="7" t="s">
        <v>227</v>
      </c>
      <c r="BB186" s="7"/>
      <c r="BC186" s="4" t="s">
        <v>227</v>
      </c>
      <c r="BD186" s="8" t="s">
        <v>227</v>
      </c>
      <c r="BE186" s="4" t="s">
        <v>227</v>
      </c>
      <c r="BF186" s="8" t="s">
        <v>227</v>
      </c>
      <c r="BG186" s="7" t="s">
        <v>227</v>
      </c>
      <c r="BH186" s="7" t="s">
        <v>227</v>
      </c>
      <c r="BI186" s="7"/>
      <c r="BJ186" s="4">
        <v>92</v>
      </c>
      <c r="BK186" s="8">
        <v>2037.79</v>
      </c>
      <c r="BL186" s="2" t="s">
        <v>1589</v>
      </c>
      <c r="BM186" s="7"/>
      <c r="BN186" s="7"/>
      <c r="BO186" s="4"/>
      <c r="BP186" s="8"/>
      <c r="BQ186" s="4"/>
      <c r="BR186" s="8"/>
      <c r="BS186" s="7"/>
      <c r="BT186" s="7"/>
      <c r="BU186" s="2" t="s">
        <v>1590</v>
      </c>
      <c r="BV186" s="2" t="s">
        <v>227</v>
      </c>
      <c r="BW186" s="2" t="s">
        <v>227</v>
      </c>
      <c r="BX186" s="2" t="s">
        <v>235</v>
      </c>
      <c r="BY186" s="2" t="s">
        <v>236</v>
      </c>
      <c r="BZ186" s="2" t="s">
        <v>224</v>
      </c>
      <c r="CA186" s="2" t="s">
        <v>1588</v>
      </c>
      <c r="CB186" s="2" t="s">
        <v>1591</v>
      </c>
      <c r="CC186" s="2" t="s">
        <v>239</v>
      </c>
      <c r="CD186" s="2" t="s">
        <v>227</v>
      </c>
      <c r="CE186" s="4">
        <v>329</v>
      </c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>
        <v>300</v>
      </c>
      <c r="GT186" s="4"/>
      <c r="GU186" s="4"/>
      <c r="GV186" s="4"/>
      <c r="GW186" s="4"/>
      <c r="GX186" s="4"/>
    </row>
    <row r="187">
      <c r="A187" s="2" t="s">
        <v>1592</v>
      </c>
      <c r="B187" s="2" t="s">
        <v>618</v>
      </c>
      <c r="C187" s="2" t="s">
        <v>1546</v>
      </c>
      <c r="D187" s="2" t="s">
        <v>687</v>
      </c>
      <c r="E187" s="2" t="s">
        <v>699</v>
      </c>
      <c r="F187" s="2" t="s">
        <v>1547</v>
      </c>
      <c r="G187" s="2" t="s">
        <v>1548</v>
      </c>
      <c r="H187" s="2" t="s">
        <v>1549</v>
      </c>
      <c r="I187" s="2" t="s">
        <v>1550</v>
      </c>
      <c r="J187" s="2" t="s">
        <v>1304</v>
      </c>
      <c r="K187" s="2" t="s">
        <v>1593</v>
      </c>
      <c r="L187" s="3">
        <v>52.88</v>
      </c>
      <c r="M187" s="3">
        <v>55.52</v>
      </c>
      <c r="N187" s="3">
        <v>109.99</v>
      </c>
      <c r="O187" s="2" t="s">
        <v>224</v>
      </c>
      <c r="P187" s="2" t="s">
        <v>225</v>
      </c>
      <c r="Q187" s="2" t="s">
        <v>226</v>
      </c>
      <c r="R187" s="2" t="s">
        <v>227</v>
      </c>
      <c r="S187" s="2" t="s">
        <v>1594</v>
      </c>
      <c r="T187" s="2" t="s">
        <v>286</v>
      </c>
      <c r="U187" s="2" t="s">
        <v>1350</v>
      </c>
      <c r="V187" s="2" t="s">
        <v>230</v>
      </c>
      <c r="W187" s="2" t="s">
        <v>1552</v>
      </c>
      <c r="X187" s="2" t="s">
        <v>706</v>
      </c>
      <c r="Y187" s="2" t="s">
        <v>1595</v>
      </c>
      <c r="Z187" s="4">
        <v>75</v>
      </c>
      <c r="AA187" s="4">
        <f>=ROUNDDOWN(25,0)</f>
      </c>
      <c r="AB187" s="5">
        <v>3</v>
      </c>
      <c r="AC187" s="2" t="s">
        <v>1596</v>
      </c>
      <c r="AD187" s="4">
        <v>120</v>
      </c>
      <c r="AE187" s="4">
        <v>160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227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227</v>
      </c>
      <c r="AW187" s="8" t="s">
        <v>227</v>
      </c>
      <c r="AX187" s="4" t="s">
        <v>227</v>
      </c>
      <c r="AY187" s="8" t="s">
        <v>227</v>
      </c>
      <c r="AZ187" s="7" t="s">
        <v>227</v>
      </c>
      <c r="BA187" s="7" t="s">
        <v>227</v>
      </c>
      <c r="BB187" s="7" t="s">
        <v>227</v>
      </c>
      <c r="BC187" s="4" t="s">
        <v>227</v>
      </c>
      <c r="BD187" s="8" t="s">
        <v>227</v>
      </c>
      <c r="BE187" s="4" t="s">
        <v>227</v>
      </c>
      <c r="BF187" s="8" t="s">
        <v>227</v>
      </c>
      <c r="BG187" s="7" t="s">
        <v>227</v>
      </c>
      <c r="BH187" s="7" t="s">
        <v>227</v>
      </c>
      <c r="BI187" s="7"/>
      <c r="BJ187" s="4">
        <v>9</v>
      </c>
      <c r="BK187" s="8">
        <v>503.03</v>
      </c>
      <c r="BL187" s="2" t="s">
        <v>1597</v>
      </c>
      <c r="BM187" s="7"/>
      <c r="BN187" s="7"/>
      <c r="BO187" s="4"/>
      <c r="BP187" s="8"/>
      <c r="BQ187" s="4"/>
      <c r="BR187" s="8"/>
      <c r="BS187" s="7"/>
      <c r="BT187" s="7"/>
      <c r="BU187" s="2" t="s">
        <v>1598</v>
      </c>
      <c r="BV187" s="2" t="s">
        <v>227</v>
      </c>
      <c r="BW187" s="2" t="s">
        <v>227</v>
      </c>
      <c r="BX187" s="2" t="s">
        <v>235</v>
      </c>
      <c r="BY187" s="2" t="s">
        <v>236</v>
      </c>
      <c r="BZ187" s="2" t="s">
        <v>224</v>
      </c>
      <c r="CA187" s="2" t="s">
        <v>1599</v>
      </c>
      <c r="CB187" s="2" t="s">
        <v>227</v>
      </c>
      <c r="CC187" s="2" t="s">
        <v>239</v>
      </c>
      <c r="CD187" s="2" t="s">
        <v>227</v>
      </c>
      <c r="CE187" s="4">
        <v>75</v>
      </c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>
        <v>120</v>
      </c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>
        <v>40</v>
      </c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</row>
    <row r="188">
      <c r="A188" s="2" t="s">
        <v>1600</v>
      </c>
      <c r="B188" s="2" t="s">
        <v>618</v>
      </c>
      <c r="C188" s="2" t="s">
        <v>1546</v>
      </c>
      <c r="D188" s="2" t="s">
        <v>620</v>
      </c>
      <c r="E188" s="2" t="s">
        <v>621</v>
      </c>
      <c r="F188" s="2" t="s">
        <v>1547</v>
      </c>
      <c r="G188" s="2" t="s">
        <v>1548</v>
      </c>
      <c r="H188" s="2" t="s">
        <v>1549</v>
      </c>
      <c r="I188" s="2" t="s">
        <v>1560</v>
      </c>
      <c r="J188" s="2" t="s">
        <v>1304</v>
      </c>
      <c r="K188" s="2" t="s">
        <v>1593</v>
      </c>
      <c r="L188" s="3">
        <v>46.53</v>
      </c>
      <c r="M188" s="3">
        <v>48.86</v>
      </c>
      <c r="N188" s="3">
        <v>89.99</v>
      </c>
      <c r="O188" s="2" t="s">
        <v>224</v>
      </c>
      <c r="P188" s="2" t="s">
        <v>225</v>
      </c>
      <c r="Q188" s="2" t="s">
        <v>226</v>
      </c>
      <c r="R188" s="2" t="s">
        <v>227</v>
      </c>
      <c r="S188" s="2" t="s">
        <v>1594</v>
      </c>
      <c r="T188" s="2" t="s">
        <v>286</v>
      </c>
      <c r="U188" s="2" t="s">
        <v>1350</v>
      </c>
      <c r="V188" s="2" t="s">
        <v>230</v>
      </c>
      <c r="W188" s="2" t="s">
        <v>1552</v>
      </c>
      <c r="X188" s="2" t="s">
        <v>706</v>
      </c>
      <c r="Y188" s="2" t="s">
        <v>1595</v>
      </c>
      <c r="Z188" s="4">
        <v>38</v>
      </c>
      <c r="AA188" s="4">
        <f>=ROUNDDOWN(38,0)</f>
      </c>
      <c r="AB188" s="5">
        <v>1</v>
      </c>
      <c r="AC188" s="2" t="s">
        <v>1596</v>
      </c>
      <c r="AD188" s="4">
        <v>40</v>
      </c>
      <c r="AE188" s="4">
        <v>80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227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227</v>
      </c>
      <c r="AW188" s="8" t="s">
        <v>227</v>
      </c>
      <c r="AX188" s="4" t="s">
        <v>227</v>
      </c>
      <c r="AY188" s="8" t="s">
        <v>227</v>
      </c>
      <c r="AZ188" s="7" t="s">
        <v>227</v>
      </c>
      <c r="BA188" s="7" t="s">
        <v>227</v>
      </c>
      <c r="BB188" s="7" t="s">
        <v>227</v>
      </c>
      <c r="BC188" s="4" t="s">
        <v>227</v>
      </c>
      <c r="BD188" s="8" t="s">
        <v>227</v>
      </c>
      <c r="BE188" s="4" t="s">
        <v>227</v>
      </c>
      <c r="BF188" s="8" t="s">
        <v>227</v>
      </c>
      <c r="BG188" s="7" t="s">
        <v>227</v>
      </c>
      <c r="BH188" s="7" t="s">
        <v>227</v>
      </c>
      <c r="BI188" s="7"/>
      <c r="BJ188" s="4">
        <v>6</v>
      </c>
      <c r="BK188" s="8">
        <v>277.73</v>
      </c>
      <c r="BL188" s="2" t="s">
        <v>1601</v>
      </c>
      <c r="BM188" s="7"/>
      <c r="BN188" s="7"/>
      <c r="BO188" s="4"/>
      <c r="BP188" s="8"/>
      <c r="BQ188" s="4"/>
      <c r="BR188" s="8"/>
      <c r="BS188" s="7"/>
      <c r="BT188" s="7"/>
      <c r="BU188" s="2" t="s">
        <v>1602</v>
      </c>
      <c r="BV188" s="2" t="s">
        <v>227</v>
      </c>
      <c r="BW188" s="2" t="s">
        <v>227</v>
      </c>
      <c r="BX188" s="2" t="s">
        <v>235</v>
      </c>
      <c r="BY188" s="2" t="s">
        <v>236</v>
      </c>
      <c r="BZ188" s="2" t="s">
        <v>224</v>
      </c>
      <c r="CA188" s="2" t="s">
        <v>1603</v>
      </c>
      <c r="CB188" s="2" t="s">
        <v>1604</v>
      </c>
      <c r="CC188" s="2" t="s">
        <v>239</v>
      </c>
      <c r="CD188" s="2" t="s">
        <v>227</v>
      </c>
      <c r="CE188" s="4">
        <v>38</v>
      </c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>
        <v>40</v>
      </c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>
        <v>40</v>
      </c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  <c r="GU188" s="4"/>
      <c r="GV188" s="4"/>
      <c r="GW188" s="4"/>
      <c r="GX188" s="4"/>
    </row>
    <row r="189">
      <c r="A189" s="2" t="s">
        <v>1605</v>
      </c>
      <c r="B189" s="2" t="s">
        <v>618</v>
      </c>
      <c r="C189" s="2" t="s">
        <v>1546</v>
      </c>
      <c r="D189" s="2" t="s">
        <v>687</v>
      </c>
      <c r="E189" s="2" t="s">
        <v>699</v>
      </c>
      <c r="F189" s="2" t="s">
        <v>1547</v>
      </c>
      <c r="G189" s="2" t="s">
        <v>1548</v>
      </c>
      <c r="H189" s="2" t="s">
        <v>1549</v>
      </c>
      <c r="I189" s="2" t="s">
        <v>1550</v>
      </c>
      <c r="J189" s="2" t="s">
        <v>626</v>
      </c>
      <c r="K189" s="2" t="s">
        <v>1593</v>
      </c>
      <c r="L189" s="3">
        <v>66.96</v>
      </c>
      <c r="M189" s="3">
        <v>70.31</v>
      </c>
      <c r="N189" s="3">
        <v>139.99</v>
      </c>
      <c r="O189" s="2" t="s">
        <v>224</v>
      </c>
      <c r="P189" s="2" t="s">
        <v>225</v>
      </c>
      <c r="Q189" s="2" t="s">
        <v>226</v>
      </c>
      <c r="R189" s="2" t="s">
        <v>227</v>
      </c>
      <c r="S189" s="2" t="s">
        <v>1594</v>
      </c>
      <c r="T189" s="2" t="s">
        <v>286</v>
      </c>
      <c r="U189" s="2" t="s">
        <v>1069</v>
      </c>
      <c r="V189" s="2" t="s">
        <v>230</v>
      </c>
      <c r="W189" s="2" t="s">
        <v>1552</v>
      </c>
      <c r="X189" s="2" t="s">
        <v>706</v>
      </c>
      <c r="Y189" s="2" t="s">
        <v>1595</v>
      </c>
      <c r="Z189" s="4">
        <v>161</v>
      </c>
      <c r="AA189" s="4">
        <f>=ROUNDDOWN(26.8333333333333,0)</f>
      </c>
      <c r="AB189" s="5">
        <v>6</v>
      </c>
      <c r="AC189" s="2" t="s">
        <v>1596</v>
      </c>
      <c r="AD189" s="4">
        <v>180</v>
      </c>
      <c r="AE189" s="4">
        <v>280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227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227</v>
      </c>
      <c r="AW189" s="8" t="s">
        <v>227</v>
      </c>
      <c r="AX189" s="4" t="s">
        <v>227</v>
      </c>
      <c r="AY189" s="8" t="s">
        <v>227</v>
      </c>
      <c r="AZ189" s="7" t="s">
        <v>227</v>
      </c>
      <c r="BA189" s="7" t="s">
        <v>227</v>
      </c>
      <c r="BB189" s="7"/>
      <c r="BC189" s="4" t="s">
        <v>227</v>
      </c>
      <c r="BD189" s="8" t="s">
        <v>227</v>
      </c>
      <c r="BE189" s="4" t="s">
        <v>227</v>
      </c>
      <c r="BF189" s="8" t="s">
        <v>227</v>
      </c>
      <c r="BG189" s="7" t="s">
        <v>227</v>
      </c>
      <c r="BH189" s="7" t="s">
        <v>227</v>
      </c>
      <c r="BI189" s="7"/>
      <c r="BJ189" s="4">
        <v>13</v>
      </c>
      <c r="BK189" s="8">
        <v>1008.39</v>
      </c>
      <c r="BL189" s="2" t="s">
        <v>1606</v>
      </c>
      <c r="BM189" s="7"/>
      <c r="BN189" s="7"/>
      <c r="BO189" s="4"/>
      <c r="BP189" s="8"/>
      <c r="BQ189" s="4"/>
      <c r="BR189" s="8"/>
      <c r="BS189" s="7"/>
      <c r="BT189" s="7"/>
      <c r="BU189" s="2" t="s">
        <v>1607</v>
      </c>
      <c r="BV189" s="2" t="s">
        <v>227</v>
      </c>
      <c r="BW189" s="2" t="s">
        <v>227</v>
      </c>
      <c r="BX189" s="2" t="s">
        <v>235</v>
      </c>
      <c r="BY189" s="2" t="s">
        <v>236</v>
      </c>
      <c r="BZ189" s="2" t="s">
        <v>224</v>
      </c>
      <c r="CA189" s="2" t="s">
        <v>1608</v>
      </c>
      <c r="CB189" s="2" t="s">
        <v>1609</v>
      </c>
      <c r="CC189" s="2" t="s">
        <v>239</v>
      </c>
      <c r="CD189" s="2" t="s">
        <v>227</v>
      </c>
      <c r="CE189" s="4">
        <v>161</v>
      </c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>
        <v>180</v>
      </c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>
        <v>100</v>
      </c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  <c r="GW189" s="4"/>
      <c r="GX189" s="4"/>
    </row>
    <row r="190">
      <c r="A190" s="2" t="s">
        <v>1610</v>
      </c>
      <c r="B190" s="2" t="s">
        <v>618</v>
      </c>
      <c r="C190" s="2" t="s">
        <v>1546</v>
      </c>
      <c r="D190" s="2" t="s">
        <v>687</v>
      </c>
      <c r="E190" s="2" t="s">
        <v>699</v>
      </c>
      <c r="F190" s="2" t="s">
        <v>1547</v>
      </c>
      <c r="G190" s="2" t="s">
        <v>1548</v>
      </c>
      <c r="H190" s="2" t="s">
        <v>1549</v>
      </c>
      <c r="I190" s="2" t="s">
        <v>1550</v>
      </c>
      <c r="J190" s="2" t="s">
        <v>682</v>
      </c>
      <c r="K190" s="2" t="s">
        <v>1593</v>
      </c>
      <c r="L190" s="3">
        <v>75.6</v>
      </c>
      <c r="M190" s="3">
        <v>79.38</v>
      </c>
      <c r="N190" s="3">
        <v>159.99</v>
      </c>
      <c r="O190" s="2" t="s">
        <v>224</v>
      </c>
      <c r="P190" s="2" t="s">
        <v>225</v>
      </c>
      <c r="Q190" s="2" t="s">
        <v>226</v>
      </c>
      <c r="R190" s="2" t="s">
        <v>227</v>
      </c>
      <c r="S190" s="2" t="s">
        <v>1594</v>
      </c>
      <c r="T190" s="2" t="s">
        <v>286</v>
      </c>
      <c r="U190" s="2" t="s">
        <v>1069</v>
      </c>
      <c r="V190" s="2" t="s">
        <v>230</v>
      </c>
      <c r="W190" s="2" t="s">
        <v>1552</v>
      </c>
      <c r="X190" s="2" t="s">
        <v>706</v>
      </c>
      <c r="Y190" s="2" t="s">
        <v>1595</v>
      </c>
      <c r="Z190" s="4">
        <v>106</v>
      </c>
      <c r="AA190" s="4">
        <f>=ROUNDDOWN(26.5,0)</f>
      </c>
      <c r="AB190" s="5">
        <v>4</v>
      </c>
      <c r="AC190" s="2" t="s">
        <v>1596</v>
      </c>
      <c r="AD190" s="4">
        <v>50</v>
      </c>
      <c r="AE190" s="4">
        <v>90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227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227</v>
      </c>
      <c r="AW190" s="8" t="s">
        <v>227</v>
      </c>
      <c r="AX190" s="4" t="s">
        <v>227</v>
      </c>
      <c r="AY190" s="8" t="s">
        <v>227</v>
      </c>
      <c r="AZ190" s="7" t="s">
        <v>227</v>
      </c>
      <c r="BA190" s="7" t="s">
        <v>227</v>
      </c>
      <c r="BB190" s="7" t="s">
        <v>227</v>
      </c>
      <c r="BC190" s="4" t="s">
        <v>227</v>
      </c>
      <c r="BD190" s="8" t="s">
        <v>227</v>
      </c>
      <c r="BE190" s="4" t="s">
        <v>227</v>
      </c>
      <c r="BF190" s="8" t="s">
        <v>227</v>
      </c>
      <c r="BG190" s="7" t="s">
        <v>227</v>
      </c>
      <c r="BH190" s="7" t="s">
        <v>227</v>
      </c>
      <c r="BI190" s="7"/>
      <c r="BJ190" s="4">
        <v>11</v>
      </c>
      <c r="BK190" s="8">
        <v>952.67</v>
      </c>
      <c r="BL190" s="2" t="s">
        <v>1290</v>
      </c>
      <c r="BM190" s="7"/>
      <c r="BN190" s="7"/>
      <c r="BO190" s="4"/>
      <c r="BP190" s="8"/>
      <c r="BQ190" s="4"/>
      <c r="BR190" s="8"/>
      <c r="BS190" s="7"/>
      <c r="BT190" s="7"/>
      <c r="BU190" s="2" t="s">
        <v>1611</v>
      </c>
      <c r="BV190" s="2" t="s">
        <v>227</v>
      </c>
      <c r="BW190" s="2" t="s">
        <v>227</v>
      </c>
      <c r="BX190" s="2" t="s">
        <v>235</v>
      </c>
      <c r="BY190" s="2" t="s">
        <v>236</v>
      </c>
      <c r="BZ190" s="2" t="s">
        <v>224</v>
      </c>
      <c r="CA190" s="2" t="s">
        <v>1599</v>
      </c>
      <c r="CB190" s="2" t="s">
        <v>1612</v>
      </c>
      <c r="CC190" s="2" t="s">
        <v>239</v>
      </c>
      <c r="CD190" s="2" t="s">
        <v>227</v>
      </c>
      <c r="CE190" s="4">
        <v>106</v>
      </c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>
        <v>50</v>
      </c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>
        <v>40</v>
      </c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  <c r="GW190" s="4"/>
      <c r="GX190" s="4"/>
    </row>
    <row r="191">
      <c r="A191" s="2" t="s">
        <v>1613</v>
      </c>
      <c r="B191" s="2" t="s">
        <v>618</v>
      </c>
      <c r="C191" s="2" t="s">
        <v>1546</v>
      </c>
      <c r="D191" s="2" t="s">
        <v>620</v>
      </c>
      <c r="E191" s="2" t="s">
        <v>621</v>
      </c>
      <c r="F191" s="2" t="s">
        <v>1547</v>
      </c>
      <c r="G191" s="2" t="s">
        <v>1548</v>
      </c>
      <c r="H191" s="2" t="s">
        <v>1549</v>
      </c>
      <c r="I191" s="2" t="s">
        <v>1560</v>
      </c>
      <c r="J191" s="2" t="s">
        <v>682</v>
      </c>
      <c r="K191" s="2" t="s">
        <v>1593</v>
      </c>
      <c r="L191" s="3">
        <v>72</v>
      </c>
      <c r="M191" s="3">
        <v>75.6</v>
      </c>
      <c r="N191" s="3">
        <v>139.99</v>
      </c>
      <c r="O191" s="2" t="s">
        <v>224</v>
      </c>
      <c r="P191" s="2" t="s">
        <v>225</v>
      </c>
      <c r="Q191" s="2" t="s">
        <v>226</v>
      </c>
      <c r="R191" s="2" t="s">
        <v>227</v>
      </c>
      <c r="S191" s="2" t="s">
        <v>1594</v>
      </c>
      <c r="T191" s="2" t="s">
        <v>286</v>
      </c>
      <c r="U191" s="2" t="s">
        <v>1069</v>
      </c>
      <c r="V191" s="2" t="s">
        <v>230</v>
      </c>
      <c r="W191" s="2" t="s">
        <v>1552</v>
      </c>
      <c r="X191" s="2" t="s">
        <v>706</v>
      </c>
      <c r="Y191" s="2" t="s">
        <v>1595</v>
      </c>
      <c r="Z191" s="4">
        <v>38</v>
      </c>
      <c r="AA191" s="4">
        <f>=ROUNDDOWN(19,0)</f>
      </c>
      <c r="AB191" s="5">
        <v>2</v>
      </c>
      <c r="AC191" s="2" t="s">
        <v>1596</v>
      </c>
      <c r="AD191" s="4">
        <v>30</v>
      </c>
      <c r="AE191" s="4">
        <v>50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227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227</v>
      </c>
      <c r="AW191" s="8" t="s">
        <v>227</v>
      </c>
      <c r="AX191" s="4" t="s">
        <v>227</v>
      </c>
      <c r="AY191" s="8" t="s">
        <v>227</v>
      </c>
      <c r="AZ191" s="7" t="s">
        <v>227</v>
      </c>
      <c r="BA191" s="7" t="s">
        <v>227</v>
      </c>
      <c r="BB191" s="7" t="s">
        <v>227</v>
      </c>
      <c r="BC191" s="4" t="s">
        <v>227</v>
      </c>
      <c r="BD191" s="8" t="s">
        <v>227</v>
      </c>
      <c r="BE191" s="4" t="s">
        <v>227</v>
      </c>
      <c r="BF191" s="8" t="s">
        <v>227</v>
      </c>
      <c r="BG191" s="7" t="s">
        <v>227</v>
      </c>
      <c r="BH191" s="7" t="s">
        <v>227</v>
      </c>
      <c r="BI191" s="7"/>
      <c r="BJ191" s="4">
        <v>6</v>
      </c>
      <c r="BK191" s="8">
        <v>443.69</v>
      </c>
      <c r="BL191" s="2" t="s">
        <v>1435</v>
      </c>
      <c r="BM191" s="7"/>
      <c r="BN191" s="7"/>
      <c r="BO191" s="4"/>
      <c r="BP191" s="8"/>
      <c r="BQ191" s="4"/>
      <c r="BR191" s="8"/>
      <c r="BS191" s="7"/>
      <c r="BT191" s="7"/>
      <c r="BU191" s="2" t="s">
        <v>1614</v>
      </c>
      <c r="BV191" s="2" t="s">
        <v>227</v>
      </c>
      <c r="BW191" s="2" t="s">
        <v>227</v>
      </c>
      <c r="BX191" s="2" t="s">
        <v>235</v>
      </c>
      <c r="BY191" s="2" t="s">
        <v>236</v>
      </c>
      <c r="BZ191" s="2" t="s">
        <v>224</v>
      </c>
      <c r="CA191" s="2" t="s">
        <v>1603</v>
      </c>
      <c r="CB191" s="2" t="s">
        <v>227</v>
      </c>
      <c r="CC191" s="2" t="s">
        <v>239</v>
      </c>
      <c r="CD191" s="2" t="s">
        <v>227</v>
      </c>
      <c r="CE191" s="4">
        <v>38</v>
      </c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>
        <v>30</v>
      </c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>
        <v>20</v>
      </c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  <c r="GW191" s="4"/>
      <c r="GX191" s="4"/>
    </row>
    <row r="192">
      <c r="A192" s="2" t="s">
        <v>1615</v>
      </c>
      <c r="B192" s="2" t="s">
        <v>1616</v>
      </c>
      <c r="C192" s="2" t="s">
        <v>636</v>
      </c>
      <c r="D192" s="2" t="s">
        <v>1617</v>
      </c>
      <c r="E192" s="2" t="s">
        <v>1618</v>
      </c>
      <c r="F192" s="2" t="s">
        <v>1619</v>
      </c>
      <c r="G192" s="2" t="s">
        <v>1619</v>
      </c>
      <c r="H192" s="2" t="s">
        <v>1619</v>
      </c>
      <c r="I192" s="2" t="s">
        <v>1620</v>
      </c>
      <c r="J192" s="2" t="s">
        <v>1621</v>
      </c>
      <c r="K192" s="2" t="s">
        <v>1620</v>
      </c>
      <c r="L192" s="3">
        <v>7.42</v>
      </c>
      <c r="M192" s="3">
        <v>7.79</v>
      </c>
      <c r="N192" s="3">
        <v>15.99</v>
      </c>
      <c r="O192" s="2" t="s">
        <v>224</v>
      </c>
      <c r="P192" s="2" t="s">
        <v>225</v>
      </c>
      <c r="Q192" s="2" t="s">
        <v>226</v>
      </c>
      <c r="R192" s="2" t="s">
        <v>227</v>
      </c>
      <c r="S192" s="2" t="s">
        <v>227</v>
      </c>
      <c r="T192" s="2" t="s">
        <v>227</v>
      </c>
      <c r="U192" s="2" t="s">
        <v>552</v>
      </c>
      <c r="V192" s="2" t="s">
        <v>566</v>
      </c>
      <c r="W192" s="2" t="s">
        <v>231</v>
      </c>
      <c r="X192" s="2" t="s">
        <v>227</v>
      </c>
      <c r="Y192" s="2" t="s">
        <v>292</v>
      </c>
      <c r="Z192" s="4">
        <v>613</v>
      </c>
      <c r="AA192" s="4">
        <f>=ROUNDDOWN(24.52,0)</f>
      </c>
      <c r="AB192" s="5">
        <v>25</v>
      </c>
      <c r="AC192" s="2" t="s">
        <v>192</v>
      </c>
      <c r="AD192" s="4">
        <v>1200</v>
      </c>
      <c r="AE192" s="4">
        <v>1200</v>
      </c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227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 t="s">
        <v>227</v>
      </c>
      <c r="BD192" s="8" t="s">
        <v>227</v>
      </c>
      <c r="BE192" s="4" t="s">
        <v>227</v>
      </c>
      <c r="BF192" s="8" t="s">
        <v>227</v>
      </c>
      <c r="BG192" s="7" t="s">
        <v>227</v>
      </c>
      <c r="BH192" s="7" t="s">
        <v>227</v>
      </c>
      <c r="BI192" s="7"/>
      <c r="BJ192" s="4">
        <v>24</v>
      </c>
      <c r="BK192" s="8">
        <v>264.96</v>
      </c>
      <c r="BL192" s="2" t="s">
        <v>498</v>
      </c>
      <c r="BM192" s="7"/>
      <c r="BN192" s="7"/>
      <c r="BO192" s="4"/>
      <c r="BP192" s="8"/>
      <c r="BQ192" s="4"/>
      <c r="BR192" s="8"/>
      <c r="BS192" s="7"/>
      <c r="BT192" s="7"/>
      <c r="BU192" s="2" t="s">
        <v>1622</v>
      </c>
      <c r="BV192" s="2" t="s">
        <v>227</v>
      </c>
      <c r="BW192" s="2" t="s">
        <v>227</v>
      </c>
      <c r="BX192" s="2" t="s">
        <v>235</v>
      </c>
      <c r="BY192" s="2" t="s">
        <v>236</v>
      </c>
      <c r="BZ192" s="2" t="s">
        <v>224</v>
      </c>
      <c r="CA192" s="2" t="s">
        <v>227</v>
      </c>
      <c r="CB192" s="2" t="s">
        <v>227</v>
      </c>
      <c r="CC192" s="2" t="s">
        <v>239</v>
      </c>
      <c r="CD192" s="2" t="s">
        <v>227</v>
      </c>
      <c r="CE192" s="4">
        <v>613</v>
      </c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>
        <v>1200</v>
      </c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/>
    </row>
    <row r="193">
      <c r="A193" s="2" t="s">
        <v>1623</v>
      </c>
      <c r="B193" s="2" t="s">
        <v>1616</v>
      </c>
      <c r="C193" s="2" t="s">
        <v>636</v>
      </c>
      <c r="D193" s="2" t="s">
        <v>1617</v>
      </c>
      <c r="E193" s="2" t="s">
        <v>1618</v>
      </c>
      <c r="F193" s="2" t="s">
        <v>1619</v>
      </c>
      <c r="G193" s="2" t="s">
        <v>1619</v>
      </c>
      <c r="H193" s="2" t="s">
        <v>1619</v>
      </c>
      <c r="I193" s="2" t="s">
        <v>1624</v>
      </c>
      <c r="J193" s="2" t="s">
        <v>548</v>
      </c>
      <c r="K193" s="2" t="s">
        <v>1625</v>
      </c>
      <c r="L193" s="3">
        <v>6.36</v>
      </c>
      <c r="M193" s="3">
        <v>6.68</v>
      </c>
      <c r="N193" s="3">
        <v>12.99</v>
      </c>
      <c r="O193" s="2" t="s">
        <v>224</v>
      </c>
      <c r="P193" s="2" t="s">
        <v>225</v>
      </c>
      <c r="Q193" s="2" t="s">
        <v>226</v>
      </c>
      <c r="R193" s="2" t="s">
        <v>227</v>
      </c>
      <c r="S193" s="2" t="s">
        <v>227</v>
      </c>
      <c r="T193" s="2" t="s">
        <v>227</v>
      </c>
      <c r="U193" s="2" t="s">
        <v>552</v>
      </c>
      <c r="V193" s="2" t="s">
        <v>566</v>
      </c>
      <c r="W193" s="2" t="s">
        <v>231</v>
      </c>
      <c r="X193" s="2" t="s">
        <v>227</v>
      </c>
      <c r="Y193" s="2" t="s">
        <v>1626</v>
      </c>
      <c r="Z193" s="4">
        <v>201</v>
      </c>
      <c r="AA193" s="4">
        <f>=ROUNDDOWN(143.571428571429,0)</f>
      </c>
      <c r="AB193" s="5">
        <v>1.4</v>
      </c>
      <c r="AC193" s="2" t="s">
        <v>227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227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 t="s">
        <v>227</v>
      </c>
      <c r="BD193" s="8" t="s">
        <v>227</v>
      </c>
      <c r="BE193" s="4" t="s">
        <v>227</v>
      </c>
      <c r="BF193" s="8" t="s">
        <v>227</v>
      </c>
      <c r="BG193" s="7" t="s">
        <v>227</v>
      </c>
      <c r="BH193" s="7" t="s">
        <v>227</v>
      </c>
      <c r="BI193" s="7"/>
      <c r="BJ193" s="4"/>
      <c r="BK193" s="8"/>
      <c r="BL193" s="2" t="s">
        <v>1627</v>
      </c>
      <c r="BM193" s="7"/>
      <c r="BN193" s="7"/>
      <c r="BO193" s="4"/>
      <c r="BP193" s="8"/>
      <c r="BQ193" s="4"/>
      <c r="BR193" s="8"/>
      <c r="BS193" s="7"/>
      <c r="BT193" s="7"/>
      <c r="BU193" s="2" t="s">
        <v>1628</v>
      </c>
      <c r="BV193" s="2" t="s">
        <v>227</v>
      </c>
      <c r="BW193" s="2" t="s">
        <v>227</v>
      </c>
      <c r="BX193" s="2" t="s">
        <v>235</v>
      </c>
      <c r="BY193" s="2" t="s">
        <v>236</v>
      </c>
      <c r="BZ193" s="2" t="s">
        <v>224</v>
      </c>
      <c r="CA193" s="2" t="s">
        <v>1629</v>
      </c>
      <c r="CB193" s="2" t="s">
        <v>1630</v>
      </c>
      <c r="CC193" s="2" t="s">
        <v>239</v>
      </c>
      <c r="CD193" s="2" t="s">
        <v>227</v>
      </c>
      <c r="CE193" s="4"/>
      <c r="CF193" s="4">
        <v>111</v>
      </c>
      <c r="CG193" s="4"/>
      <c r="CH193" s="4">
        <v>90</v>
      </c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</row>
    <row r="194">
      <c r="A194" s="2" t="s">
        <v>1631</v>
      </c>
      <c r="B194" s="2" t="s">
        <v>1616</v>
      </c>
      <c r="C194" s="2" t="s">
        <v>636</v>
      </c>
      <c r="D194" s="2" t="s">
        <v>1617</v>
      </c>
      <c r="E194" s="2" t="s">
        <v>1618</v>
      </c>
      <c r="F194" s="2" t="s">
        <v>1619</v>
      </c>
      <c r="G194" s="2" t="s">
        <v>1619</v>
      </c>
      <c r="H194" s="2" t="s">
        <v>1619</v>
      </c>
      <c r="I194" s="2" t="s">
        <v>1632</v>
      </c>
      <c r="J194" s="2" t="s">
        <v>548</v>
      </c>
      <c r="K194" s="2" t="s">
        <v>1633</v>
      </c>
      <c r="L194" s="3">
        <v>9.92</v>
      </c>
      <c r="M194" s="3">
        <v>10.42</v>
      </c>
      <c r="N194" s="3">
        <v>18.99</v>
      </c>
      <c r="O194" s="2" t="s">
        <v>224</v>
      </c>
      <c r="P194" s="2" t="s">
        <v>225</v>
      </c>
      <c r="Q194" s="2" t="s">
        <v>226</v>
      </c>
      <c r="R194" s="2" t="s">
        <v>227</v>
      </c>
      <c r="S194" s="2" t="s">
        <v>227</v>
      </c>
      <c r="T194" s="2" t="s">
        <v>227</v>
      </c>
      <c r="U194" s="2" t="s">
        <v>1044</v>
      </c>
      <c r="V194" s="2" t="s">
        <v>566</v>
      </c>
      <c r="W194" s="2" t="s">
        <v>231</v>
      </c>
      <c r="X194" s="2" t="s">
        <v>227</v>
      </c>
      <c r="Y194" s="2" t="s">
        <v>1626</v>
      </c>
      <c r="Z194" s="4">
        <v>433</v>
      </c>
      <c r="AA194" s="4">
        <f>=ROUNDDOWN(61.8571428571429,0)</f>
      </c>
      <c r="AB194" s="5">
        <v>7</v>
      </c>
      <c r="AC194" s="2" t="s">
        <v>227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227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227</v>
      </c>
      <c r="BD194" s="8" t="s">
        <v>227</v>
      </c>
      <c r="BE194" s="4" t="s">
        <v>227</v>
      </c>
      <c r="BF194" s="8" t="s">
        <v>227</v>
      </c>
      <c r="BG194" s="7" t="s">
        <v>227</v>
      </c>
      <c r="BH194" s="7" t="s">
        <v>227</v>
      </c>
      <c r="BI194" s="7"/>
      <c r="BJ194" s="4">
        <v>48</v>
      </c>
      <c r="BK194" s="8">
        <v>547.68</v>
      </c>
      <c r="BL194" s="2" t="s">
        <v>498</v>
      </c>
      <c r="BM194" s="7"/>
      <c r="BN194" s="7"/>
      <c r="BO194" s="4"/>
      <c r="BP194" s="8"/>
      <c r="BQ194" s="4"/>
      <c r="BR194" s="8"/>
      <c r="BS194" s="7"/>
      <c r="BT194" s="7"/>
      <c r="BU194" s="2" t="s">
        <v>1634</v>
      </c>
      <c r="BV194" s="2" t="s">
        <v>227</v>
      </c>
      <c r="BW194" s="2" t="s">
        <v>227</v>
      </c>
      <c r="BX194" s="2" t="s">
        <v>235</v>
      </c>
      <c r="BY194" s="2" t="s">
        <v>236</v>
      </c>
      <c r="BZ194" s="2" t="s">
        <v>224</v>
      </c>
      <c r="CA194" s="2" t="s">
        <v>1629</v>
      </c>
      <c r="CB194" s="2" t="s">
        <v>1635</v>
      </c>
      <c r="CC194" s="2" t="s">
        <v>239</v>
      </c>
      <c r="CD194" s="2" t="s">
        <v>227</v>
      </c>
      <c r="CE194" s="4"/>
      <c r="CF194" s="4">
        <v>223</v>
      </c>
      <c r="CG194" s="4"/>
      <c r="CH194" s="4">
        <v>210</v>
      </c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  <c r="GW194" s="4"/>
      <c r="GX194" s="4"/>
    </row>
    <row r="195">
      <c r="A195" s="2" t="s">
        <v>1636</v>
      </c>
      <c r="B195" s="2" t="s">
        <v>1616</v>
      </c>
      <c r="C195" s="2" t="s">
        <v>636</v>
      </c>
      <c r="D195" s="2" t="s">
        <v>1617</v>
      </c>
      <c r="E195" s="2" t="s">
        <v>1618</v>
      </c>
      <c r="F195" s="2" t="s">
        <v>1619</v>
      </c>
      <c r="G195" s="2" t="s">
        <v>1619</v>
      </c>
      <c r="H195" s="2" t="s">
        <v>1619</v>
      </c>
      <c r="I195" s="2" t="s">
        <v>1637</v>
      </c>
      <c r="J195" s="2" t="s">
        <v>1621</v>
      </c>
      <c r="K195" s="2" t="s">
        <v>1638</v>
      </c>
      <c r="L195" s="3">
        <v>7.37</v>
      </c>
      <c r="M195" s="3">
        <v>7.74</v>
      </c>
      <c r="N195" s="3">
        <v>15.99</v>
      </c>
      <c r="O195" s="2" t="s">
        <v>224</v>
      </c>
      <c r="P195" s="2" t="s">
        <v>225</v>
      </c>
      <c r="Q195" s="2" t="s">
        <v>226</v>
      </c>
      <c r="R195" s="2" t="s">
        <v>227</v>
      </c>
      <c r="S195" s="2" t="s">
        <v>227</v>
      </c>
      <c r="T195" s="2" t="s">
        <v>227</v>
      </c>
      <c r="U195" s="2" t="s">
        <v>552</v>
      </c>
      <c r="V195" s="2" t="s">
        <v>566</v>
      </c>
      <c r="W195" s="2" t="s">
        <v>231</v>
      </c>
      <c r="X195" s="2" t="s">
        <v>227</v>
      </c>
      <c r="Y195" s="2" t="s">
        <v>292</v>
      </c>
      <c r="Z195" s="4">
        <v>643</v>
      </c>
      <c r="AA195" s="4">
        <f>=ROUNDDOWN(321.5,0)</f>
      </c>
      <c r="AB195" s="5">
        <v>2</v>
      </c>
      <c r="AC195" s="2" t="s">
        <v>227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227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227</v>
      </c>
      <c r="BD195" s="8" t="s">
        <v>227</v>
      </c>
      <c r="BE195" s="4" t="s">
        <v>227</v>
      </c>
      <c r="BF195" s="8" t="s">
        <v>227</v>
      </c>
      <c r="BG195" s="7" t="s">
        <v>227</v>
      </c>
      <c r="BH195" s="7" t="s">
        <v>227</v>
      </c>
      <c r="BI195" s="7"/>
      <c r="BJ195" s="4"/>
      <c r="BK195" s="8"/>
      <c r="BL195" s="2" t="s">
        <v>227</v>
      </c>
      <c r="BM195" s="7"/>
      <c r="BN195" s="7"/>
      <c r="BO195" s="4"/>
      <c r="BP195" s="8"/>
      <c r="BQ195" s="4"/>
      <c r="BR195" s="8"/>
      <c r="BS195" s="7"/>
      <c r="BT195" s="7"/>
      <c r="BU195" s="2" t="s">
        <v>1639</v>
      </c>
      <c r="BV195" s="2" t="s">
        <v>227</v>
      </c>
      <c r="BW195" s="2" t="s">
        <v>227</v>
      </c>
      <c r="BX195" s="2" t="s">
        <v>235</v>
      </c>
      <c r="BY195" s="2" t="s">
        <v>236</v>
      </c>
      <c r="BZ195" s="2" t="s">
        <v>224</v>
      </c>
      <c r="CA195" s="2" t="s">
        <v>227</v>
      </c>
      <c r="CB195" s="2" t="s">
        <v>227</v>
      </c>
      <c r="CC195" s="2" t="s">
        <v>239</v>
      </c>
      <c r="CD195" s="2" t="s">
        <v>227</v>
      </c>
      <c r="CE195" s="4">
        <v>643</v>
      </c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  <c r="GW195" s="4"/>
      <c r="GX195" s="4"/>
    </row>
    <row r="196">
      <c r="A196" s="2" t="s">
        <v>1640</v>
      </c>
      <c r="B196" s="2" t="s">
        <v>1616</v>
      </c>
      <c r="C196" s="2" t="s">
        <v>636</v>
      </c>
      <c r="D196" s="2" t="s">
        <v>1617</v>
      </c>
      <c r="E196" s="2" t="s">
        <v>1618</v>
      </c>
      <c r="F196" s="2" t="s">
        <v>1619</v>
      </c>
      <c r="G196" s="2" t="s">
        <v>1619</v>
      </c>
      <c r="H196" s="2" t="s">
        <v>1619</v>
      </c>
      <c r="I196" s="2" t="s">
        <v>1637</v>
      </c>
      <c r="J196" s="2" t="s">
        <v>1621</v>
      </c>
      <c r="K196" s="2" t="s">
        <v>1641</v>
      </c>
      <c r="L196" s="3">
        <v>7.37</v>
      </c>
      <c r="M196" s="3">
        <v>7.74</v>
      </c>
      <c r="N196" s="3">
        <v>15.99</v>
      </c>
      <c r="O196" s="2" t="s">
        <v>224</v>
      </c>
      <c r="P196" s="2" t="s">
        <v>225</v>
      </c>
      <c r="Q196" s="2" t="s">
        <v>226</v>
      </c>
      <c r="R196" s="2" t="s">
        <v>227</v>
      </c>
      <c r="S196" s="2" t="s">
        <v>227</v>
      </c>
      <c r="T196" s="2" t="s">
        <v>227</v>
      </c>
      <c r="U196" s="2" t="s">
        <v>552</v>
      </c>
      <c r="V196" s="2" t="s">
        <v>566</v>
      </c>
      <c r="W196" s="2" t="s">
        <v>231</v>
      </c>
      <c r="X196" s="2" t="s">
        <v>227</v>
      </c>
      <c r="Y196" s="2" t="s">
        <v>292</v>
      </c>
      <c r="Z196" s="4">
        <v>487</v>
      </c>
      <c r="AA196" s="4">
        <f>=ROUNDDOWN(18.7307692307692,0)</f>
      </c>
      <c r="AB196" s="5">
        <v>26</v>
      </c>
      <c r="AC196" s="2" t="s">
        <v>192</v>
      </c>
      <c r="AD196" s="4">
        <v>1200</v>
      </c>
      <c r="AE196" s="4">
        <v>1200</v>
      </c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227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227</v>
      </c>
      <c r="BD196" s="8" t="s">
        <v>227</v>
      </c>
      <c r="BE196" s="4" t="s">
        <v>227</v>
      </c>
      <c r="BF196" s="8" t="s">
        <v>227</v>
      </c>
      <c r="BG196" s="7" t="s">
        <v>227</v>
      </c>
      <c r="BH196" s="7" t="s">
        <v>227</v>
      </c>
      <c r="BI196" s="7"/>
      <c r="BJ196" s="4">
        <v>1</v>
      </c>
      <c r="BK196" s="8">
        <v>11.04</v>
      </c>
      <c r="BL196" s="2" t="s">
        <v>1627</v>
      </c>
      <c r="BM196" s="7"/>
      <c r="BN196" s="7"/>
      <c r="BO196" s="4"/>
      <c r="BP196" s="8"/>
      <c r="BQ196" s="4"/>
      <c r="BR196" s="8"/>
      <c r="BS196" s="7"/>
      <c r="BT196" s="7"/>
      <c r="BU196" s="2" t="s">
        <v>1642</v>
      </c>
      <c r="BV196" s="2" t="s">
        <v>227</v>
      </c>
      <c r="BW196" s="2" t="s">
        <v>227</v>
      </c>
      <c r="BX196" s="2" t="s">
        <v>235</v>
      </c>
      <c r="BY196" s="2" t="s">
        <v>236</v>
      </c>
      <c r="BZ196" s="2" t="s">
        <v>224</v>
      </c>
      <c r="CA196" s="2" t="s">
        <v>227</v>
      </c>
      <c r="CB196" s="2" t="s">
        <v>227</v>
      </c>
      <c r="CC196" s="2" t="s">
        <v>239</v>
      </c>
      <c r="CD196" s="2" t="s">
        <v>227</v>
      </c>
      <c r="CE196" s="4">
        <v>487</v>
      </c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>
        <v>1200</v>
      </c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</row>
    <row r="197">
      <c r="A197" s="2" t="s">
        <v>1643</v>
      </c>
      <c r="B197" s="2" t="s">
        <v>1616</v>
      </c>
      <c r="C197" s="2" t="s">
        <v>636</v>
      </c>
      <c r="D197" s="2" t="s">
        <v>1617</v>
      </c>
      <c r="E197" s="2" t="s">
        <v>1618</v>
      </c>
      <c r="F197" s="2" t="s">
        <v>1619</v>
      </c>
      <c r="G197" s="2" t="s">
        <v>1619</v>
      </c>
      <c r="H197" s="2" t="s">
        <v>1619</v>
      </c>
      <c r="I197" s="2" t="s">
        <v>1644</v>
      </c>
      <c r="J197" s="2" t="s">
        <v>1621</v>
      </c>
      <c r="K197" s="2" t="s">
        <v>1645</v>
      </c>
      <c r="L197" s="3">
        <v>7.08</v>
      </c>
      <c r="M197" s="3">
        <v>7.43</v>
      </c>
      <c r="N197" s="3">
        <v>15.99</v>
      </c>
      <c r="O197" s="2" t="s">
        <v>224</v>
      </c>
      <c r="P197" s="2" t="s">
        <v>225</v>
      </c>
      <c r="Q197" s="2" t="s">
        <v>226</v>
      </c>
      <c r="R197" s="2" t="s">
        <v>227</v>
      </c>
      <c r="S197" s="2" t="s">
        <v>227</v>
      </c>
      <c r="T197" s="2" t="s">
        <v>227</v>
      </c>
      <c r="U197" s="2" t="s">
        <v>552</v>
      </c>
      <c r="V197" s="2" t="s">
        <v>566</v>
      </c>
      <c r="W197" s="2" t="s">
        <v>231</v>
      </c>
      <c r="X197" s="2" t="s">
        <v>227</v>
      </c>
      <c r="Y197" s="2" t="s">
        <v>1646</v>
      </c>
      <c r="Z197" s="4">
        <v>756</v>
      </c>
      <c r="AA197" s="4">
        <f>=ROUNDDOWN(42,0)</f>
      </c>
      <c r="AB197" s="5">
        <v>18</v>
      </c>
      <c r="AC197" s="2" t="s">
        <v>227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227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 t="s">
        <v>227</v>
      </c>
      <c r="BD197" s="8" t="s">
        <v>227</v>
      </c>
      <c r="BE197" s="4" t="s">
        <v>227</v>
      </c>
      <c r="BF197" s="8" t="s">
        <v>227</v>
      </c>
      <c r="BG197" s="7" t="s">
        <v>227</v>
      </c>
      <c r="BH197" s="7" t="s">
        <v>227</v>
      </c>
      <c r="BI197" s="7"/>
      <c r="BJ197" s="4">
        <v>12</v>
      </c>
      <c r="BK197" s="8">
        <v>132.48</v>
      </c>
      <c r="BL197" s="2" t="s">
        <v>498</v>
      </c>
      <c r="BM197" s="7"/>
      <c r="BN197" s="7"/>
      <c r="BO197" s="4"/>
      <c r="BP197" s="8"/>
      <c r="BQ197" s="4"/>
      <c r="BR197" s="8"/>
      <c r="BS197" s="7"/>
      <c r="BT197" s="7"/>
      <c r="BU197" s="2" t="s">
        <v>1647</v>
      </c>
      <c r="BV197" s="2" t="s">
        <v>227</v>
      </c>
      <c r="BW197" s="2" t="s">
        <v>227</v>
      </c>
      <c r="BX197" s="2" t="s">
        <v>235</v>
      </c>
      <c r="BY197" s="2" t="s">
        <v>236</v>
      </c>
      <c r="BZ197" s="2" t="s">
        <v>224</v>
      </c>
      <c r="CA197" s="2" t="s">
        <v>227</v>
      </c>
      <c r="CB197" s="2" t="s">
        <v>227</v>
      </c>
      <c r="CC197" s="2" t="s">
        <v>239</v>
      </c>
      <c r="CD197" s="2" t="s">
        <v>227</v>
      </c>
      <c r="CE197" s="4">
        <v>756</v>
      </c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</row>
    <row r="198">
      <c r="A198" s="2" t="s">
        <v>1648</v>
      </c>
      <c r="B198" s="2" t="s">
        <v>1616</v>
      </c>
      <c r="C198" s="2" t="s">
        <v>636</v>
      </c>
      <c r="D198" s="2" t="s">
        <v>1617</v>
      </c>
      <c r="E198" s="2" t="s">
        <v>1618</v>
      </c>
      <c r="F198" s="2" t="s">
        <v>1619</v>
      </c>
      <c r="G198" s="2" t="s">
        <v>1619</v>
      </c>
      <c r="H198" s="2" t="s">
        <v>1619</v>
      </c>
      <c r="I198" s="2" t="s">
        <v>1649</v>
      </c>
      <c r="J198" s="2" t="s">
        <v>548</v>
      </c>
      <c r="K198" s="2" t="s">
        <v>627</v>
      </c>
      <c r="L198" s="3">
        <v>8.06</v>
      </c>
      <c r="M198" s="3">
        <v>8.46</v>
      </c>
      <c r="N198" s="3">
        <v>14.99</v>
      </c>
      <c r="O198" s="2" t="s">
        <v>224</v>
      </c>
      <c r="P198" s="2" t="s">
        <v>225</v>
      </c>
      <c r="Q198" s="2" t="s">
        <v>226</v>
      </c>
      <c r="R198" s="2" t="s">
        <v>227</v>
      </c>
      <c r="S198" s="2" t="s">
        <v>227</v>
      </c>
      <c r="T198" s="2" t="s">
        <v>227</v>
      </c>
      <c r="U198" s="2" t="s">
        <v>552</v>
      </c>
      <c r="V198" s="2" t="s">
        <v>566</v>
      </c>
      <c r="W198" s="2" t="s">
        <v>231</v>
      </c>
      <c r="X198" s="2" t="s">
        <v>227</v>
      </c>
      <c r="Y198" s="2" t="s">
        <v>1626</v>
      </c>
      <c r="Z198" s="4">
        <v>203</v>
      </c>
      <c r="AA198" s="4">
        <f>=ROUNDDOWN(169.166666666667,0)</f>
      </c>
      <c r="AB198" s="5">
        <v>1.2</v>
      </c>
      <c r="AC198" s="2" t="s">
        <v>227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227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 t="s">
        <v>227</v>
      </c>
      <c r="BD198" s="8" t="s">
        <v>227</v>
      </c>
      <c r="BE198" s="4" t="s">
        <v>227</v>
      </c>
      <c r="BF198" s="8" t="s">
        <v>227</v>
      </c>
      <c r="BG198" s="7" t="s">
        <v>227</v>
      </c>
      <c r="BH198" s="7" t="s">
        <v>227</v>
      </c>
      <c r="BI198" s="7"/>
      <c r="BJ198" s="4"/>
      <c r="BK198" s="8"/>
      <c r="BL198" s="2" t="s">
        <v>227</v>
      </c>
      <c r="BM198" s="7"/>
      <c r="BN198" s="7"/>
      <c r="BO198" s="4"/>
      <c r="BP198" s="8"/>
      <c r="BQ198" s="4"/>
      <c r="BR198" s="8"/>
      <c r="BS198" s="7"/>
      <c r="BT198" s="7"/>
      <c r="BU198" s="2" t="s">
        <v>1650</v>
      </c>
      <c r="BV198" s="2" t="s">
        <v>227</v>
      </c>
      <c r="BW198" s="2" t="s">
        <v>227</v>
      </c>
      <c r="BX198" s="2" t="s">
        <v>235</v>
      </c>
      <c r="BY198" s="2" t="s">
        <v>236</v>
      </c>
      <c r="BZ198" s="2" t="s">
        <v>224</v>
      </c>
      <c r="CA198" s="2" t="s">
        <v>1629</v>
      </c>
      <c r="CB198" s="2" t="s">
        <v>227</v>
      </c>
      <c r="CC198" s="2" t="s">
        <v>239</v>
      </c>
      <c r="CD198" s="2" t="s">
        <v>227</v>
      </c>
      <c r="CE198" s="4"/>
      <c r="CF198" s="4">
        <v>102</v>
      </c>
      <c r="CG198" s="4"/>
      <c r="CH198" s="4">
        <v>101</v>
      </c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</row>
    <row r="199">
      <c r="A199" s="2" t="s">
        <v>1651</v>
      </c>
      <c r="B199" s="2" t="s">
        <v>667</v>
      </c>
      <c r="C199" s="2" t="s">
        <v>360</v>
      </c>
      <c r="D199" s="2" t="s">
        <v>1652</v>
      </c>
      <c r="E199" s="2" t="s">
        <v>1653</v>
      </c>
      <c r="F199" s="2" t="s">
        <v>1654</v>
      </c>
      <c r="G199" s="2" t="s">
        <v>1655</v>
      </c>
      <c r="H199" s="2" t="s">
        <v>1656</v>
      </c>
      <c r="I199" s="2" t="s">
        <v>1657</v>
      </c>
      <c r="J199" s="2" t="s">
        <v>626</v>
      </c>
      <c r="K199" s="2" t="s">
        <v>627</v>
      </c>
      <c r="L199" s="3">
        <v>54.99</v>
      </c>
      <c r="M199" s="3">
        <v>57.74</v>
      </c>
      <c r="N199" s="3">
        <v>109.99</v>
      </c>
      <c r="O199" s="2" t="s">
        <v>224</v>
      </c>
      <c r="P199" s="2" t="s">
        <v>225</v>
      </c>
      <c r="Q199" s="2" t="s">
        <v>226</v>
      </c>
      <c r="R199" s="2" t="s">
        <v>227</v>
      </c>
      <c r="S199" s="2" t="s">
        <v>1658</v>
      </c>
      <c r="T199" s="2" t="s">
        <v>227</v>
      </c>
      <c r="U199" s="2" t="s">
        <v>594</v>
      </c>
      <c r="V199" s="2" t="s">
        <v>301</v>
      </c>
      <c r="W199" s="2" t="s">
        <v>581</v>
      </c>
      <c r="X199" s="2" t="s">
        <v>1659</v>
      </c>
      <c r="Y199" s="2" t="s">
        <v>232</v>
      </c>
      <c r="Z199" s="4">
        <v>798</v>
      </c>
      <c r="AA199" s="4">
        <f>=ROUNDDOWN(57,0)</f>
      </c>
      <c r="AB199" s="5">
        <v>14</v>
      </c>
      <c r="AC199" s="2" t="s">
        <v>227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227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>
        <v>125</v>
      </c>
      <c r="BK199" s="8">
        <v>7156.86</v>
      </c>
      <c r="BL199" s="2" t="s">
        <v>693</v>
      </c>
      <c r="BM199" s="7"/>
      <c r="BN199" s="7"/>
      <c r="BO199" s="4"/>
      <c r="BP199" s="8"/>
      <c r="BQ199" s="4"/>
      <c r="BR199" s="8"/>
      <c r="BS199" s="7"/>
      <c r="BT199" s="7"/>
      <c r="BU199" s="2" t="s">
        <v>1660</v>
      </c>
      <c r="BV199" s="2" t="s">
        <v>227</v>
      </c>
      <c r="BW199" s="2" t="s">
        <v>227</v>
      </c>
      <c r="BX199" s="2" t="s">
        <v>235</v>
      </c>
      <c r="BY199" s="2" t="s">
        <v>236</v>
      </c>
      <c r="BZ199" s="2" t="s">
        <v>224</v>
      </c>
      <c r="CA199" s="2" t="s">
        <v>237</v>
      </c>
      <c r="CB199" s="2" t="s">
        <v>443</v>
      </c>
      <c r="CC199" s="2" t="s">
        <v>239</v>
      </c>
      <c r="CD199" s="2" t="s">
        <v>227</v>
      </c>
      <c r="CE199" s="4">
        <v>798</v>
      </c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  <c r="GW199" s="4"/>
      <c r="GX199" s="4"/>
    </row>
    <row r="200">
      <c r="A200" s="2" t="s">
        <v>1661</v>
      </c>
      <c r="B200" s="2" t="s">
        <v>573</v>
      </c>
      <c r="C200" s="2" t="s">
        <v>360</v>
      </c>
      <c r="D200" s="2" t="s">
        <v>574</v>
      </c>
      <c r="E200" s="2" t="s">
        <v>575</v>
      </c>
      <c r="F200" s="2" t="s">
        <v>1662</v>
      </c>
      <c r="G200" s="2" t="s">
        <v>1663</v>
      </c>
      <c r="H200" s="2" t="s">
        <v>1664</v>
      </c>
      <c r="I200" s="2" t="s">
        <v>1665</v>
      </c>
      <c r="J200" s="2" t="s">
        <v>548</v>
      </c>
      <c r="K200" s="2" t="s">
        <v>1666</v>
      </c>
      <c r="L200" s="3">
        <v>202.3</v>
      </c>
      <c r="M200" s="3">
        <v>212.42</v>
      </c>
      <c r="N200" s="3">
        <v>429</v>
      </c>
      <c r="O200" s="2" t="s">
        <v>224</v>
      </c>
      <c r="P200" s="2" t="s">
        <v>225</v>
      </c>
      <c r="Q200" s="2" t="s">
        <v>226</v>
      </c>
      <c r="R200" s="2" t="s">
        <v>227</v>
      </c>
      <c r="S200" s="2" t="s">
        <v>1667</v>
      </c>
      <c r="T200" s="2" t="s">
        <v>227</v>
      </c>
      <c r="U200" s="2" t="s">
        <v>227</v>
      </c>
      <c r="V200" s="2" t="s">
        <v>230</v>
      </c>
      <c r="W200" s="2" t="s">
        <v>581</v>
      </c>
      <c r="X200" s="2" t="s">
        <v>227</v>
      </c>
      <c r="Y200" s="2" t="s">
        <v>1668</v>
      </c>
      <c r="Z200" s="4">
        <v>111</v>
      </c>
      <c r="AA200" s="4">
        <f>=ROUNDDOWN(100.909090909091,0)</f>
      </c>
      <c r="AB200" s="5">
        <v>1.1</v>
      </c>
      <c r="AC200" s="2" t="s">
        <v>227</v>
      </c>
      <c r="AD200" s="4"/>
      <c r="AE200" s="4"/>
      <c r="AF200" s="6">
        <v>74</v>
      </c>
      <c r="AG200" s="6">
        <v>60</v>
      </c>
      <c r="AH200" s="7">
        <v>1</v>
      </c>
      <c r="AI200" s="4"/>
      <c r="AJ200" s="4">
        <f>=ROUNDDOWN({0},0)</f>
      </c>
      <c r="AK200" s="5">
        <v>5.4</v>
      </c>
      <c r="AL200" s="2" t="s">
        <v>227</v>
      </c>
      <c r="AM200" s="4"/>
      <c r="AN200" s="4"/>
      <c r="AO200" s="7">
        <v>0.5484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>
        <v>17</v>
      </c>
      <c r="BK200" s="8">
        <v>3058.58</v>
      </c>
      <c r="BL200" s="2" t="s">
        <v>1669</v>
      </c>
      <c r="BM200" s="7"/>
      <c r="BN200" s="7"/>
      <c r="BO200" s="4"/>
      <c r="BP200" s="8"/>
      <c r="BQ200" s="4"/>
      <c r="BR200" s="8"/>
      <c r="BS200" s="7"/>
      <c r="BT200" s="7"/>
      <c r="BU200" s="2" t="s">
        <v>1670</v>
      </c>
      <c r="BV200" s="2" t="s">
        <v>227</v>
      </c>
      <c r="BW200" s="2" t="s">
        <v>227</v>
      </c>
      <c r="BX200" s="2" t="s">
        <v>235</v>
      </c>
      <c r="BY200" s="2" t="s">
        <v>236</v>
      </c>
      <c r="BZ200" s="2" t="s">
        <v>224</v>
      </c>
      <c r="CA200" s="2" t="s">
        <v>1671</v>
      </c>
      <c r="CB200" s="2" t="s">
        <v>1672</v>
      </c>
      <c r="CC200" s="2" t="s">
        <v>239</v>
      </c>
      <c r="CD200" s="2" t="s">
        <v>227</v>
      </c>
      <c r="CE200" s="4"/>
      <c r="CF200" s="4">
        <v>111</v>
      </c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</row>
    <row r="201">
      <c r="A201" s="2" t="s">
        <v>1673</v>
      </c>
      <c r="B201" s="2" t="s">
        <v>667</v>
      </c>
      <c r="C201" s="2" t="s">
        <v>360</v>
      </c>
      <c r="D201" s="2" t="s">
        <v>687</v>
      </c>
      <c r="E201" s="2" t="s">
        <v>699</v>
      </c>
      <c r="F201" s="2" t="s">
        <v>1674</v>
      </c>
      <c r="G201" s="2" t="s">
        <v>1675</v>
      </c>
      <c r="H201" s="2" t="s">
        <v>1676</v>
      </c>
      <c r="I201" s="2" t="s">
        <v>1677</v>
      </c>
      <c r="J201" s="2" t="s">
        <v>682</v>
      </c>
      <c r="K201" s="2" t="s">
        <v>672</v>
      </c>
      <c r="L201" s="3">
        <v>42.85</v>
      </c>
      <c r="M201" s="3">
        <v>44.99</v>
      </c>
      <c r="N201" s="3">
        <v>89.99</v>
      </c>
      <c r="O201" s="2" t="s">
        <v>224</v>
      </c>
      <c r="P201" s="2" t="s">
        <v>225</v>
      </c>
      <c r="Q201" s="2" t="s">
        <v>226</v>
      </c>
      <c r="R201" s="2" t="s">
        <v>227</v>
      </c>
      <c r="S201" s="2" t="s">
        <v>1678</v>
      </c>
      <c r="T201" s="2" t="s">
        <v>375</v>
      </c>
      <c r="U201" s="2" t="s">
        <v>1350</v>
      </c>
      <c r="V201" s="2" t="s">
        <v>629</v>
      </c>
      <c r="W201" s="2" t="s">
        <v>1552</v>
      </c>
      <c r="X201" s="2" t="s">
        <v>1008</v>
      </c>
      <c r="Y201" s="2" t="s">
        <v>1679</v>
      </c>
      <c r="Z201" s="4">
        <v>414</v>
      </c>
      <c r="AA201" s="4">
        <f>=ROUNDDOWN(34.5,0)</f>
      </c>
      <c r="AB201" s="5">
        <v>12</v>
      </c>
      <c r="AC201" s="2" t="s">
        <v>161</v>
      </c>
      <c r="AD201" s="4">
        <v>220</v>
      </c>
      <c r="AE201" s="4">
        <v>410</v>
      </c>
      <c r="AF201" s="6">
        <v>64</v>
      </c>
      <c r="AG201" s="6"/>
      <c r="AH201" s="7">
        <v>1</v>
      </c>
      <c r="AI201" s="4"/>
      <c r="AJ201" s="4">
        <f>=ROUNDDOWN({0},0)</f>
      </c>
      <c r="AK201" s="5"/>
      <c r="AL201" s="2" t="s">
        <v>227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>
        <v>20</v>
      </c>
      <c r="BK201" s="8">
        <v>1000.3</v>
      </c>
      <c r="BL201" s="2" t="s">
        <v>1680</v>
      </c>
      <c r="BM201" s="7"/>
      <c r="BN201" s="7"/>
      <c r="BO201" s="4"/>
      <c r="BP201" s="8"/>
      <c r="BQ201" s="4"/>
      <c r="BR201" s="8"/>
      <c r="BS201" s="7"/>
      <c r="BT201" s="7"/>
      <c r="BU201" s="2" t="s">
        <v>1681</v>
      </c>
      <c r="BV201" s="2" t="s">
        <v>227</v>
      </c>
      <c r="BW201" s="2" t="s">
        <v>227</v>
      </c>
      <c r="BX201" s="2" t="s">
        <v>235</v>
      </c>
      <c r="BY201" s="2" t="s">
        <v>236</v>
      </c>
      <c r="BZ201" s="2" t="s">
        <v>224</v>
      </c>
      <c r="CA201" s="2" t="s">
        <v>369</v>
      </c>
      <c r="CB201" s="2" t="s">
        <v>1682</v>
      </c>
      <c r="CC201" s="2" t="s">
        <v>239</v>
      </c>
      <c r="CD201" s="2" t="s">
        <v>227</v>
      </c>
      <c r="CE201" s="4">
        <v>377</v>
      </c>
      <c r="CF201" s="4"/>
      <c r="CG201" s="4"/>
      <c r="CH201" s="4"/>
      <c r="CI201" s="4"/>
      <c r="CJ201" s="4"/>
      <c r="CK201" s="4">
        <v>37</v>
      </c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>
        <v>220</v>
      </c>
      <c r="EX201" s="4"/>
      <c r="EY201" s="4"/>
      <c r="EZ201" s="4"/>
      <c r="FA201" s="4"/>
      <c r="FB201" s="4"/>
      <c r="FC201" s="4"/>
      <c r="FD201" s="4"/>
      <c r="FE201" s="4"/>
      <c r="FF201" s="4"/>
      <c r="FG201" s="4">
        <v>190</v>
      </c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  <c r="GU201" s="4"/>
      <c r="GV201" s="4"/>
      <c r="GW201" s="4"/>
      <c r="GX201" s="4"/>
    </row>
    <row r="202">
      <c r="A202" s="2" t="s">
        <v>1683</v>
      </c>
      <c r="B202" s="2" t="s">
        <v>573</v>
      </c>
      <c r="C202" s="2" t="s">
        <v>360</v>
      </c>
      <c r="D202" s="2" t="s">
        <v>1230</v>
      </c>
      <c r="E202" s="2" t="s">
        <v>1231</v>
      </c>
      <c r="F202" s="2" t="s">
        <v>1684</v>
      </c>
      <c r="G202" s="2" t="s">
        <v>1685</v>
      </c>
      <c r="H202" s="2" t="s">
        <v>1686</v>
      </c>
      <c r="I202" s="2" t="s">
        <v>1687</v>
      </c>
      <c r="J202" s="2" t="s">
        <v>548</v>
      </c>
      <c r="K202" s="2" t="s">
        <v>1688</v>
      </c>
      <c r="L202" s="3">
        <v>171</v>
      </c>
      <c r="M202" s="3">
        <v>179.55</v>
      </c>
      <c r="N202" s="3">
        <v>359</v>
      </c>
      <c r="O202" s="2" t="s">
        <v>224</v>
      </c>
      <c r="P202" s="2" t="s">
        <v>225</v>
      </c>
      <c r="Q202" s="2" t="s">
        <v>226</v>
      </c>
      <c r="R202" s="2" t="s">
        <v>227</v>
      </c>
      <c r="S202" s="2" t="s">
        <v>227</v>
      </c>
      <c r="T202" s="2" t="s">
        <v>227</v>
      </c>
      <c r="U202" s="2" t="s">
        <v>552</v>
      </c>
      <c r="V202" s="2" t="s">
        <v>230</v>
      </c>
      <c r="W202" s="2" t="s">
        <v>581</v>
      </c>
      <c r="X202" s="2" t="s">
        <v>231</v>
      </c>
      <c r="Y202" s="2" t="s">
        <v>1689</v>
      </c>
      <c r="Z202" s="4">
        <v>74</v>
      </c>
      <c r="AA202" s="4">
        <f>=ROUNDDOWN(12.3333333333333,0)</f>
      </c>
      <c r="AB202" s="5">
        <v>6</v>
      </c>
      <c r="AC202" s="2" t="s">
        <v>1690</v>
      </c>
      <c r="AD202" s="4">
        <v>100</v>
      </c>
      <c r="AE202" s="4">
        <v>100</v>
      </c>
      <c r="AF202" s="6">
        <v>67</v>
      </c>
      <c r="AG202" s="6">
        <v>50</v>
      </c>
      <c r="AH202" s="7">
        <v>1</v>
      </c>
      <c r="AI202" s="4"/>
      <c r="AJ202" s="4">
        <f>=ROUNDDOWN({0},0)</f>
      </c>
      <c r="AK202" s="5"/>
      <c r="AL202" s="2" t="s">
        <v>227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>
        <v>4</v>
      </c>
      <c r="BK202" s="8">
        <v>775.64</v>
      </c>
      <c r="BL202" s="2" t="s">
        <v>1691</v>
      </c>
      <c r="BM202" s="7"/>
      <c r="BN202" s="7"/>
      <c r="BO202" s="4"/>
      <c r="BP202" s="8"/>
      <c r="BQ202" s="4"/>
      <c r="BR202" s="8"/>
      <c r="BS202" s="7"/>
      <c r="BT202" s="7"/>
      <c r="BU202" s="2" t="s">
        <v>1692</v>
      </c>
      <c r="BV202" s="2" t="s">
        <v>227</v>
      </c>
      <c r="BW202" s="2" t="s">
        <v>227</v>
      </c>
      <c r="BX202" s="2" t="s">
        <v>235</v>
      </c>
      <c r="BY202" s="2" t="s">
        <v>236</v>
      </c>
      <c r="BZ202" s="2" t="s">
        <v>224</v>
      </c>
      <c r="CA202" s="2" t="s">
        <v>1693</v>
      </c>
      <c r="CB202" s="2" t="s">
        <v>1694</v>
      </c>
      <c r="CC202" s="2" t="s">
        <v>239</v>
      </c>
      <c r="CD202" s="2" t="s">
        <v>227</v>
      </c>
      <c r="CE202" s="4"/>
      <c r="CF202" s="4">
        <v>74</v>
      </c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>
        <v>100</v>
      </c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  <c r="GT202" s="4"/>
      <c r="GU202" s="4"/>
      <c r="GV202" s="4"/>
      <c r="GW202" s="4"/>
      <c r="GX202" s="4"/>
    </row>
    <row r="203">
      <c r="A203" s="2" t="s">
        <v>1695</v>
      </c>
      <c r="B203" s="2" t="s">
        <v>697</v>
      </c>
      <c r="C203" s="2" t="s">
        <v>360</v>
      </c>
      <c r="D203" s="2" t="s">
        <v>1448</v>
      </c>
      <c r="E203" s="2" t="s">
        <v>1449</v>
      </c>
      <c r="F203" s="2" t="s">
        <v>1696</v>
      </c>
      <c r="G203" s="2" t="s">
        <v>1696</v>
      </c>
      <c r="H203" s="2" t="s">
        <v>1696</v>
      </c>
      <c r="I203" s="2" t="s">
        <v>1449</v>
      </c>
      <c r="J203" s="2" t="s">
        <v>222</v>
      </c>
      <c r="K203" s="2" t="s">
        <v>223</v>
      </c>
      <c r="L203" s="3">
        <v>12.85</v>
      </c>
      <c r="M203" s="3">
        <v>13.49</v>
      </c>
      <c r="N203" s="3">
        <v>29.99</v>
      </c>
      <c r="O203" s="2" t="s">
        <v>224</v>
      </c>
      <c r="P203" s="2" t="s">
        <v>225</v>
      </c>
      <c r="Q203" s="2" t="s">
        <v>226</v>
      </c>
      <c r="R203" s="2" t="s">
        <v>227</v>
      </c>
      <c r="S203" s="2" t="s">
        <v>1697</v>
      </c>
      <c r="T203" s="2" t="s">
        <v>1698</v>
      </c>
      <c r="U203" s="2" t="s">
        <v>552</v>
      </c>
      <c r="V203" s="2" t="s">
        <v>877</v>
      </c>
      <c r="W203" s="2" t="s">
        <v>506</v>
      </c>
      <c r="X203" s="2" t="s">
        <v>581</v>
      </c>
      <c r="Y203" s="2" t="s">
        <v>1699</v>
      </c>
      <c r="Z203" s="4">
        <v>222</v>
      </c>
      <c r="AA203" s="4">
        <f>=ROUNDDOWN(22.2,0)</f>
      </c>
      <c r="AB203" s="5">
        <v>10</v>
      </c>
      <c r="AC203" s="2" t="s">
        <v>732</v>
      </c>
      <c r="AD203" s="4">
        <v>40</v>
      </c>
      <c r="AE203" s="4">
        <v>190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227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227</v>
      </c>
      <c r="AW203" s="8" t="s">
        <v>227</v>
      </c>
      <c r="AX203" s="4" t="s">
        <v>227</v>
      </c>
      <c r="AY203" s="8" t="s">
        <v>227</v>
      </c>
      <c r="AZ203" s="7" t="s">
        <v>227</v>
      </c>
      <c r="BA203" s="7" t="s">
        <v>227</v>
      </c>
      <c r="BB203" s="7"/>
      <c r="BC203" s="4" t="s">
        <v>227</v>
      </c>
      <c r="BD203" s="8" t="s">
        <v>227</v>
      </c>
      <c r="BE203" s="4" t="s">
        <v>227</v>
      </c>
      <c r="BF203" s="8" t="s">
        <v>227</v>
      </c>
      <c r="BG203" s="7" t="s">
        <v>227</v>
      </c>
      <c r="BH203" s="7" t="s">
        <v>227</v>
      </c>
      <c r="BI203" s="7"/>
      <c r="BJ203" s="4">
        <v>38</v>
      </c>
      <c r="BK203" s="8">
        <v>551.89</v>
      </c>
      <c r="BL203" s="2" t="s">
        <v>1601</v>
      </c>
      <c r="BM203" s="7"/>
      <c r="BN203" s="7"/>
      <c r="BO203" s="4"/>
      <c r="BP203" s="8"/>
      <c r="BQ203" s="4"/>
      <c r="BR203" s="8"/>
      <c r="BS203" s="7"/>
      <c r="BT203" s="7"/>
      <c r="BU203" s="2" t="s">
        <v>1700</v>
      </c>
      <c r="BV203" s="2" t="s">
        <v>227</v>
      </c>
      <c r="BW203" s="2" t="s">
        <v>227</v>
      </c>
      <c r="BX203" s="2" t="s">
        <v>235</v>
      </c>
      <c r="BY203" s="2" t="s">
        <v>236</v>
      </c>
      <c r="BZ203" s="2" t="s">
        <v>224</v>
      </c>
      <c r="CA203" s="2" t="s">
        <v>1699</v>
      </c>
      <c r="CB203" s="2" t="s">
        <v>1701</v>
      </c>
      <c r="CC203" s="2" t="s">
        <v>239</v>
      </c>
      <c r="CD203" s="2" t="s">
        <v>227</v>
      </c>
      <c r="CE203" s="4">
        <v>122</v>
      </c>
      <c r="CF203" s="4"/>
      <c r="CG203" s="4"/>
      <c r="CH203" s="4"/>
      <c r="CI203" s="4"/>
      <c r="CJ203" s="4"/>
      <c r="CK203" s="4">
        <v>100</v>
      </c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>
        <v>40</v>
      </c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>
        <v>150</v>
      </c>
      <c r="GN203" s="4"/>
      <c r="GO203" s="4"/>
      <c r="GP203" s="4"/>
      <c r="GQ203" s="4"/>
      <c r="GR203" s="4"/>
      <c r="GS203" s="4"/>
      <c r="GT203" s="4"/>
      <c r="GU203" s="4"/>
      <c r="GV203" s="4"/>
      <c r="GW203" s="4"/>
      <c r="GX203" s="4"/>
    </row>
    <row r="204">
      <c r="A204" s="2" t="s">
        <v>1702</v>
      </c>
      <c r="B204" s="2" t="s">
        <v>697</v>
      </c>
      <c r="C204" s="2" t="s">
        <v>360</v>
      </c>
      <c r="D204" s="2" t="s">
        <v>1448</v>
      </c>
      <c r="E204" s="2" t="s">
        <v>1449</v>
      </c>
      <c r="F204" s="2" t="s">
        <v>1696</v>
      </c>
      <c r="G204" s="2" t="s">
        <v>1696</v>
      </c>
      <c r="H204" s="2" t="s">
        <v>1696</v>
      </c>
      <c r="I204" s="2" t="s">
        <v>1449</v>
      </c>
      <c r="J204" s="2" t="s">
        <v>257</v>
      </c>
      <c r="K204" s="2" t="s">
        <v>223</v>
      </c>
      <c r="L204" s="3">
        <v>18.28</v>
      </c>
      <c r="M204" s="3">
        <v>19.19</v>
      </c>
      <c r="N204" s="3">
        <v>39.99</v>
      </c>
      <c r="O204" s="2" t="s">
        <v>224</v>
      </c>
      <c r="P204" s="2" t="s">
        <v>225</v>
      </c>
      <c r="Q204" s="2" t="s">
        <v>226</v>
      </c>
      <c r="R204" s="2" t="s">
        <v>227</v>
      </c>
      <c r="S204" s="2" t="s">
        <v>1697</v>
      </c>
      <c r="T204" s="2" t="s">
        <v>1698</v>
      </c>
      <c r="U204" s="2" t="s">
        <v>552</v>
      </c>
      <c r="V204" s="2" t="s">
        <v>877</v>
      </c>
      <c r="W204" s="2" t="s">
        <v>506</v>
      </c>
      <c r="X204" s="2" t="s">
        <v>581</v>
      </c>
      <c r="Y204" s="2" t="s">
        <v>1699</v>
      </c>
      <c r="Z204" s="4">
        <v>215</v>
      </c>
      <c r="AA204" s="4">
        <f>=ROUNDDOWN(23.8888888888889,0)</f>
      </c>
      <c r="AB204" s="5">
        <v>9</v>
      </c>
      <c r="AC204" s="2" t="s">
        <v>732</v>
      </c>
      <c r="AD204" s="4">
        <v>190</v>
      </c>
      <c r="AE204" s="4">
        <v>230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227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227</v>
      </c>
      <c r="AW204" s="8" t="s">
        <v>227</v>
      </c>
      <c r="AX204" s="4" t="s">
        <v>227</v>
      </c>
      <c r="AY204" s="8" t="s">
        <v>227</v>
      </c>
      <c r="AZ204" s="7" t="s">
        <v>227</v>
      </c>
      <c r="BA204" s="7" t="s">
        <v>227</v>
      </c>
      <c r="BB204" s="7"/>
      <c r="BC204" s="4" t="s">
        <v>227</v>
      </c>
      <c r="BD204" s="8" t="s">
        <v>227</v>
      </c>
      <c r="BE204" s="4" t="s">
        <v>227</v>
      </c>
      <c r="BF204" s="8" t="s">
        <v>227</v>
      </c>
      <c r="BG204" s="7" t="s">
        <v>227</v>
      </c>
      <c r="BH204" s="7" t="s">
        <v>227</v>
      </c>
      <c r="BI204" s="7"/>
      <c r="BJ204" s="4">
        <v>26</v>
      </c>
      <c r="BK204" s="8">
        <v>538.4</v>
      </c>
      <c r="BL204" s="2" t="s">
        <v>1601</v>
      </c>
      <c r="BM204" s="7"/>
      <c r="BN204" s="7"/>
      <c r="BO204" s="4"/>
      <c r="BP204" s="8"/>
      <c r="BQ204" s="4"/>
      <c r="BR204" s="8"/>
      <c r="BS204" s="7"/>
      <c r="BT204" s="7"/>
      <c r="BU204" s="2" t="s">
        <v>1703</v>
      </c>
      <c r="BV204" s="2" t="s">
        <v>227</v>
      </c>
      <c r="BW204" s="2" t="s">
        <v>227</v>
      </c>
      <c r="BX204" s="2" t="s">
        <v>235</v>
      </c>
      <c r="BY204" s="2" t="s">
        <v>236</v>
      </c>
      <c r="BZ204" s="2" t="s">
        <v>224</v>
      </c>
      <c r="CA204" s="2" t="s">
        <v>1699</v>
      </c>
      <c r="CB204" s="2" t="s">
        <v>1704</v>
      </c>
      <c r="CC204" s="2" t="s">
        <v>239</v>
      </c>
      <c r="CD204" s="2" t="s">
        <v>227</v>
      </c>
      <c r="CE204" s="4">
        <v>115</v>
      </c>
      <c r="CF204" s="4"/>
      <c r="CG204" s="4"/>
      <c r="CH204" s="4"/>
      <c r="CI204" s="4"/>
      <c r="CJ204" s="4"/>
      <c r="CK204" s="4">
        <v>100</v>
      </c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>
        <v>190</v>
      </c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>
        <v>40</v>
      </c>
      <c r="GN204" s="4"/>
      <c r="GO204" s="4"/>
      <c r="GP204" s="4"/>
      <c r="GQ204" s="4"/>
      <c r="GR204" s="4"/>
      <c r="GS204" s="4"/>
      <c r="GT204" s="4"/>
      <c r="GU204" s="4"/>
      <c r="GV204" s="4"/>
      <c r="GW204" s="4"/>
      <c r="GX204" s="4"/>
    </row>
    <row r="205">
      <c r="A205" s="2" t="s">
        <v>1705</v>
      </c>
      <c r="B205" s="2" t="s">
        <v>697</v>
      </c>
      <c r="C205" s="2" t="s">
        <v>360</v>
      </c>
      <c r="D205" s="2" t="s">
        <v>1448</v>
      </c>
      <c r="E205" s="2" t="s">
        <v>1449</v>
      </c>
      <c r="F205" s="2" t="s">
        <v>1696</v>
      </c>
      <c r="G205" s="2" t="s">
        <v>1696</v>
      </c>
      <c r="H205" s="2" t="s">
        <v>1696</v>
      </c>
      <c r="I205" s="2" t="s">
        <v>1449</v>
      </c>
      <c r="J205" s="2" t="s">
        <v>222</v>
      </c>
      <c r="K205" s="2" t="s">
        <v>1428</v>
      </c>
      <c r="L205" s="3">
        <v>12.85</v>
      </c>
      <c r="M205" s="3">
        <v>13.49</v>
      </c>
      <c r="N205" s="3">
        <v>29.99</v>
      </c>
      <c r="O205" s="2" t="s">
        <v>224</v>
      </c>
      <c r="P205" s="2" t="s">
        <v>225</v>
      </c>
      <c r="Q205" s="2" t="s">
        <v>226</v>
      </c>
      <c r="R205" s="2" t="s">
        <v>227</v>
      </c>
      <c r="S205" s="2" t="s">
        <v>1706</v>
      </c>
      <c r="T205" s="2" t="s">
        <v>1698</v>
      </c>
      <c r="U205" s="2" t="s">
        <v>552</v>
      </c>
      <c r="V205" s="2" t="s">
        <v>877</v>
      </c>
      <c r="W205" s="2" t="s">
        <v>506</v>
      </c>
      <c r="X205" s="2" t="s">
        <v>581</v>
      </c>
      <c r="Y205" s="2" t="s">
        <v>1707</v>
      </c>
      <c r="Z205" s="4">
        <v>201</v>
      </c>
      <c r="AA205" s="4">
        <f>=ROUNDDOWN(33.5,0)</f>
      </c>
      <c r="AB205" s="5">
        <v>6</v>
      </c>
      <c r="AC205" s="2" t="s">
        <v>167</v>
      </c>
      <c r="AD205" s="4">
        <v>120</v>
      </c>
      <c r="AE205" s="4">
        <v>210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227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227</v>
      </c>
      <c r="AW205" s="8" t="s">
        <v>227</v>
      </c>
      <c r="AX205" s="4" t="s">
        <v>227</v>
      </c>
      <c r="AY205" s="8" t="s">
        <v>227</v>
      </c>
      <c r="AZ205" s="7" t="s">
        <v>227</v>
      </c>
      <c r="BA205" s="7" t="s">
        <v>227</v>
      </c>
      <c r="BB205" s="7"/>
      <c r="BC205" s="4" t="s">
        <v>227</v>
      </c>
      <c r="BD205" s="8" t="s">
        <v>227</v>
      </c>
      <c r="BE205" s="4" t="s">
        <v>227</v>
      </c>
      <c r="BF205" s="8" t="s">
        <v>227</v>
      </c>
      <c r="BG205" s="7" t="s">
        <v>227</v>
      </c>
      <c r="BH205" s="7" t="s">
        <v>227</v>
      </c>
      <c r="BI205" s="7"/>
      <c r="BJ205" s="4">
        <v>12</v>
      </c>
      <c r="BK205" s="8">
        <v>173.85</v>
      </c>
      <c r="BL205" s="2" t="s">
        <v>1708</v>
      </c>
      <c r="BM205" s="7"/>
      <c r="BN205" s="7"/>
      <c r="BO205" s="4"/>
      <c r="BP205" s="8"/>
      <c r="BQ205" s="4"/>
      <c r="BR205" s="8"/>
      <c r="BS205" s="7"/>
      <c r="BT205" s="7"/>
      <c r="BU205" s="2" t="s">
        <v>1709</v>
      </c>
      <c r="BV205" s="2" t="s">
        <v>227</v>
      </c>
      <c r="BW205" s="2" t="s">
        <v>227</v>
      </c>
      <c r="BX205" s="2" t="s">
        <v>235</v>
      </c>
      <c r="BY205" s="2" t="s">
        <v>236</v>
      </c>
      <c r="BZ205" s="2" t="s">
        <v>224</v>
      </c>
      <c r="CA205" s="2" t="s">
        <v>1699</v>
      </c>
      <c r="CB205" s="2" t="s">
        <v>1710</v>
      </c>
      <c r="CC205" s="2" t="s">
        <v>239</v>
      </c>
      <c r="CD205" s="2" t="s">
        <v>227</v>
      </c>
      <c r="CE205" s="4">
        <v>201</v>
      </c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>
        <v>120</v>
      </c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>
        <v>90</v>
      </c>
      <c r="GN205" s="4"/>
      <c r="GO205" s="4"/>
      <c r="GP205" s="4"/>
      <c r="GQ205" s="4"/>
      <c r="GR205" s="4"/>
      <c r="GS205" s="4"/>
      <c r="GT205" s="4"/>
      <c r="GU205" s="4"/>
      <c r="GV205" s="4"/>
      <c r="GW205" s="4"/>
      <c r="GX205" s="4"/>
    </row>
    <row r="206">
      <c r="A206" s="2" t="s">
        <v>1711</v>
      </c>
      <c r="B206" s="2" t="s">
        <v>697</v>
      </c>
      <c r="C206" s="2" t="s">
        <v>360</v>
      </c>
      <c r="D206" s="2" t="s">
        <v>1448</v>
      </c>
      <c r="E206" s="2" t="s">
        <v>1449</v>
      </c>
      <c r="F206" s="2" t="s">
        <v>1696</v>
      </c>
      <c r="G206" s="2" t="s">
        <v>1696</v>
      </c>
      <c r="H206" s="2" t="s">
        <v>1696</v>
      </c>
      <c r="I206" s="2" t="s">
        <v>1449</v>
      </c>
      <c r="J206" s="2" t="s">
        <v>626</v>
      </c>
      <c r="K206" s="2" t="s">
        <v>1428</v>
      </c>
      <c r="L206" s="3">
        <v>16</v>
      </c>
      <c r="M206" s="3">
        <v>16.8</v>
      </c>
      <c r="N206" s="3">
        <v>34.99</v>
      </c>
      <c r="O206" s="2" t="s">
        <v>224</v>
      </c>
      <c r="P206" s="2" t="s">
        <v>225</v>
      </c>
      <c r="Q206" s="2" t="s">
        <v>226</v>
      </c>
      <c r="R206" s="2" t="s">
        <v>227</v>
      </c>
      <c r="S206" s="2" t="s">
        <v>1706</v>
      </c>
      <c r="T206" s="2" t="s">
        <v>1698</v>
      </c>
      <c r="U206" s="2" t="s">
        <v>552</v>
      </c>
      <c r="V206" s="2" t="s">
        <v>877</v>
      </c>
      <c r="W206" s="2" t="s">
        <v>506</v>
      </c>
      <c r="X206" s="2" t="s">
        <v>581</v>
      </c>
      <c r="Y206" s="2" t="s">
        <v>1699</v>
      </c>
      <c r="Z206" s="4">
        <v>203</v>
      </c>
      <c r="AA206" s="4">
        <f>=ROUNDDOWN(22.5555555555556,0)</f>
      </c>
      <c r="AB206" s="5">
        <v>9</v>
      </c>
      <c r="AC206" s="2" t="s">
        <v>167</v>
      </c>
      <c r="AD206" s="4">
        <v>180</v>
      </c>
      <c r="AE206" s="4">
        <v>390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227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227</v>
      </c>
      <c r="AW206" s="8" t="s">
        <v>227</v>
      </c>
      <c r="AX206" s="4" t="s">
        <v>227</v>
      </c>
      <c r="AY206" s="8" t="s">
        <v>227</v>
      </c>
      <c r="AZ206" s="7" t="s">
        <v>227</v>
      </c>
      <c r="BA206" s="7" t="s">
        <v>227</v>
      </c>
      <c r="BB206" s="7"/>
      <c r="BC206" s="4" t="s">
        <v>227</v>
      </c>
      <c r="BD206" s="8" t="s">
        <v>227</v>
      </c>
      <c r="BE206" s="4" t="s">
        <v>227</v>
      </c>
      <c r="BF206" s="8" t="s">
        <v>227</v>
      </c>
      <c r="BG206" s="7" t="s">
        <v>227</v>
      </c>
      <c r="BH206" s="7" t="s">
        <v>227</v>
      </c>
      <c r="BI206" s="7"/>
      <c r="BJ206" s="4">
        <v>21</v>
      </c>
      <c r="BK206" s="8">
        <v>382</v>
      </c>
      <c r="BL206" s="2" t="s">
        <v>1601</v>
      </c>
      <c r="BM206" s="7"/>
      <c r="BN206" s="7"/>
      <c r="BO206" s="4"/>
      <c r="BP206" s="8"/>
      <c r="BQ206" s="4"/>
      <c r="BR206" s="8"/>
      <c r="BS206" s="7"/>
      <c r="BT206" s="7"/>
      <c r="BU206" s="2" t="s">
        <v>1712</v>
      </c>
      <c r="BV206" s="2" t="s">
        <v>227</v>
      </c>
      <c r="BW206" s="2" t="s">
        <v>227</v>
      </c>
      <c r="BX206" s="2" t="s">
        <v>235</v>
      </c>
      <c r="BY206" s="2" t="s">
        <v>236</v>
      </c>
      <c r="BZ206" s="2" t="s">
        <v>224</v>
      </c>
      <c r="CA206" s="2" t="s">
        <v>1699</v>
      </c>
      <c r="CB206" s="2" t="s">
        <v>1713</v>
      </c>
      <c r="CC206" s="2" t="s">
        <v>239</v>
      </c>
      <c r="CD206" s="2" t="s">
        <v>227</v>
      </c>
      <c r="CE206" s="4">
        <v>203</v>
      </c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>
        <v>180</v>
      </c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>
        <v>210</v>
      </c>
      <c r="GN206" s="4"/>
      <c r="GO206" s="4"/>
      <c r="GP206" s="4"/>
      <c r="GQ206" s="4"/>
      <c r="GR206" s="4"/>
      <c r="GS206" s="4"/>
      <c r="GT206" s="4"/>
      <c r="GU206" s="4"/>
      <c r="GV206" s="4"/>
      <c r="GW206" s="4"/>
      <c r="GX206" s="4"/>
    </row>
    <row r="207">
      <c r="A207" s="2" t="s">
        <v>1714</v>
      </c>
      <c r="B207" s="2" t="s">
        <v>697</v>
      </c>
      <c r="C207" s="2" t="s">
        <v>360</v>
      </c>
      <c r="D207" s="2" t="s">
        <v>1448</v>
      </c>
      <c r="E207" s="2" t="s">
        <v>1449</v>
      </c>
      <c r="F207" s="2" t="s">
        <v>1696</v>
      </c>
      <c r="G207" s="2" t="s">
        <v>1696</v>
      </c>
      <c r="H207" s="2" t="s">
        <v>1696</v>
      </c>
      <c r="I207" s="2" t="s">
        <v>1449</v>
      </c>
      <c r="J207" s="2" t="s">
        <v>257</v>
      </c>
      <c r="K207" s="2" t="s">
        <v>1428</v>
      </c>
      <c r="L207" s="3">
        <v>18.28</v>
      </c>
      <c r="M207" s="3">
        <v>19.19</v>
      </c>
      <c r="N207" s="3">
        <v>39.99</v>
      </c>
      <c r="O207" s="2" t="s">
        <v>224</v>
      </c>
      <c r="P207" s="2" t="s">
        <v>225</v>
      </c>
      <c r="Q207" s="2" t="s">
        <v>226</v>
      </c>
      <c r="R207" s="2" t="s">
        <v>227</v>
      </c>
      <c r="S207" s="2" t="s">
        <v>1706</v>
      </c>
      <c r="T207" s="2" t="s">
        <v>1698</v>
      </c>
      <c r="U207" s="2" t="s">
        <v>552</v>
      </c>
      <c r="V207" s="2" t="s">
        <v>877</v>
      </c>
      <c r="W207" s="2" t="s">
        <v>506</v>
      </c>
      <c r="X207" s="2" t="s">
        <v>581</v>
      </c>
      <c r="Y207" s="2" t="s">
        <v>1707</v>
      </c>
      <c r="Z207" s="4">
        <v>256</v>
      </c>
      <c r="AA207" s="4">
        <f>=ROUNDDOWN(36.5714285714286,0)</f>
      </c>
      <c r="AB207" s="5">
        <v>7</v>
      </c>
      <c r="AC207" s="2" t="s">
        <v>167</v>
      </c>
      <c r="AD207" s="4">
        <v>30</v>
      </c>
      <c r="AE207" s="4">
        <v>174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227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227</v>
      </c>
      <c r="AW207" s="8" t="s">
        <v>227</v>
      </c>
      <c r="AX207" s="4" t="s">
        <v>227</v>
      </c>
      <c r="AY207" s="8" t="s">
        <v>227</v>
      </c>
      <c r="AZ207" s="7" t="s">
        <v>227</v>
      </c>
      <c r="BA207" s="7" t="s">
        <v>227</v>
      </c>
      <c r="BB207" s="7"/>
      <c r="BC207" s="4" t="s">
        <v>227</v>
      </c>
      <c r="BD207" s="8" t="s">
        <v>227</v>
      </c>
      <c r="BE207" s="4" t="s">
        <v>227</v>
      </c>
      <c r="BF207" s="8" t="s">
        <v>227</v>
      </c>
      <c r="BG207" s="7" t="s">
        <v>227</v>
      </c>
      <c r="BH207" s="7" t="s">
        <v>227</v>
      </c>
      <c r="BI207" s="7"/>
      <c r="BJ207" s="4">
        <v>8</v>
      </c>
      <c r="BK207" s="8">
        <v>165.26</v>
      </c>
      <c r="BL207" s="2" t="s">
        <v>1485</v>
      </c>
      <c r="BM207" s="7"/>
      <c r="BN207" s="7"/>
      <c r="BO207" s="4"/>
      <c r="BP207" s="8"/>
      <c r="BQ207" s="4"/>
      <c r="BR207" s="8"/>
      <c r="BS207" s="7"/>
      <c r="BT207" s="7"/>
      <c r="BU207" s="2" t="s">
        <v>1715</v>
      </c>
      <c r="BV207" s="2" t="s">
        <v>227</v>
      </c>
      <c r="BW207" s="2" t="s">
        <v>227</v>
      </c>
      <c r="BX207" s="2" t="s">
        <v>235</v>
      </c>
      <c r="BY207" s="2" t="s">
        <v>236</v>
      </c>
      <c r="BZ207" s="2" t="s">
        <v>224</v>
      </c>
      <c r="CA207" s="2" t="s">
        <v>1699</v>
      </c>
      <c r="CB207" s="2" t="s">
        <v>227</v>
      </c>
      <c r="CC207" s="2" t="s">
        <v>239</v>
      </c>
      <c r="CD207" s="2" t="s">
        <v>227</v>
      </c>
      <c r="CE207" s="4">
        <v>256</v>
      </c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>
        <v>30</v>
      </c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>
        <v>144</v>
      </c>
      <c r="GN207" s="4"/>
      <c r="GO207" s="4"/>
      <c r="GP207" s="4"/>
      <c r="GQ207" s="4"/>
      <c r="GR207" s="4"/>
      <c r="GS207" s="4"/>
      <c r="GT207" s="4"/>
      <c r="GU207" s="4"/>
      <c r="GV207" s="4"/>
      <c r="GW207" s="4"/>
      <c r="GX207" s="4"/>
    </row>
    <row r="208">
      <c r="A208" s="2" t="s">
        <v>1716</v>
      </c>
      <c r="B208" s="2" t="s">
        <v>697</v>
      </c>
      <c r="C208" s="2" t="s">
        <v>360</v>
      </c>
      <c r="D208" s="2" t="s">
        <v>1448</v>
      </c>
      <c r="E208" s="2" t="s">
        <v>1449</v>
      </c>
      <c r="F208" s="2" t="s">
        <v>1696</v>
      </c>
      <c r="G208" s="2" t="s">
        <v>1696</v>
      </c>
      <c r="H208" s="2" t="s">
        <v>1696</v>
      </c>
      <c r="I208" s="2" t="s">
        <v>1449</v>
      </c>
      <c r="J208" s="2" t="s">
        <v>222</v>
      </c>
      <c r="K208" s="2" t="s">
        <v>780</v>
      </c>
      <c r="L208" s="3">
        <v>12.85</v>
      </c>
      <c r="M208" s="3">
        <v>13.49</v>
      </c>
      <c r="N208" s="3">
        <v>29.99</v>
      </c>
      <c r="O208" s="2" t="s">
        <v>224</v>
      </c>
      <c r="P208" s="2" t="s">
        <v>225</v>
      </c>
      <c r="Q208" s="2" t="s">
        <v>226</v>
      </c>
      <c r="R208" s="2" t="s">
        <v>227</v>
      </c>
      <c r="S208" s="2" t="s">
        <v>1717</v>
      </c>
      <c r="T208" s="2" t="s">
        <v>1698</v>
      </c>
      <c r="U208" s="2" t="s">
        <v>552</v>
      </c>
      <c r="V208" s="2" t="s">
        <v>877</v>
      </c>
      <c r="W208" s="2" t="s">
        <v>506</v>
      </c>
      <c r="X208" s="2" t="s">
        <v>581</v>
      </c>
      <c r="Y208" s="2" t="s">
        <v>1699</v>
      </c>
      <c r="Z208" s="4">
        <v>318</v>
      </c>
      <c r="AA208" s="4">
        <f>=ROUNDDOWN(45.4285714285714,0)</f>
      </c>
      <c r="AB208" s="5">
        <v>7</v>
      </c>
      <c r="AC208" s="2" t="s">
        <v>732</v>
      </c>
      <c r="AD208" s="4">
        <v>30</v>
      </c>
      <c r="AE208" s="4">
        <v>30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227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227</v>
      </c>
      <c r="AW208" s="8" t="s">
        <v>227</v>
      </c>
      <c r="AX208" s="4" t="s">
        <v>227</v>
      </c>
      <c r="AY208" s="8" t="s">
        <v>227</v>
      </c>
      <c r="AZ208" s="7" t="s">
        <v>227</v>
      </c>
      <c r="BA208" s="7" t="s">
        <v>227</v>
      </c>
      <c r="BB208" s="7"/>
      <c r="BC208" s="4" t="s">
        <v>227</v>
      </c>
      <c r="BD208" s="8" t="s">
        <v>227</v>
      </c>
      <c r="BE208" s="4" t="s">
        <v>227</v>
      </c>
      <c r="BF208" s="8" t="s">
        <v>227</v>
      </c>
      <c r="BG208" s="7" t="s">
        <v>227</v>
      </c>
      <c r="BH208" s="7" t="s">
        <v>227</v>
      </c>
      <c r="BI208" s="7"/>
      <c r="BJ208" s="4">
        <v>15</v>
      </c>
      <c r="BK208" s="8">
        <v>216.55</v>
      </c>
      <c r="BL208" s="2" t="s">
        <v>1435</v>
      </c>
      <c r="BM208" s="7"/>
      <c r="BN208" s="7"/>
      <c r="BO208" s="4"/>
      <c r="BP208" s="8"/>
      <c r="BQ208" s="4"/>
      <c r="BR208" s="8"/>
      <c r="BS208" s="7"/>
      <c r="BT208" s="7"/>
      <c r="BU208" s="2" t="s">
        <v>1718</v>
      </c>
      <c r="BV208" s="2" t="s">
        <v>227</v>
      </c>
      <c r="BW208" s="2" t="s">
        <v>227</v>
      </c>
      <c r="BX208" s="2" t="s">
        <v>235</v>
      </c>
      <c r="BY208" s="2" t="s">
        <v>236</v>
      </c>
      <c r="BZ208" s="2" t="s">
        <v>224</v>
      </c>
      <c r="CA208" s="2" t="s">
        <v>1699</v>
      </c>
      <c r="CB208" s="2" t="s">
        <v>1719</v>
      </c>
      <c r="CC208" s="2" t="s">
        <v>239</v>
      </c>
      <c r="CD208" s="2" t="s">
        <v>227</v>
      </c>
      <c r="CE208" s="4">
        <v>138</v>
      </c>
      <c r="CF208" s="4"/>
      <c r="CG208" s="4"/>
      <c r="CH208" s="4"/>
      <c r="CI208" s="4"/>
      <c r="CJ208" s="4"/>
      <c r="CK208" s="4">
        <v>180</v>
      </c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>
        <v>30</v>
      </c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  <c r="GU208" s="4"/>
      <c r="GV208" s="4"/>
      <c r="GW208" s="4"/>
      <c r="GX208" s="4"/>
    </row>
    <row r="209">
      <c r="A209" s="2" t="s">
        <v>1720</v>
      </c>
      <c r="B209" s="2" t="s">
        <v>697</v>
      </c>
      <c r="C209" s="2" t="s">
        <v>360</v>
      </c>
      <c r="D209" s="2" t="s">
        <v>1448</v>
      </c>
      <c r="E209" s="2" t="s">
        <v>1449</v>
      </c>
      <c r="F209" s="2" t="s">
        <v>1696</v>
      </c>
      <c r="G209" s="2" t="s">
        <v>1696</v>
      </c>
      <c r="H209" s="2" t="s">
        <v>1696</v>
      </c>
      <c r="I209" s="2" t="s">
        <v>1449</v>
      </c>
      <c r="J209" s="2" t="s">
        <v>626</v>
      </c>
      <c r="K209" s="2" t="s">
        <v>780</v>
      </c>
      <c r="L209" s="3">
        <v>16</v>
      </c>
      <c r="M209" s="3">
        <v>16.8</v>
      </c>
      <c r="N209" s="3">
        <v>34.99</v>
      </c>
      <c r="O209" s="2" t="s">
        <v>224</v>
      </c>
      <c r="P209" s="2" t="s">
        <v>225</v>
      </c>
      <c r="Q209" s="2" t="s">
        <v>226</v>
      </c>
      <c r="R209" s="2" t="s">
        <v>227</v>
      </c>
      <c r="S209" s="2" t="s">
        <v>1717</v>
      </c>
      <c r="T209" s="2" t="s">
        <v>1698</v>
      </c>
      <c r="U209" s="2" t="s">
        <v>552</v>
      </c>
      <c r="V209" s="2" t="s">
        <v>877</v>
      </c>
      <c r="W209" s="2" t="s">
        <v>506</v>
      </c>
      <c r="X209" s="2" t="s">
        <v>581</v>
      </c>
      <c r="Y209" s="2" t="s">
        <v>1707</v>
      </c>
      <c r="Z209" s="4">
        <v>457</v>
      </c>
      <c r="AA209" s="4">
        <f>=ROUNDDOWN(35.1538461538462,0)</f>
      </c>
      <c r="AB209" s="5">
        <v>13</v>
      </c>
      <c r="AC209" s="2" t="s">
        <v>732</v>
      </c>
      <c r="AD209" s="4">
        <v>30</v>
      </c>
      <c r="AE209" s="4">
        <v>30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227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227</v>
      </c>
      <c r="AW209" s="8" t="s">
        <v>227</v>
      </c>
      <c r="AX209" s="4" t="s">
        <v>227</v>
      </c>
      <c r="AY209" s="8" t="s">
        <v>227</v>
      </c>
      <c r="AZ209" s="7" t="s">
        <v>227</v>
      </c>
      <c r="BA209" s="7" t="s">
        <v>227</v>
      </c>
      <c r="BB209" s="7"/>
      <c r="BC209" s="4" t="s">
        <v>227</v>
      </c>
      <c r="BD209" s="8" t="s">
        <v>227</v>
      </c>
      <c r="BE209" s="4" t="s">
        <v>227</v>
      </c>
      <c r="BF209" s="8" t="s">
        <v>227</v>
      </c>
      <c r="BG209" s="7" t="s">
        <v>227</v>
      </c>
      <c r="BH209" s="7" t="s">
        <v>227</v>
      </c>
      <c r="BI209" s="7"/>
      <c r="BJ209" s="4">
        <v>40</v>
      </c>
      <c r="BK209" s="8">
        <v>729.8</v>
      </c>
      <c r="BL209" s="2" t="s">
        <v>1485</v>
      </c>
      <c r="BM209" s="7"/>
      <c r="BN209" s="7"/>
      <c r="BO209" s="4"/>
      <c r="BP209" s="8"/>
      <c r="BQ209" s="4"/>
      <c r="BR209" s="8"/>
      <c r="BS209" s="7"/>
      <c r="BT209" s="7"/>
      <c r="BU209" s="2" t="s">
        <v>1721</v>
      </c>
      <c r="BV209" s="2" t="s">
        <v>227</v>
      </c>
      <c r="BW209" s="2" t="s">
        <v>227</v>
      </c>
      <c r="BX209" s="2" t="s">
        <v>235</v>
      </c>
      <c r="BY209" s="2" t="s">
        <v>236</v>
      </c>
      <c r="BZ209" s="2" t="s">
        <v>224</v>
      </c>
      <c r="CA209" s="2" t="s">
        <v>1699</v>
      </c>
      <c r="CB209" s="2" t="s">
        <v>1722</v>
      </c>
      <c r="CC209" s="2" t="s">
        <v>239</v>
      </c>
      <c r="CD209" s="2" t="s">
        <v>227</v>
      </c>
      <c r="CE209" s="4">
        <v>157</v>
      </c>
      <c r="CF209" s="4"/>
      <c r="CG209" s="4"/>
      <c r="CH209" s="4"/>
      <c r="CI209" s="4"/>
      <c r="CJ209" s="4"/>
      <c r="CK209" s="4">
        <v>300</v>
      </c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>
        <v>30</v>
      </c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  <c r="GW209" s="4"/>
      <c r="GX209" s="4"/>
    </row>
    <row r="210">
      <c r="A210" s="2" t="s">
        <v>1723</v>
      </c>
      <c r="B210" s="2" t="s">
        <v>697</v>
      </c>
      <c r="C210" s="2" t="s">
        <v>360</v>
      </c>
      <c r="D210" s="2" t="s">
        <v>1448</v>
      </c>
      <c r="E210" s="2" t="s">
        <v>1449</v>
      </c>
      <c r="F210" s="2" t="s">
        <v>1696</v>
      </c>
      <c r="G210" s="2" t="s">
        <v>1696</v>
      </c>
      <c r="H210" s="2" t="s">
        <v>1696</v>
      </c>
      <c r="I210" s="2" t="s">
        <v>1449</v>
      </c>
      <c r="J210" s="2" t="s">
        <v>257</v>
      </c>
      <c r="K210" s="2" t="s">
        <v>780</v>
      </c>
      <c r="L210" s="3">
        <v>18.28</v>
      </c>
      <c r="M210" s="3">
        <v>19.19</v>
      </c>
      <c r="N210" s="3">
        <v>39.99</v>
      </c>
      <c r="O210" s="2" t="s">
        <v>224</v>
      </c>
      <c r="P210" s="2" t="s">
        <v>225</v>
      </c>
      <c r="Q210" s="2" t="s">
        <v>226</v>
      </c>
      <c r="R210" s="2" t="s">
        <v>227</v>
      </c>
      <c r="S210" s="2" t="s">
        <v>1717</v>
      </c>
      <c r="T210" s="2" t="s">
        <v>1698</v>
      </c>
      <c r="U210" s="2" t="s">
        <v>552</v>
      </c>
      <c r="V210" s="2" t="s">
        <v>877</v>
      </c>
      <c r="W210" s="2" t="s">
        <v>506</v>
      </c>
      <c r="X210" s="2" t="s">
        <v>581</v>
      </c>
      <c r="Y210" s="2" t="s">
        <v>1707</v>
      </c>
      <c r="Z210" s="4">
        <v>218</v>
      </c>
      <c r="AA210" s="4">
        <f>=ROUNDDOWN(27.25,0)</f>
      </c>
      <c r="AB210" s="5">
        <v>8</v>
      </c>
      <c r="AC210" s="2" t="s">
        <v>732</v>
      </c>
      <c r="AD210" s="4">
        <v>140</v>
      </c>
      <c r="AE210" s="4">
        <v>140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227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227</v>
      </c>
      <c r="AW210" s="8" t="s">
        <v>227</v>
      </c>
      <c r="AX210" s="4" t="s">
        <v>227</v>
      </c>
      <c r="AY210" s="8" t="s">
        <v>227</v>
      </c>
      <c r="AZ210" s="7" t="s">
        <v>227</v>
      </c>
      <c r="BA210" s="7" t="s">
        <v>227</v>
      </c>
      <c r="BB210" s="7"/>
      <c r="BC210" s="4" t="s">
        <v>227</v>
      </c>
      <c r="BD210" s="8" t="s">
        <v>227</v>
      </c>
      <c r="BE210" s="4" t="s">
        <v>227</v>
      </c>
      <c r="BF210" s="8" t="s">
        <v>227</v>
      </c>
      <c r="BG210" s="7" t="s">
        <v>227</v>
      </c>
      <c r="BH210" s="7" t="s">
        <v>227</v>
      </c>
      <c r="BI210" s="7"/>
      <c r="BJ210" s="4">
        <v>25</v>
      </c>
      <c r="BK210" s="8">
        <v>517.67</v>
      </c>
      <c r="BL210" s="2" t="s">
        <v>1435</v>
      </c>
      <c r="BM210" s="7"/>
      <c r="BN210" s="7"/>
      <c r="BO210" s="4"/>
      <c r="BP210" s="8"/>
      <c r="BQ210" s="4"/>
      <c r="BR210" s="8"/>
      <c r="BS210" s="7"/>
      <c r="BT210" s="7"/>
      <c r="BU210" s="2" t="s">
        <v>1724</v>
      </c>
      <c r="BV210" s="2" t="s">
        <v>227</v>
      </c>
      <c r="BW210" s="2" t="s">
        <v>227</v>
      </c>
      <c r="BX210" s="2" t="s">
        <v>235</v>
      </c>
      <c r="BY210" s="2" t="s">
        <v>236</v>
      </c>
      <c r="BZ210" s="2" t="s">
        <v>224</v>
      </c>
      <c r="CA210" s="2" t="s">
        <v>1699</v>
      </c>
      <c r="CB210" s="2" t="s">
        <v>1725</v>
      </c>
      <c r="CC210" s="2" t="s">
        <v>239</v>
      </c>
      <c r="CD210" s="2" t="s">
        <v>227</v>
      </c>
      <c r="CE210" s="4">
        <v>118</v>
      </c>
      <c r="CF210" s="4"/>
      <c r="CG210" s="4"/>
      <c r="CH210" s="4"/>
      <c r="CI210" s="4"/>
      <c r="CJ210" s="4"/>
      <c r="CK210" s="4">
        <v>100</v>
      </c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>
        <v>140</v>
      </c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/>
      <c r="GX210" s="4"/>
    </row>
    <row r="211">
      <c r="A211" s="2" t="s">
        <v>1726</v>
      </c>
      <c r="B211" s="2" t="s">
        <v>697</v>
      </c>
      <c r="C211" s="2" t="s">
        <v>360</v>
      </c>
      <c r="D211" s="2" t="s">
        <v>1448</v>
      </c>
      <c r="E211" s="2" t="s">
        <v>1449</v>
      </c>
      <c r="F211" s="2" t="s">
        <v>1696</v>
      </c>
      <c r="G211" s="2" t="s">
        <v>1696</v>
      </c>
      <c r="H211" s="2" t="s">
        <v>1696</v>
      </c>
      <c r="I211" s="2" t="s">
        <v>1449</v>
      </c>
      <c r="J211" s="2" t="s">
        <v>222</v>
      </c>
      <c r="K211" s="2" t="s">
        <v>410</v>
      </c>
      <c r="L211" s="3">
        <v>12.85</v>
      </c>
      <c r="M211" s="3">
        <v>13.49</v>
      </c>
      <c r="N211" s="3">
        <v>29.99</v>
      </c>
      <c r="O211" s="2" t="s">
        <v>224</v>
      </c>
      <c r="P211" s="2" t="s">
        <v>225</v>
      </c>
      <c r="Q211" s="2" t="s">
        <v>226</v>
      </c>
      <c r="R211" s="2" t="s">
        <v>227</v>
      </c>
      <c r="S211" s="2" t="s">
        <v>1727</v>
      </c>
      <c r="T211" s="2" t="s">
        <v>1698</v>
      </c>
      <c r="U211" s="2" t="s">
        <v>552</v>
      </c>
      <c r="V211" s="2" t="s">
        <v>877</v>
      </c>
      <c r="W211" s="2" t="s">
        <v>506</v>
      </c>
      <c r="X211" s="2" t="s">
        <v>581</v>
      </c>
      <c r="Y211" s="2" t="s">
        <v>1699</v>
      </c>
      <c r="Z211" s="4">
        <v>158</v>
      </c>
      <c r="AA211" s="4">
        <f>=ROUNDDOWN(17.5555555555556,0)</f>
      </c>
      <c r="AB211" s="5">
        <v>9</v>
      </c>
      <c r="AC211" s="2" t="s">
        <v>732</v>
      </c>
      <c r="AD211" s="4">
        <v>50</v>
      </c>
      <c r="AE211" s="4">
        <v>150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227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227</v>
      </c>
      <c r="AW211" s="8" t="s">
        <v>227</v>
      </c>
      <c r="AX211" s="4" t="s">
        <v>227</v>
      </c>
      <c r="AY211" s="8" t="s">
        <v>227</v>
      </c>
      <c r="AZ211" s="7" t="s">
        <v>227</v>
      </c>
      <c r="BA211" s="7" t="s">
        <v>227</v>
      </c>
      <c r="BB211" s="7"/>
      <c r="BC211" s="4" t="s">
        <v>227</v>
      </c>
      <c r="BD211" s="8" t="s">
        <v>227</v>
      </c>
      <c r="BE211" s="4" t="s">
        <v>227</v>
      </c>
      <c r="BF211" s="8" t="s">
        <v>227</v>
      </c>
      <c r="BG211" s="7" t="s">
        <v>227</v>
      </c>
      <c r="BH211" s="7" t="s">
        <v>227</v>
      </c>
      <c r="BI211" s="7"/>
      <c r="BJ211" s="4">
        <v>42</v>
      </c>
      <c r="BK211" s="8">
        <v>613.45</v>
      </c>
      <c r="BL211" s="2" t="s">
        <v>1728</v>
      </c>
      <c r="BM211" s="7"/>
      <c r="BN211" s="7"/>
      <c r="BO211" s="4"/>
      <c r="BP211" s="8"/>
      <c r="BQ211" s="4"/>
      <c r="BR211" s="8"/>
      <c r="BS211" s="7"/>
      <c r="BT211" s="7"/>
      <c r="BU211" s="2" t="s">
        <v>1729</v>
      </c>
      <c r="BV211" s="2" t="s">
        <v>227</v>
      </c>
      <c r="BW211" s="2" t="s">
        <v>227</v>
      </c>
      <c r="BX211" s="2" t="s">
        <v>235</v>
      </c>
      <c r="BY211" s="2" t="s">
        <v>236</v>
      </c>
      <c r="BZ211" s="2" t="s">
        <v>224</v>
      </c>
      <c r="CA211" s="2" t="s">
        <v>1699</v>
      </c>
      <c r="CB211" s="2" t="s">
        <v>227</v>
      </c>
      <c r="CC211" s="2" t="s">
        <v>239</v>
      </c>
      <c r="CD211" s="2" t="s">
        <v>227</v>
      </c>
      <c r="CE211" s="4">
        <v>108</v>
      </c>
      <c r="CF211" s="4"/>
      <c r="CG211" s="4"/>
      <c r="CH211" s="4"/>
      <c r="CI211" s="4"/>
      <c r="CJ211" s="4"/>
      <c r="CK211" s="4">
        <v>50</v>
      </c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>
        <v>50</v>
      </c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>
        <v>100</v>
      </c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  <c r="GU211" s="4"/>
      <c r="GV211" s="4"/>
      <c r="GW211" s="4"/>
      <c r="GX211" s="4"/>
    </row>
    <row r="212">
      <c r="A212" s="2" t="s">
        <v>1730</v>
      </c>
      <c r="B212" s="2" t="s">
        <v>697</v>
      </c>
      <c r="C212" s="2" t="s">
        <v>360</v>
      </c>
      <c r="D212" s="2" t="s">
        <v>1448</v>
      </c>
      <c r="E212" s="2" t="s">
        <v>1449</v>
      </c>
      <c r="F212" s="2" t="s">
        <v>1696</v>
      </c>
      <c r="G212" s="2" t="s">
        <v>1696</v>
      </c>
      <c r="H212" s="2" t="s">
        <v>1696</v>
      </c>
      <c r="I212" s="2" t="s">
        <v>1449</v>
      </c>
      <c r="J212" s="2" t="s">
        <v>626</v>
      </c>
      <c r="K212" s="2" t="s">
        <v>410</v>
      </c>
      <c r="L212" s="3">
        <v>16</v>
      </c>
      <c r="M212" s="3">
        <v>16.8</v>
      </c>
      <c r="N212" s="3">
        <v>34.99</v>
      </c>
      <c r="O212" s="2" t="s">
        <v>224</v>
      </c>
      <c r="P212" s="2" t="s">
        <v>225</v>
      </c>
      <c r="Q212" s="2" t="s">
        <v>226</v>
      </c>
      <c r="R212" s="2" t="s">
        <v>227</v>
      </c>
      <c r="S212" s="2" t="s">
        <v>1727</v>
      </c>
      <c r="T212" s="2" t="s">
        <v>1698</v>
      </c>
      <c r="U212" s="2" t="s">
        <v>552</v>
      </c>
      <c r="V212" s="2" t="s">
        <v>877</v>
      </c>
      <c r="W212" s="2" t="s">
        <v>506</v>
      </c>
      <c r="X212" s="2" t="s">
        <v>581</v>
      </c>
      <c r="Y212" s="2" t="s">
        <v>1699</v>
      </c>
      <c r="Z212" s="4">
        <v>385</v>
      </c>
      <c r="AA212" s="4">
        <f>=ROUNDDOWN(29.6153846153846,0)</f>
      </c>
      <c r="AB212" s="5">
        <v>13</v>
      </c>
      <c r="AC212" s="2" t="s">
        <v>732</v>
      </c>
      <c r="AD212" s="4">
        <v>30</v>
      </c>
      <c r="AE212" s="4">
        <v>230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227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227</v>
      </c>
      <c r="AW212" s="8" t="s">
        <v>227</v>
      </c>
      <c r="AX212" s="4" t="s">
        <v>227</v>
      </c>
      <c r="AY212" s="8" t="s">
        <v>227</v>
      </c>
      <c r="AZ212" s="7" t="s">
        <v>227</v>
      </c>
      <c r="BA212" s="7" t="s">
        <v>227</v>
      </c>
      <c r="BB212" s="7"/>
      <c r="BC212" s="4" t="s">
        <v>227</v>
      </c>
      <c r="BD212" s="8" t="s">
        <v>227</v>
      </c>
      <c r="BE212" s="4" t="s">
        <v>227</v>
      </c>
      <c r="BF212" s="8" t="s">
        <v>227</v>
      </c>
      <c r="BG212" s="7" t="s">
        <v>227</v>
      </c>
      <c r="BH212" s="7" t="s">
        <v>227</v>
      </c>
      <c r="BI212" s="7"/>
      <c r="BJ212" s="4">
        <v>46</v>
      </c>
      <c r="BK212" s="8">
        <v>835.88</v>
      </c>
      <c r="BL212" s="2" t="s">
        <v>1731</v>
      </c>
      <c r="BM212" s="7"/>
      <c r="BN212" s="7"/>
      <c r="BO212" s="4"/>
      <c r="BP212" s="8"/>
      <c r="BQ212" s="4"/>
      <c r="BR212" s="8"/>
      <c r="BS212" s="7"/>
      <c r="BT212" s="7"/>
      <c r="BU212" s="2" t="s">
        <v>1732</v>
      </c>
      <c r="BV212" s="2" t="s">
        <v>227</v>
      </c>
      <c r="BW212" s="2" t="s">
        <v>227</v>
      </c>
      <c r="BX212" s="2" t="s">
        <v>235</v>
      </c>
      <c r="BY212" s="2" t="s">
        <v>236</v>
      </c>
      <c r="BZ212" s="2" t="s">
        <v>224</v>
      </c>
      <c r="CA212" s="2" t="s">
        <v>1699</v>
      </c>
      <c r="CB212" s="2" t="s">
        <v>1733</v>
      </c>
      <c r="CC212" s="2" t="s">
        <v>239</v>
      </c>
      <c r="CD212" s="2" t="s">
        <v>227</v>
      </c>
      <c r="CE212" s="4">
        <v>85</v>
      </c>
      <c r="CF212" s="4"/>
      <c r="CG212" s="4"/>
      <c r="CH212" s="4"/>
      <c r="CI212" s="4"/>
      <c r="CJ212" s="4"/>
      <c r="CK212" s="4">
        <v>300</v>
      </c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>
        <v>30</v>
      </c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>
        <v>200</v>
      </c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  <c r="GU212" s="4"/>
      <c r="GV212" s="4"/>
      <c r="GW212" s="4"/>
      <c r="GX212" s="4"/>
    </row>
    <row r="213">
      <c r="A213" s="2" t="s">
        <v>1734</v>
      </c>
      <c r="B213" s="2" t="s">
        <v>697</v>
      </c>
      <c r="C213" s="2" t="s">
        <v>360</v>
      </c>
      <c r="D213" s="2" t="s">
        <v>1448</v>
      </c>
      <c r="E213" s="2" t="s">
        <v>1449</v>
      </c>
      <c r="F213" s="2" t="s">
        <v>1696</v>
      </c>
      <c r="G213" s="2" t="s">
        <v>1696</v>
      </c>
      <c r="H213" s="2" t="s">
        <v>1696</v>
      </c>
      <c r="I213" s="2" t="s">
        <v>1449</v>
      </c>
      <c r="J213" s="2" t="s">
        <v>257</v>
      </c>
      <c r="K213" s="2" t="s">
        <v>410</v>
      </c>
      <c r="L213" s="3">
        <v>18.28</v>
      </c>
      <c r="M213" s="3">
        <v>19.19</v>
      </c>
      <c r="N213" s="3">
        <v>39.99</v>
      </c>
      <c r="O213" s="2" t="s">
        <v>224</v>
      </c>
      <c r="P213" s="2" t="s">
        <v>225</v>
      </c>
      <c r="Q213" s="2" t="s">
        <v>226</v>
      </c>
      <c r="R213" s="2" t="s">
        <v>227</v>
      </c>
      <c r="S213" s="2" t="s">
        <v>1727</v>
      </c>
      <c r="T213" s="2" t="s">
        <v>1698</v>
      </c>
      <c r="U213" s="2" t="s">
        <v>552</v>
      </c>
      <c r="V213" s="2" t="s">
        <v>877</v>
      </c>
      <c r="W213" s="2" t="s">
        <v>506</v>
      </c>
      <c r="X213" s="2" t="s">
        <v>581</v>
      </c>
      <c r="Y213" s="2" t="s">
        <v>1707</v>
      </c>
      <c r="Z213" s="4">
        <v>175</v>
      </c>
      <c r="AA213" s="4">
        <f>=ROUNDDOWN(13.4615384615385,0)</f>
      </c>
      <c r="AB213" s="5">
        <v>13</v>
      </c>
      <c r="AC213" s="2" t="s">
        <v>732</v>
      </c>
      <c r="AD213" s="4">
        <v>250</v>
      </c>
      <c r="AE213" s="4">
        <v>350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227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227</v>
      </c>
      <c r="AW213" s="8" t="s">
        <v>227</v>
      </c>
      <c r="AX213" s="4" t="s">
        <v>227</v>
      </c>
      <c r="AY213" s="8" t="s">
        <v>227</v>
      </c>
      <c r="AZ213" s="7" t="s">
        <v>227</v>
      </c>
      <c r="BA213" s="7" t="s">
        <v>227</v>
      </c>
      <c r="BB213" s="7"/>
      <c r="BC213" s="4" t="s">
        <v>227</v>
      </c>
      <c r="BD213" s="8" t="s">
        <v>227</v>
      </c>
      <c r="BE213" s="4" t="s">
        <v>227</v>
      </c>
      <c r="BF213" s="8" t="s">
        <v>227</v>
      </c>
      <c r="BG213" s="7" t="s">
        <v>227</v>
      </c>
      <c r="BH213" s="7" t="s">
        <v>227</v>
      </c>
      <c r="BI213" s="7"/>
      <c r="BJ213" s="4">
        <v>41</v>
      </c>
      <c r="BK213" s="8">
        <v>843.55</v>
      </c>
      <c r="BL213" s="2" t="s">
        <v>1735</v>
      </c>
      <c r="BM213" s="7"/>
      <c r="BN213" s="7"/>
      <c r="BO213" s="4"/>
      <c r="BP213" s="8"/>
      <c r="BQ213" s="4"/>
      <c r="BR213" s="8"/>
      <c r="BS213" s="7"/>
      <c r="BT213" s="7"/>
      <c r="BU213" s="2" t="s">
        <v>1736</v>
      </c>
      <c r="BV213" s="2" t="s">
        <v>227</v>
      </c>
      <c r="BW213" s="2" t="s">
        <v>227</v>
      </c>
      <c r="BX213" s="2" t="s">
        <v>235</v>
      </c>
      <c r="BY213" s="2" t="s">
        <v>236</v>
      </c>
      <c r="BZ213" s="2" t="s">
        <v>224</v>
      </c>
      <c r="CA213" s="2" t="s">
        <v>1699</v>
      </c>
      <c r="CB213" s="2" t="s">
        <v>1719</v>
      </c>
      <c r="CC213" s="2" t="s">
        <v>239</v>
      </c>
      <c r="CD213" s="2" t="s">
        <v>227</v>
      </c>
      <c r="CE213" s="4">
        <v>75</v>
      </c>
      <c r="CF213" s="4"/>
      <c r="CG213" s="4"/>
      <c r="CH213" s="4"/>
      <c r="CI213" s="4"/>
      <c r="CJ213" s="4"/>
      <c r="CK213" s="4">
        <v>100</v>
      </c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>
        <v>250</v>
      </c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>
        <v>100</v>
      </c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  <c r="GW213" s="4"/>
      <c r="GX213" s="4"/>
    </row>
    <row r="214">
      <c r="A214" s="2" t="s">
        <v>1737</v>
      </c>
      <c r="B214" s="2" t="s">
        <v>697</v>
      </c>
      <c r="C214" s="2" t="s">
        <v>360</v>
      </c>
      <c r="D214" s="2" t="s">
        <v>1448</v>
      </c>
      <c r="E214" s="2" t="s">
        <v>1449</v>
      </c>
      <c r="F214" s="2" t="s">
        <v>1696</v>
      </c>
      <c r="G214" s="2" t="s">
        <v>1696</v>
      </c>
      <c r="H214" s="2" t="s">
        <v>1696</v>
      </c>
      <c r="I214" s="2" t="s">
        <v>1449</v>
      </c>
      <c r="J214" s="2" t="s">
        <v>222</v>
      </c>
      <c r="K214" s="2" t="s">
        <v>762</v>
      </c>
      <c r="L214" s="3">
        <v>12.85</v>
      </c>
      <c r="M214" s="3">
        <v>13.49</v>
      </c>
      <c r="N214" s="3">
        <v>29.99</v>
      </c>
      <c r="O214" s="2" t="s">
        <v>224</v>
      </c>
      <c r="P214" s="2" t="s">
        <v>225</v>
      </c>
      <c r="Q214" s="2" t="s">
        <v>226</v>
      </c>
      <c r="R214" s="2" t="s">
        <v>227</v>
      </c>
      <c r="S214" s="2" t="s">
        <v>1738</v>
      </c>
      <c r="T214" s="2" t="s">
        <v>1698</v>
      </c>
      <c r="U214" s="2" t="s">
        <v>552</v>
      </c>
      <c r="V214" s="2" t="s">
        <v>877</v>
      </c>
      <c r="W214" s="2" t="s">
        <v>506</v>
      </c>
      <c r="X214" s="2" t="s">
        <v>581</v>
      </c>
      <c r="Y214" s="2" t="s">
        <v>1699</v>
      </c>
      <c r="Z214" s="4">
        <v>219</v>
      </c>
      <c r="AA214" s="4">
        <f>=ROUNDDOWN(54.75,0)</f>
      </c>
      <c r="AB214" s="5">
        <v>4</v>
      </c>
      <c r="AC214" s="2" t="s">
        <v>167</v>
      </c>
      <c r="AD214" s="4">
        <v>70</v>
      </c>
      <c r="AE214" s="4">
        <v>240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227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227</v>
      </c>
      <c r="AW214" s="8" t="s">
        <v>227</v>
      </c>
      <c r="AX214" s="4" t="s">
        <v>227</v>
      </c>
      <c r="AY214" s="8" t="s">
        <v>227</v>
      </c>
      <c r="AZ214" s="7" t="s">
        <v>227</v>
      </c>
      <c r="BA214" s="7" t="s">
        <v>227</v>
      </c>
      <c r="BB214" s="7"/>
      <c r="BC214" s="4" t="s">
        <v>227</v>
      </c>
      <c r="BD214" s="8" t="s">
        <v>227</v>
      </c>
      <c r="BE214" s="4" t="s">
        <v>227</v>
      </c>
      <c r="BF214" s="8" t="s">
        <v>227</v>
      </c>
      <c r="BG214" s="7" t="s">
        <v>227</v>
      </c>
      <c r="BH214" s="7" t="s">
        <v>227</v>
      </c>
      <c r="BI214" s="7"/>
      <c r="BJ214" s="4">
        <v>6</v>
      </c>
      <c r="BK214" s="8">
        <v>87.42</v>
      </c>
      <c r="BL214" s="2" t="s">
        <v>1739</v>
      </c>
      <c r="BM214" s="7"/>
      <c r="BN214" s="7"/>
      <c r="BO214" s="4"/>
      <c r="BP214" s="8"/>
      <c r="BQ214" s="4"/>
      <c r="BR214" s="8"/>
      <c r="BS214" s="7"/>
      <c r="BT214" s="7"/>
      <c r="BU214" s="2" t="s">
        <v>1740</v>
      </c>
      <c r="BV214" s="2" t="s">
        <v>227</v>
      </c>
      <c r="BW214" s="2" t="s">
        <v>227</v>
      </c>
      <c r="BX214" s="2" t="s">
        <v>235</v>
      </c>
      <c r="BY214" s="2" t="s">
        <v>236</v>
      </c>
      <c r="BZ214" s="2" t="s">
        <v>224</v>
      </c>
      <c r="CA214" s="2" t="s">
        <v>1699</v>
      </c>
      <c r="CB214" s="2" t="s">
        <v>227</v>
      </c>
      <c r="CC214" s="2" t="s">
        <v>239</v>
      </c>
      <c r="CD214" s="2" t="s">
        <v>227</v>
      </c>
      <c r="CE214" s="4">
        <v>219</v>
      </c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>
        <v>70</v>
      </c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  <c r="GU214" s="4">
        <v>170</v>
      </c>
      <c r="GV214" s="4"/>
      <c r="GW214" s="4"/>
      <c r="GX214" s="4"/>
    </row>
    <row r="215">
      <c r="A215" s="2" t="s">
        <v>1741</v>
      </c>
      <c r="B215" s="2" t="s">
        <v>697</v>
      </c>
      <c r="C215" s="2" t="s">
        <v>360</v>
      </c>
      <c r="D215" s="2" t="s">
        <v>1448</v>
      </c>
      <c r="E215" s="2" t="s">
        <v>1449</v>
      </c>
      <c r="F215" s="2" t="s">
        <v>1696</v>
      </c>
      <c r="G215" s="2" t="s">
        <v>1696</v>
      </c>
      <c r="H215" s="2" t="s">
        <v>1696</v>
      </c>
      <c r="I215" s="2" t="s">
        <v>1449</v>
      </c>
      <c r="J215" s="2" t="s">
        <v>257</v>
      </c>
      <c r="K215" s="2" t="s">
        <v>762</v>
      </c>
      <c r="L215" s="3">
        <v>18.28</v>
      </c>
      <c r="M215" s="3">
        <v>19.19</v>
      </c>
      <c r="N215" s="3">
        <v>39.99</v>
      </c>
      <c r="O215" s="2" t="s">
        <v>224</v>
      </c>
      <c r="P215" s="2" t="s">
        <v>225</v>
      </c>
      <c r="Q215" s="2" t="s">
        <v>226</v>
      </c>
      <c r="R215" s="2" t="s">
        <v>227</v>
      </c>
      <c r="S215" s="2" t="s">
        <v>1738</v>
      </c>
      <c r="T215" s="2" t="s">
        <v>1698</v>
      </c>
      <c r="U215" s="2" t="s">
        <v>552</v>
      </c>
      <c r="V215" s="2" t="s">
        <v>877</v>
      </c>
      <c r="W215" s="2" t="s">
        <v>506</v>
      </c>
      <c r="X215" s="2" t="s">
        <v>581</v>
      </c>
      <c r="Y215" s="2" t="s">
        <v>1699</v>
      </c>
      <c r="Z215" s="4">
        <v>144</v>
      </c>
      <c r="AA215" s="4">
        <f>=ROUNDDOWN(24,0)</f>
      </c>
      <c r="AB215" s="5">
        <v>6</v>
      </c>
      <c r="AC215" s="2" t="s">
        <v>167</v>
      </c>
      <c r="AD215" s="4">
        <v>140</v>
      </c>
      <c r="AE215" s="4">
        <v>340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227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227</v>
      </c>
      <c r="AW215" s="8" t="s">
        <v>227</v>
      </c>
      <c r="AX215" s="4" t="s">
        <v>227</v>
      </c>
      <c r="AY215" s="8" t="s">
        <v>227</v>
      </c>
      <c r="AZ215" s="7" t="s">
        <v>227</v>
      </c>
      <c r="BA215" s="7" t="s">
        <v>227</v>
      </c>
      <c r="BB215" s="7"/>
      <c r="BC215" s="4" t="s">
        <v>227</v>
      </c>
      <c r="BD215" s="8" t="s">
        <v>227</v>
      </c>
      <c r="BE215" s="4" t="s">
        <v>227</v>
      </c>
      <c r="BF215" s="8" t="s">
        <v>227</v>
      </c>
      <c r="BG215" s="7" t="s">
        <v>227</v>
      </c>
      <c r="BH215" s="7" t="s">
        <v>227</v>
      </c>
      <c r="BI215" s="7"/>
      <c r="BJ215" s="4">
        <v>10</v>
      </c>
      <c r="BK215" s="8">
        <v>206.72</v>
      </c>
      <c r="BL215" s="2" t="s">
        <v>1435</v>
      </c>
      <c r="BM215" s="7"/>
      <c r="BN215" s="7"/>
      <c r="BO215" s="4"/>
      <c r="BP215" s="8"/>
      <c r="BQ215" s="4"/>
      <c r="BR215" s="8"/>
      <c r="BS215" s="7"/>
      <c r="BT215" s="7"/>
      <c r="BU215" s="2" t="s">
        <v>1742</v>
      </c>
      <c r="BV215" s="2" t="s">
        <v>227</v>
      </c>
      <c r="BW215" s="2" t="s">
        <v>227</v>
      </c>
      <c r="BX215" s="2" t="s">
        <v>235</v>
      </c>
      <c r="BY215" s="2" t="s">
        <v>236</v>
      </c>
      <c r="BZ215" s="2" t="s">
        <v>224</v>
      </c>
      <c r="CA215" s="2" t="s">
        <v>1699</v>
      </c>
      <c r="CB215" s="2" t="s">
        <v>227</v>
      </c>
      <c r="CC215" s="2" t="s">
        <v>239</v>
      </c>
      <c r="CD215" s="2" t="s">
        <v>227</v>
      </c>
      <c r="CE215" s="4">
        <v>144</v>
      </c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>
        <v>140</v>
      </c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  <c r="GT215" s="4"/>
      <c r="GU215" s="4">
        <v>200</v>
      </c>
      <c r="GV215" s="4"/>
      <c r="GW215" s="4"/>
      <c r="GX215" s="4"/>
    </row>
    <row r="216">
      <c r="A216" s="2" t="s">
        <v>1743</v>
      </c>
      <c r="B216" s="2" t="s">
        <v>618</v>
      </c>
      <c r="C216" s="2" t="s">
        <v>1299</v>
      </c>
      <c r="D216" s="2" t="s">
        <v>620</v>
      </c>
      <c r="E216" s="2" t="s">
        <v>621</v>
      </c>
      <c r="F216" s="2" t="s">
        <v>1744</v>
      </c>
      <c r="G216" s="2" t="s">
        <v>1745</v>
      </c>
      <c r="H216" s="2" t="s">
        <v>1746</v>
      </c>
      <c r="I216" s="2" t="s">
        <v>1747</v>
      </c>
      <c r="J216" s="2" t="s">
        <v>682</v>
      </c>
      <c r="K216" s="2" t="s">
        <v>672</v>
      </c>
      <c r="L216" s="3">
        <v>31.5</v>
      </c>
      <c r="M216" s="3">
        <v>33.08</v>
      </c>
      <c r="N216" s="3">
        <v>74.99</v>
      </c>
      <c r="O216" s="2" t="s">
        <v>224</v>
      </c>
      <c r="P216" s="2" t="s">
        <v>225</v>
      </c>
      <c r="Q216" s="2" t="s">
        <v>226</v>
      </c>
      <c r="R216" s="2" t="s">
        <v>227</v>
      </c>
      <c r="S216" s="2" t="s">
        <v>1748</v>
      </c>
      <c r="T216" s="2" t="s">
        <v>375</v>
      </c>
      <c r="U216" s="2" t="s">
        <v>287</v>
      </c>
      <c r="V216" s="2" t="s">
        <v>945</v>
      </c>
      <c r="W216" s="2" t="s">
        <v>836</v>
      </c>
      <c r="X216" s="2" t="s">
        <v>231</v>
      </c>
      <c r="Y216" s="2" t="s">
        <v>1749</v>
      </c>
      <c r="Z216" s="4">
        <v>274</v>
      </c>
      <c r="AA216" s="4">
        <f>=ROUNDDOWN(54.8,0)</f>
      </c>
      <c r="AB216" s="5">
        <v>5</v>
      </c>
      <c r="AC216" s="2" t="s">
        <v>162</v>
      </c>
      <c r="AD216" s="4">
        <v>30</v>
      </c>
      <c r="AE216" s="4">
        <v>30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227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 t="s">
        <v>227</v>
      </c>
      <c r="BD216" s="8" t="s">
        <v>227</v>
      </c>
      <c r="BE216" s="4" t="s">
        <v>227</v>
      </c>
      <c r="BF216" s="8" t="s">
        <v>227</v>
      </c>
      <c r="BG216" s="7" t="s">
        <v>227</v>
      </c>
      <c r="BH216" s="7" t="s">
        <v>227</v>
      </c>
      <c r="BI216" s="7"/>
      <c r="BJ216" s="4">
        <v>3</v>
      </c>
      <c r="BK216" s="8">
        <v>106.17</v>
      </c>
      <c r="BL216" s="2" t="s">
        <v>1750</v>
      </c>
      <c r="BM216" s="7"/>
      <c r="BN216" s="7"/>
      <c r="BO216" s="4"/>
      <c r="BP216" s="8"/>
      <c r="BQ216" s="4"/>
      <c r="BR216" s="8"/>
      <c r="BS216" s="7"/>
      <c r="BT216" s="7"/>
      <c r="BU216" s="2" t="s">
        <v>1751</v>
      </c>
      <c r="BV216" s="2" t="s">
        <v>227</v>
      </c>
      <c r="BW216" s="2" t="s">
        <v>227</v>
      </c>
      <c r="BX216" s="2" t="s">
        <v>235</v>
      </c>
      <c r="BY216" s="2" t="s">
        <v>236</v>
      </c>
      <c r="BZ216" s="2" t="s">
        <v>224</v>
      </c>
      <c r="CA216" s="2" t="s">
        <v>1749</v>
      </c>
      <c r="CB216" s="2" t="s">
        <v>1752</v>
      </c>
      <c r="CC216" s="2" t="s">
        <v>239</v>
      </c>
      <c r="CD216" s="2" t="s">
        <v>227</v>
      </c>
      <c r="CE216" s="4">
        <v>274</v>
      </c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>
        <v>30</v>
      </c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  <c r="GU216" s="4"/>
      <c r="GV216" s="4"/>
      <c r="GW216" s="4"/>
      <c r="GX216" s="4"/>
    </row>
    <row r="217">
      <c r="A217" s="2" t="s">
        <v>1753</v>
      </c>
      <c r="B217" s="2" t="s">
        <v>618</v>
      </c>
      <c r="C217" s="2" t="s">
        <v>1299</v>
      </c>
      <c r="D217" s="2" t="s">
        <v>687</v>
      </c>
      <c r="E217" s="2" t="s">
        <v>699</v>
      </c>
      <c r="F217" s="2" t="s">
        <v>1744</v>
      </c>
      <c r="G217" s="2" t="s">
        <v>1745</v>
      </c>
      <c r="H217" s="2" t="s">
        <v>1746</v>
      </c>
      <c r="I217" s="2" t="s">
        <v>1754</v>
      </c>
      <c r="J217" s="2" t="s">
        <v>682</v>
      </c>
      <c r="K217" s="2" t="s">
        <v>1242</v>
      </c>
      <c r="L217" s="3">
        <v>39.5</v>
      </c>
      <c r="M217" s="3">
        <v>41.48</v>
      </c>
      <c r="N217" s="3">
        <v>89.99</v>
      </c>
      <c r="O217" s="2" t="s">
        <v>224</v>
      </c>
      <c r="P217" s="2" t="s">
        <v>225</v>
      </c>
      <c r="Q217" s="2" t="s">
        <v>226</v>
      </c>
      <c r="R217" s="2" t="s">
        <v>227</v>
      </c>
      <c r="S217" s="2" t="s">
        <v>1755</v>
      </c>
      <c r="T217" s="2" t="s">
        <v>375</v>
      </c>
      <c r="U217" s="2" t="s">
        <v>287</v>
      </c>
      <c r="V217" s="2" t="s">
        <v>945</v>
      </c>
      <c r="W217" s="2" t="s">
        <v>836</v>
      </c>
      <c r="X217" s="2" t="s">
        <v>231</v>
      </c>
      <c r="Y217" s="2" t="s">
        <v>1756</v>
      </c>
      <c r="Z217" s="4">
        <v>169</v>
      </c>
      <c r="AA217" s="4">
        <f>=ROUNDDOWN(21.125,0)</f>
      </c>
      <c r="AB217" s="5">
        <v>8</v>
      </c>
      <c r="AC217" s="2" t="s">
        <v>227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227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 t="s">
        <v>227</v>
      </c>
      <c r="BD217" s="8" t="s">
        <v>227</v>
      </c>
      <c r="BE217" s="4" t="s">
        <v>227</v>
      </c>
      <c r="BF217" s="8" t="s">
        <v>227</v>
      </c>
      <c r="BG217" s="7" t="s">
        <v>227</v>
      </c>
      <c r="BH217" s="7" t="s">
        <v>227</v>
      </c>
      <c r="BI217" s="7"/>
      <c r="BJ217" s="4">
        <v>8</v>
      </c>
      <c r="BK217" s="8">
        <v>340.12</v>
      </c>
      <c r="BL217" s="2" t="s">
        <v>1757</v>
      </c>
      <c r="BM217" s="7"/>
      <c r="BN217" s="7"/>
      <c r="BO217" s="4"/>
      <c r="BP217" s="8"/>
      <c r="BQ217" s="4"/>
      <c r="BR217" s="8"/>
      <c r="BS217" s="7"/>
      <c r="BT217" s="7"/>
      <c r="BU217" s="2" t="s">
        <v>1758</v>
      </c>
      <c r="BV217" s="2" t="s">
        <v>227</v>
      </c>
      <c r="BW217" s="2" t="s">
        <v>227</v>
      </c>
      <c r="BX217" s="2" t="s">
        <v>711</v>
      </c>
      <c r="BY217" s="2" t="s">
        <v>236</v>
      </c>
      <c r="BZ217" s="2" t="s">
        <v>224</v>
      </c>
      <c r="CA217" s="2" t="s">
        <v>1759</v>
      </c>
      <c r="CB217" s="2" t="s">
        <v>227</v>
      </c>
      <c r="CC217" s="2" t="s">
        <v>239</v>
      </c>
      <c r="CD217" s="2" t="s">
        <v>227</v>
      </c>
      <c r="CE217" s="4">
        <v>169</v>
      </c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  <c r="GU217" s="4"/>
      <c r="GV217" s="4"/>
      <c r="GW217" s="4"/>
      <c r="GX217" s="4"/>
    </row>
    <row r="218">
      <c r="A218" s="2" t="s">
        <v>1760</v>
      </c>
      <c r="B218" s="2" t="s">
        <v>618</v>
      </c>
      <c r="C218" s="2" t="s">
        <v>1299</v>
      </c>
      <c r="D218" s="2" t="s">
        <v>620</v>
      </c>
      <c r="E218" s="2" t="s">
        <v>621</v>
      </c>
      <c r="F218" s="2" t="s">
        <v>1744</v>
      </c>
      <c r="G218" s="2" t="s">
        <v>1745</v>
      </c>
      <c r="H218" s="2" t="s">
        <v>1746</v>
      </c>
      <c r="I218" s="2" t="s">
        <v>1747</v>
      </c>
      <c r="J218" s="2" t="s">
        <v>682</v>
      </c>
      <c r="K218" s="2" t="s">
        <v>1761</v>
      </c>
      <c r="L218" s="3">
        <v>31.5</v>
      </c>
      <c r="M218" s="3">
        <v>33.08</v>
      </c>
      <c r="N218" s="3">
        <v>74.99</v>
      </c>
      <c r="O218" s="2" t="s">
        <v>224</v>
      </c>
      <c r="P218" s="2" t="s">
        <v>225</v>
      </c>
      <c r="Q218" s="2" t="s">
        <v>226</v>
      </c>
      <c r="R218" s="2" t="s">
        <v>227</v>
      </c>
      <c r="S218" s="2" t="s">
        <v>1762</v>
      </c>
      <c r="T218" s="2" t="s">
        <v>375</v>
      </c>
      <c r="U218" s="2" t="s">
        <v>287</v>
      </c>
      <c r="V218" s="2" t="s">
        <v>945</v>
      </c>
      <c r="W218" s="2" t="s">
        <v>836</v>
      </c>
      <c r="X218" s="2" t="s">
        <v>231</v>
      </c>
      <c r="Y218" s="2" t="s">
        <v>1297</v>
      </c>
      <c r="Z218" s="4">
        <v>200</v>
      </c>
      <c r="AA218" s="4">
        <f>=ROUNDDOWN(66.6666666666667,0)</f>
      </c>
      <c r="AB218" s="5">
        <v>3</v>
      </c>
      <c r="AC218" s="2" t="s">
        <v>162</v>
      </c>
      <c r="AD218" s="4">
        <v>30</v>
      </c>
      <c r="AE218" s="4">
        <v>30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227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 t="s">
        <v>227</v>
      </c>
      <c r="BD218" s="8" t="s">
        <v>227</v>
      </c>
      <c r="BE218" s="4" t="s">
        <v>227</v>
      </c>
      <c r="BF218" s="8" t="s">
        <v>227</v>
      </c>
      <c r="BG218" s="7" t="s">
        <v>227</v>
      </c>
      <c r="BH218" s="7" t="s">
        <v>227</v>
      </c>
      <c r="BI218" s="7"/>
      <c r="BJ218" s="4">
        <v>4</v>
      </c>
      <c r="BK218" s="8">
        <v>141.74</v>
      </c>
      <c r="BL218" s="2" t="s">
        <v>654</v>
      </c>
      <c r="BM218" s="7"/>
      <c r="BN218" s="7"/>
      <c r="BO218" s="4"/>
      <c r="BP218" s="8"/>
      <c r="BQ218" s="4"/>
      <c r="BR218" s="8"/>
      <c r="BS218" s="7"/>
      <c r="BT218" s="7"/>
      <c r="BU218" s="2" t="s">
        <v>1763</v>
      </c>
      <c r="BV218" s="2" t="s">
        <v>227</v>
      </c>
      <c r="BW218" s="2" t="s">
        <v>227</v>
      </c>
      <c r="BX218" s="2" t="s">
        <v>235</v>
      </c>
      <c r="BY218" s="2" t="s">
        <v>236</v>
      </c>
      <c r="BZ218" s="2" t="s">
        <v>224</v>
      </c>
      <c r="CA218" s="2" t="s">
        <v>494</v>
      </c>
      <c r="CB218" s="2" t="s">
        <v>1752</v>
      </c>
      <c r="CC218" s="2" t="s">
        <v>239</v>
      </c>
      <c r="CD218" s="2" t="s">
        <v>227</v>
      </c>
      <c r="CE218" s="4">
        <v>153</v>
      </c>
      <c r="CF218" s="4"/>
      <c r="CG218" s="4"/>
      <c r="CH218" s="4">
        <v>47</v>
      </c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>
        <v>30</v>
      </c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  <c r="GT218" s="4"/>
      <c r="GU218" s="4"/>
      <c r="GV218" s="4"/>
      <c r="GW218" s="4"/>
      <c r="GX218" s="4"/>
    </row>
    <row r="219">
      <c r="A219" s="2" t="s">
        <v>1764</v>
      </c>
      <c r="B219" s="2" t="s">
        <v>667</v>
      </c>
      <c r="C219" s="2" t="s">
        <v>360</v>
      </c>
      <c r="D219" s="2" t="s">
        <v>1652</v>
      </c>
      <c r="E219" s="2" t="s">
        <v>1653</v>
      </c>
      <c r="F219" s="2" t="s">
        <v>1765</v>
      </c>
      <c r="G219" s="2" t="s">
        <v>1766</v>
      </c>
      <c r="H219" s="2" t="s">
        <v>1767</v>
      </c>
      <c r="I219" s="2" t="s">
        <v>1768</v>
      </c>
      <c r="J219" s="2" t="s">
        <v>626</v>
      </c>
      <c r="K219" s="2" t="s">
        <v>264</v>
      </c>
      <c r="L219" s="3">
        <v>52.8</v>
      </c>
      <c r="M219" s="3">
        <v>55.43</v>
      </c>
      <c r="N219" s="3">
        <v>109.99</v>
      </c>
      <c r="O219" s="2" t="s">
        <v>224</v>
      </c>
      <c r="P219" s="2" t="s">
        <v>550</v>
      </c>
      <c r="Q219" s="2" t="s">
        <v>226</v>
      </c>
      <c r="R219" s="2" t="s">
        <v>227</v>
      </c>
      <c r="S219" s="2" t="s">
        <v>1769</v>
      </c>
      <c r="T219" s="2" t="s">
        <v>227</v>
      </c>
      <c r="U219" s="2" t="s">
        <v>287</v>
      </c>
      <c r="V219" s="2" t="s">
        <v>230</v>
      </c>
      <c r="W219" s="2" t="s">
        <v>1552</v>
      </c>
      <c r="X219" s="2" t="s">
        <v>1770</v>
      </c>
      <c r="Y219" s="2" t="s">
        <v>232</v>
      </c>
      <c r="Z219" s="4">
        <v>174</v>
      </c>
      <c r="AA219" s="4">
        <f>=ROUNDDOWN(8.7,0)</f>
      </c>
      <c r="AB219" s="5">
        <v>20</v>
      </c>
      <c r="AC219" s="2" t="s">
        <v>157</v>
      </c>
      <c r="AD219" s="4">
        <v>60</v>
      </c>
      <c r="AE219" s="4">
        <v>470</v>
      </c>
      <c r="AF219" s="6">
        <v>65</v>
      </c>
      <c r="AG219" s="6">
        <v>48</v>
      </c>
      <c r="AH219" s="7">
        <v>1</v>
      </c>
      <c r="AI219" s="4"/>
      <c r="AJ219" s="4">
        <f>=ROUNDDOWN({0},0)</f>
      </c>
      <c r="AK219" s="5"/>
      <c r="AL219" s="2" t="s">
        <v>227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>
        <v>31</v>
      </c>
      <c r="BK219" s="8">
        <v>1693.52</v>
      </c>
      <c r="BL219" s="2" t="s">
        <v>1771</v>
      </c>
      <c r="BM219" s="7"/>
      <c r="BN219" s="7"/>
      <c r="BO219" s="4"/>
      <c r="BP219" s="8"/>
      <c r="BQ219" s="4"/>
      <c r="BR219" s="8"/>
      <c r="BS219" s="7"/>
      <c r="BT219" s="7"/>
      <c r="BU219" s="2" t="s">
        <v>1772</v>
      </c>
      <c r="BV219" s="2" t="s">
        <v>227</v>
      </c>
      <c r="BW219" s="2" t="s">
        <v>227</v>
      </c>
      <c r="BX219" s="2" t="s">
        <v>235</v>
      </c>
      <c r="BY219" s="2" t="s">
        <v>236</v>
      </c>
      <c r="BZ219" s="2" t="s">
        <v>224</v>
      </c>
      <c r="CA219" s="2" t="s">
        <v>237</v>
      </c>
      <c r="CB219" s="2" t="s">
        <v>418</v>
      </c>
      <c r="CC219" s="2" t="s">
        <v>239</v>
      </c>
      <c r="CD219" s="2" t="s">
        <v>227</v>
      </c>
      <c r="CE219" s="4">
        <v>13</v>
      </c>
      <c r="CF219" s="4"/>
      <c r="CG219" s="4"/>
      <c r="CH219" s="4">
        <v>51</v>
      </c>
      <c r="CI219" s="4"/>
      <c r="CJ219" s="4"/>
      <c r="CK219" s="4">
        <v>110</v>
      </c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>
        <v>60</v>
      </c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>
        <v>160</v>
      </c>
      <c r="FF219" s="4"/>
      <c r="FG219" s="4">
        <v>40</v>
      </c>
      <c r="FH219" s="4"/>
      <c r="FI219" s="4"/>
      <c r="FJ219" s="4"/>
      <c r="FK219" s="4"/>
      <c r="FL219" s="4"/>
      <c r="FM219" s="4">
        <v>150</v>
      </c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>
        <v>30</v>
      </c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>
        <v>30</v>
      </c>
      <c r="GT219" s="4"/>
      <c r="GU219" s="4"/>
      <c r="GV219" s="4"/>
      <c r="GW219" s="4"/>
      <c r="GX219" s="4"/>
    </row>
    <row r="220">
      <c r="A220" s="2" t="s">
        <v>1773</v>
      </c>
      <c r="B220" s="2" t="s">
        <v>715</v>
      </c>
      <c r="C220" s="2" t="s">
        <v>360</v>
      </c>
      <c r="D220" s="2" t="s">
        <v>716</v>
      </c>
      <c r="E220" s="2" t="s">
        <v>1774</v>
      </c>
      <c r="F220" s="2" t="s">
        <v>1775</v>
      </c>
      <c r="G220" s="2" t="s">
        <v>1776</v>
      </c>
      <c r="H220" s="2" t="s">
        <v>1777</v>
      </c>
      <c r="I220" s="2" t="s">
        <v>1778</v>
      </c>
      <c r="J220" s="2" t="s">
        <v>1779</v>
      </c>
      <c r="K220" s="2" t="s">
        <v>1780</v>
      </c>
      <c r="L220" s="3">
        <v>13.23</v>
      </c>
      <c r="M220" s="3">
        <v>13.89</v>
      </c>
      <c r="N220" s="3">
        <v>26.99</v>
      </c>
      <c r="O220" s="2" t="s">
        <v>224</v>
      </c>
      <c r="P220" s="2" t="s">
        <v>580</v>
      </c>
      <c r="Q220" s="2" t="s">
        <v>226</v>
      </c>
      <c r="R220" s="2" t="s">
        <v>227</v>
      </c>
      <c r="S220" s="2" t="s">
        <v>1781</v>
      </c>
      <c r="T220" s="2" t="s">
        <v>227</v>
      </c>
      <c r="U220" s="2" t="s">
        <v>1044</v>
      </c>
      <c r="V220" s="2" t="s">
        <v>230</v>
      </c>
      <c r="W220" s="2" t="s">
        <v>581</v>
      </c>
      <c r="X220" s="2" t="s">
        <v>1078</v>
      </c>
      <c r="Y220" s="2" t="s">
        <v>1782</v>
      </c>
      <c r="Z220" s="4">
        <v>263</v>
      </c>
      <c r="AA220" s="4">
        <f>=ROUNDDOWN(32.875,0)</f>
      </c>
      <c r="AB220" s="5">
        <v>8</v>
      </c>
      <c r="AC220" s="2" t="s">
        <v>203</v>
      </c>
      <c r="AD220" s="4">
        <v>40</v>
      </c>
      <c r="AE220" s="4">
        <v>40</v>
      </c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227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>
        <v>7</v>
      </c>
      <c r="BK220" s="8">
        <v>98.53</v>
      </c>
      <c r="BL220" s="2" t="s">
        <v>1783</v>
      </c>
      <c r="BM220" s="7"/>
      <c r="BN220" s="7"/>
      <c r="BO220" s="4"/>
      <c r="BP220" s="8"/>
      <c r="BQ220" s="4"/>
      <c r="BR220" s="8"/>
      <c r="BS220" s="7"/>
      <c r="BT220" s="7"/>
      <c r="BU220" s="2" t="s">
        <v>1784</v>
      </c>
      <c r="BV220" s="2" t="s">
        <v>227</v>
      </c>
      <c r="BW220" s="2" t="s">
        <v>227</v>
      </c>
      <c r="BX220" s="2" t="s">
        <v>235</v>
      </c>
      <c r="BY220" s="2" t="s">
        <v>236</v>
      </c>
      <c r="BZ220" s="2" t="s">
        <v>224</v>
      </c>
      <c r="CA220" s="2" t="s">
        <v>1785</v>
      </c>
      <c r="CB220" s="2" t="s">
        <v>1786</v>
      </c>
      <c r="CC220" s="2" t="s">
        <v>239</v>
      </c>
      <c r="CD220" s="2" t="s">
        <v>227</v>
      </c>
      <c r="CE220" s="4">
        <v>263</v>
      </c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>
        <v>40</v>
      </c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</row>
    <row r="221">
      <c r="A221" s="2" t="s">
        <v>1787</v>
      </c>
      <c r="B221" s="2" t="s">
        <v>697</v>
      </c>
      <c r="C221" s="2" t="s">
        <v>360</v>
      </c>
      <c r="D221" s="2" t="s">
        <v>868</v>
      </c>
      <c r="E221" s="2" t="s">
        <v>1334</v>
      </c>
      <c r="F221" s="2" t="s">
        <v>1788</v>
      </c>
      <c r="G221" s="2" t="s">
        <v>1788</v>
      </c>
      <c r="H221" s="2" t="s">
        <v>1788</v>
      </c>
      <c r="I221" s="2" t="s">
        <v>1334</v>
      </c>
      <c r="J221" s="2" t="s">
        <v>873</v>
      </c>
      <c r="K221" s="2" t="s">
        <v>1789</v>
      </c>
      <c r="L221" s="3">
        <v>42.34</v>
      </c>
      <c r="M221" s="3">
        <v>44.46</v>
      </c>
      <c r="N221" s="3">
        <v>84.99</v>
      </c>
      <c r="O221" s="2" t="s">
        <v>224</v>
      </c>
      <c r="P221" s="2" t="s">
        <v>225</v>
      </c>
      <c r="Q221" s="2" t="s">
        <v>226</v>
      </c>
      <c r="R221" s="2" t="s">
        <v>227</v>
      </c>
      <c r="S221" s="2" t="s">
        <v>1790</v>
      </c>
      <c r="T221" s="2" t="s">
        <v>227</v>
      </c>
      <c r="U221" s="2" t="s">
        <v>552</v>
      </c>
      <c r="V221" s="2" t="s">
        <v>230</v>
      </c>
      <c r="W221" s="2" t="s">
        <v>231</v>
      </c>
      <c r="X221" s="2" t="s">
        <v>487</v>
      </c>
      <c r="Y221" s="2" t="s">
        <v>1292</v>
      </c>
      <c r="Z221" s="4">
        <v>529</v>
      </c>
      <c r="AA221" s="4">
        <f>=ROUNDDOWN(27.8421052631579,0)</f>
      </c>
      <c r="AB221" s="5">
        <v>19</v>
      </c>
      <c r="AC221" s="2" t="s">
        <v>167</v>
      </c>
      <c r="AD221" s="4">
        <v>500</v>
      </c>
      <c r="AE221" s="4">
        <v>1270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227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>
        <v>78</v>
      </c>
      <c r="BK221" s="8">
        <v>3401.75</v>
      </c>
      <c r="BL221" s="2" t="s">
        <v>1791</v>
      </c>
      <c r="BM221" s="7"/>
      <c r="BN221" s="7"/>
      <c r="BO221" s="4"/>
      <c r="BP221" s="8"/>
      <c r="BQ221" s="4"/>
      <c r="BR221" s="8"/>
      <c r="BS221" s="7"/>
      <c r="BT221" s="7"/>
      <c r="BU221" s="2" t="s">
        <v>1792</v>
      </c>
      <c r="BV221" s="2" t="s">
        <v>227</v>
      </c>
      <c r="BW221" s="2" t="s">
        <v>227</v>
      </c>
      <c r="BX221" s="2" t="s">
        <v>235</v>
      </c>
      <c r="BY221" s="2" t="s">
        <v>236</v>
      </c>
      <c r="BZ221" s="2" t="s">
        <v>224</v>
      </c>
      <c r="CA221" s="2" t="s">
        <v>1793</v>
      </c>
      <c r="CB221" s="2" t="s">
        <v>1794</v>
      </c>
      <c r="CC221" s="2" t="s">
        <v>239</v>
      </c>
      <c r="CD221" s="2" t="s">
        <v>227</v>
      </c>
      <c r="CE221" s="4">
        <v>529</v>
      </c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>
        <v>500</v>
      </c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>
        <v>470</v>
      </c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>
        <v>300</v>
      </c>
      <c r="GN221" s="4"/>
      <c r="GO221" s="4"/>
      <c r="GP221" s="4"/>
      <c r="GQ221" s="4"/>
      <c r="GR221" s="4"/>
      <c r="GS221" s="4"/>
      <c r="GT221" s="4"/>
      <c r="GU221" s="4"/>
      <c r="GV221" s="4"/>
      <c r="GW221" s="4"/>
      <c r="GX221" s="4"/>
    </row>
    <row r="222">
      <c r="A222" s="2" t="s">
        <v>1795</v>
      </c>
      <c r="B222" s="2" t="s">
        <v>667</v>
      </c>
      <c r="C222" s="2" t="s">
        <v>1026</v>
      </c>
      <c r="D222" s="2" t="s">
        <v>1796</v>
      </c>
      <c r="E222" s="2" t="s">
        <v>1797</v>
      </c>
      <c r="F222" s="2" t="s">
        <v>1798</v>
      </c>
      <c r="G222" s="2" t="s">
        <v>1798</v>
      </c>
      <c r="H222" s="2" t="s">
        <v>1798</v>
      </c>
      <c r="I222" s="2" t="s">
        <v>1799</v>
      </c>
      <c r="J222" s="2" t="s">
        <v>1439</v>
      </c>
      <c r="K222" s="2" t="s">
        <v>565</v>
      </c>
      <c r="L222" s="3">
        <v>24.76</v>
      </c>
      <c r="M222" s="3">
        <v>26</v>
      </c>
      <c r="N222" s="3">
        <v>79.99</v>
      </c>
      <c r="O222" s="2" t="s">
        <v>224</v>
      </c>
      <c r="P222" s="2" t="s">
        <v>580</v>
      </c>
      <c r="Q222" s="2" t="s">
        <v>226</v>
      </c>
      <c r="R222" s="2" t="s">
        <v>227</v>
      </c>
      <c r="S222" s="2" t="s">
        <v>227</v>
      </c>
      <c r="T222" s="2" t="s">
        <v>227</v>
      </c>
      <c r="U222" s="2" t="s">
        <v>552</v>
      </c>
      <c r="V222" s="2" t="s">
        <v>877</v>
      </c>
      <c r="W222" s="2" t="s">
        <v>506</v>
      </c>
      <c r="X222" s="2" t="s">
        <v>227</v>
      </c>
      <c r="Y222" s="2" t="s">
        <v>1033</v>
      </c>
      <c r="Z222" s="4">
        <v>132</v>
      </c>
      <c r="AA222" s="4">
        <f>=ROUNDDOWN(33,0)</f>
      </c>
      <c r="AB222" s="5">
        <v>4</v>
      </c>
      <c r="AC222" s="2" t="s">
        <v>227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227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>
        <v>5</v>
      </c>
      <c r="BK222" s="8">
        <v>223.34</v>
      </c>
      <c r="BL222" s="2" t="s">
        <v>1800</v>
      </c>
      <c r="BM222" s="7"/>
      <c r="BN222" s="7"/>
      <c r="BO222" s="4"/>
      <c r="BP222" s="8"/>
      <c r="BQ222" s="4"/>
      <c r="BR222" s="8"/>
      <c r="BS222" s="7"/>
      <c r="BT222" s="7"/>
      <c r="BU222" s="2" t="s">
        <v>1801</v>
      </c>
      <c r="BV222" s="2" t="s">
        <v>227</v>
      </c>
      <c r="BW222" s="2" t="s">
        <v>227</v>
      </c>
      <c r="BX222" s="2" t="s">
        <v>235</v>
      </c>
      <c r="BY222" s="2" t="s">
        <v>236</v>
      </c>
      <c r="BZ222" s="2" t="s">
        <v>224</v>
      </c>
      <c r="CA222" s="2" t="s">
        <v>1036</v>
      </c>
      <c r="CB222" s="2" t="s">
        <v>570</v>
      </c>
      <c r="CC222" s="2" t="s">
        <v>239</v>
      </c>
      <c r="CD222" s="2" t="s">
        <v>227</v>
      </c>
      <c r="CE222" s="4">
        <v>132</v>
      </c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</row>
    <row r="223">
      <c r="A223" s="2" t="s">
        <v>1802</v>
      </c>
      <c r="B223" s="2" t="s">
        <v>667</v>
      </c>
      <c r="C223" s="2" t="s">
        <v>1803</v>
      </c>
      <c r="D223" s="2" t="s">
        <v>687</v>
      </c>
      <c r="E223" s="2" t="s">
        <v>699</v>
      </c>
      <c r="F223" s="2" t="s">
        <v>1804</v>
      </c>
      <c r="G223" s="2" t="s">
        <v>1804</v>
      </c>
      <c r="H223" s="2" t="s">
        <v>1804</v>
      </c>
      <c r="I223" s="2" t="s">
        <v>1805</v>
      </c>
      <c r="J223" s="2" t="s">
        <v>222</v>
      </c>
      <c r="K223" s="2" t="s">
        <v>672</v>
      </c>
      <c r="L223" s="3">
        <v>80</v>
      </c>
      <c r="M223" s="3">
        <v>83.99</v>
      </c>
      <c r="N223" s="3">
        <v>174.99</v>
      </c>
      <c r="O223" s="2" t="s">
        <v>224</v>
      </c>
      <c r="P223" s="2" t="s">
        <v>485</v>
      </c>
      <c r="Q223" s="2" t="s">
        <v>226</v>
      </c>
      <c r="R223" s="2" t="s">
        <v>227</v>
      </c>
      <c r="S223" s="2" t="s">
        <v>1806</v>
      </c>
      <c r="T223" s="2" t="s">
        <v>227</v>
      </c>
      <c r="U223" s="2" t="s">
        <v>227</v>
      </c>
      <c r="V223" s="2" t="s">
        <v>1045</v>
      </c>
      <c r="W223" s="2" t="s">
        <v>1045</v>
      </c>
      <c r="X223" s="2" t="s">
        <v>706</v>
      </c>
      <c r="Y223" s="2" t="s">
        <v>232</v>
      </c>
      <c r="Z223" s="4">
        <v>76</v>
      </c>
      <c r="AA223" s="4">
        <f>=ROUNDDOWN(25.3333333333333,0)</f>
      </c>
      <c r="AB223" s="5">
        <v>3</v>
      </c>
      <c r="AC223" s="2" t="s">
        <v>227</v>
      </c>
      <c r="AD223" s="4"/>
      <c r="AE223" s="4"/>
      <c r="AF223" s="6">
        <v>68</v>
      </c>
      <c r="AG223" s="6"/>
      <c r="AH223" s="7">
        <v>1</v>
      </c>
      <c r="AI223" s="4"/>
      <c r="AJ223" s="4">
        <f>=ROUNDDOWN({0},0)</f>
      </c>
      <c r="AK223" s="5"/>
      <c r="AL223" s="2" t="s">
        <v>227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227</v>
      </c>
      <c r="AW223" s="8" t="s">
        <v>227</v>
      </c>
      <c r="AX223" s="4" t="s">
        <v>227</v>
      </c>
      <c r="AY223" s="8" t="s">
        <v>227</v>
      </c>
      <c r="AZ223" s="7" t="s">
        <v>227</v>
      </c>
      <c r="BA223" s="7" t="s">
        <v>227</v>
      </c>
      <c r="BB223" s="7"/>
      <c r="BC223" s="4" t="s">
        <v>227</v>
      </c>
      <c r="BD223" s="8" t="s">
        <v>227</v>
      </c>
      <c r="BE223" s="4" t="s">
        <v>227</v>
      </c>
      <c r="BF223" s="8" t="s">
        <v>227</v>
      </c>
      <c r="BG223" s="7" t="s">
        <v>227</v>
      </c>
      <c r="BH223" s="7" t="s">
        <v>227</v>
      </c>
      <c r="BI223" s="7"/>
      <c r="BJ223" s="4">
        <v>5</v>
      </c>
      <c r="BK223" s="8">
        <v>370.87</v>
      </c>
      <c r="BL223" s="2" t="s">
        <v>1807</v>
      </c>
      <c r="BM223" s="7"/>
      <c r="BN223" s="7"/>
      <c r="BO223" s="4"/>
      <c r="BP223" s="8"/>
      <c r="BQ223" s="4"/>
      <c r="BR223" s="8"/>
      <c r="BS223" s="7"/>
      <c r="BT223" s="7"/>
      <c r="BU223" s="2" t="s">
        <v>1808</v>
      </c>
      <c r="BV223" s="2" t="s">
        <v>227</v>
      </c>
      <c r="BW223" s="2" t="s">
        <v>227</v>
      </c>
      <c r="BX223" s="2" t="s">
        <v>235</v>
      </c>
      <c r="BY223" s="2" t="s">
        <v>236</v>
      </c>
      <c r="BZ223" s="2" t="s">
        <v>224</v>
      </c>
      <c r="CA223" s="2" t="s">
        <v>237</v>
      </c>
      <c r="CB223" s="2" t="s">
        <v>981</v>
      </c>
      <c r="CC223" s="2" t="s">
        <v>239</v>
      </c>
      <c r="CD223" s="2" t="s">
        <v>227</v>
      </c>
      <c r="CE223" s="4">
        <v>76</v>
      </c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</row>
    <row r="224">
      <c r="A224" s="2" t="s">
        <v>1809</v>
      </c>
      <c r="B224" s="2" t="s">
        <v>667</v>
      </c>
      <c r="C224" s="2" t="s">
        <v>1803</v>
      </c>
      <c r="D224" s="2" t="s">
        <v>687</v>
      </c>
      <c r="E224" s="2" t="s">
        <v>699</v>
      </c>
      <c r="F224" s="2" t="s">
        <v>1804</v>
      </c>
      <c r="G224" s="2" t="s">
        <v>1804</v>
      </c>
      <c r="H224" s="2" t="s">
        <v>1804</v>
      </c>
      <c r="I224" s="2" t="s">
        <v>1805</v>
      </c>
      <c r="J224" s="2" t="s">
        <v>384</v>
      </c>
      <c r="K224" s="2" t="s">
        <v>672</v>
      </c>
      <c r="L224" s="3">
        <v>110</v>
      </c>
      <c r="M224" s="3">
        <v>115.49</v>
      </c>
      <c r="N224" s="3">
        <v>234.99</v>
      </c>
      <c r="O224" s="2" t="s">
        <v>224</v>
      </c>
      <c r="P224" s="2" t="s">
        <v>485</v>
      </c>
      <c r="Q224" s="2" t="s">
        <v>226</v>
      </c>
      <c r="R224" s="2" t="s">
        <v>227</v>
      </c>
      <c r="S224" s="2" t="s">
        <v>1806</v>
      </c>
      <c r="T224" s="2" t="s">
        <v>227</v>
      </c>
      <c r="U224" s="2" t="s">
        <v>227</v>
      </c>
      <c r="V224" s="2" t="s">
        <v>1045</v>
      </c>
      <c r="W224" s="2" t="s">
        <v>1045</v>
      </c>
      <c r="X224" s="2" t="s">
        <v>706</v>
      </c>
      <c r="Y224" s="2" t="s">
        <v>232</v>
      </c>
      <c r="Z224" s="4">
        <v>84</v>
      </c>
      <c r="AA224" s="4">
        <f>=ROUNDDOWN(28,0)</f>
      </c>
      <c r="AB224" s="5">
        <v>3</v>
      </c>
      <c r="AC224" s="2" t="s">
        <v>1810</v>
      </c>
      <c r="AD224" s="4">
        <v>50</v>
      </c>
      <c r="AE224" s="4">
        <v>70</v>
      </c>
      <c r="AF224" s="6">
        <v>68</v>
      </c>
      <c r="AG224" s="6"/>
      <c r="AH224" s="7">
        <v>1</v>
      </c>
      <c r="AI224" s="4"/>
      <c r="AJ224" s="4">
        <f>=ROUNDDOWN({0},0)</f>
      </c>
      <c r="AK224" s="5"/>
      <c r="AL224" s="2" t="s">
        <v>227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227</v>
      </c>
      <c r="AW224" s="8" t="s">
        <v>227</v>
      </c>
      <c r="AX224" s="4" t="s">
        <v>227</v>
      </c>
      <c r="AY224" s="8" t="s">
        <v>227</v>
      </c>
      <c r="AZ224" s="7" t="s">
        <v>227</v>
      </c>
      <c r="BA224" s="7" t="s">
        <v>227</v>
      </c>
      <c r="BB224" s="7"/>
      <c r="BC224" s="4" t="s">
        <v>227</v>
      </c>
      <c r="BD224" s="8" t="s">
        <v>227</v>
      </c>
      <c r="BE224" s="4" t="s">
        <v>227</v>
      </c>
      <c r="BF224" s="8" t="s">
        <v>227</v>
      </c>
      <c r="BG224" s="7" t="s">
        <v>227</v>
      </c>
      <c r="BH224" s="7" t="s">
        <v>227</v>
      </c>
      <c r="BI224" s="7"/>
      <c r="BJ224" s="4">
        <v>1</v>
      </c>
      <c r="BK224" s="8">
        <v>107.2</v>
      </c>
      <c r="BL224" s="2" t="s">
        <v>1811</v>
      </c>
      <c r="BM224" s="7"/>
      <c r="BN224" s="7"/>
      <c r="BO224" s="4"/>
      <c r="BP224" s="8"/>
      <c r="BQ224" s="4"/>
      <c r="BR224" s="8"/>
      <c r="BS224" s="7"/>
      <c r="BT224" s="7"/>
      <c r="BU224" s="2" t="s">
        <v>1812</v>
      </c>
      <c r="BV224" s="2" t="s">
        <v>227</v>
      </c>
      <c r="BW224" s="2" t="s">
        <v>227</v>
      </c>
      <c r="BX224" s="2" t="s">
        <v>235</v>
      </c>
      <c r="BY224" s="2" t="s">
        <v>236</v>
      </c>
      <c r="BZ224" s="2" t="s">
        <v>224</v>
      </c>
      <c r="CA224" s="2" t="s">
        <v>1813</v>
      </c>
      <c r="CB224" s="2" t="s">
        <v>1814</v>
      </c>
      <c r="CC224" s="2" t="s">
        <v>239</v>
      </c>
      <c r="CD224" s="2" t="s">
        <v>227</v>
      </c>
      <c r="CE224" s="4">
        <v>84</v>
      </c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>
        <v>50</v>
      </c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>
        <v>20</v>
      </c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</row>
    <row r="225">
      <c r="A225" s="2" t="s">
        <v>1815</v>
      </c>
      <c r="B225" s="2" t="s">
        <v>667</v>
      </c>
      <c r="C225" s="2" t="s">
        <v>1816</v>
      </c>
      <c r="D225" s="2" t="s">
        <v>687</v>
      </c>
      <c r="E225" s="2" t="s">
        <v>688</v>
      </c>
      <c r="F225" s="2" t="s">
        <v>1817</v>
      </c>
      <c r="G225" s="2" t="s">
        <v>1817</v>
      </c>
      <c r="H225" s="2" t="s">
        <v>1817</v>
      </c>
      <c r="I225" s="2" t="s">
        <v>1818</v>
      </c>
      <c r="J225" s="2" t="s">
        <v>682</v>
      </c>
      <c r="K225" s="2" t="s">
        <v>264</v>
      </c>
      <c r="L225" s="3">
        <v>85.5</v>
      </c>
      <c r="M225" s="3">
        <v>89.78</v>
      </c>
      <c r="N225" s="3">
        <v>189.99</v>
      </c>
      <c r="O225" s="2" t="s">
        <v>224</v>
      </c>
      <c r="P225" s="2" t="s">
        <v>225</v>
      </c>
      <c r="Q225" s="2" t="s">
        <v>226</v>
      </c>
      <c r="R225" s="2" t="s">
        <v>227</v>
      </c>
      <c r="S225" s="2" t="s">
        <v>1819</v>
      </c>
      <c r="T225" s="2" t="s">
        <v>375</v>
      </c>
      <c r="U225" s="2" t="s">
        <v>674</v>
      </c>
      <c r="V225" s="2" t="s">
        <v>230</v>
      </c>
      <c r="W225" s="2" t="s">
        <v>231</v>
      </c>
      <c r="X225" s="2" t="s">
        <v>836</v>
      </c>
      <c r="Y225" s="2" t="s">
        <v>1820</v>
      </c>
      <c r="Z225" s="4">
        <v>158</v>
      </c>
      <c r="AA225" s="4">
        <f>=ROUNDDOWN(26.3333333333333,0)</f>
      </c>
      <c r="AB225" s="5">
        <v>6</v>
      </c>
      <c r="AC225" s="2" t="s">
        <v>850</v>
      </c>
      <c r="AD225" s="4">
        <v>225</v>
      </c>
      <c r="AE225" s="4">
        <v>225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227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227</v>
      </c>
      <c r="AW225" s="8" t="s">
        <v>227</v>
      </c>
      <c r="AX225" s="4" t="s">
        <v>227</v>
      </c>
      <c r="AY225" s="8" t="s">
        <v>227</v>
      </c>
      <c r="AZ225" s="7" t="s">
        <v>227</v>
      </c>
      <c r="BA225" s="7" t="s">
        <v>227</v>
      </c>
      <c r="BB225" s="7" t="s">
        <v>227</v>
      </c>
      <c r="BC225" s="4" t="s">
        <v>227</v>
      </c>
      <c r="BD225" s="8" t="s">
        <v>227</v>
      </c>
      <c r="BE225" s="4" t="s">
        <v>227</v>
      </c>
      <c r="BF225" s="8" t="s">
        <v>227</v>
      </c>
      <c r="BG225" s="7" t="s">
        <v>227</v>
      </c>
      <c r="BH225" s="7" t="s">
        <v>227</v>
      </c>
      <c r="BI225" s="7"/>
      <c r="BJ225" s="4">
        <v>10</v>
      </c>
      <c r="BK225" s="8">
        <v>911.24</v>
      </c>
      <c r="BL225" s="2" t="s">
        <v>1821</v>
      </c>
      <c r="BM225" s="7"/>
      <c r="BN225" s="7"/>
      <c r="BO225" s="4"/>
      <c r="BP225" s="8"/>
      <c r="BQ225" s="4"/>
      <c r="BR225" s="8"/>
      <c r="BS225" s="7"/>
      <c r="BT225" s="7"/>
      <c r="BU225" s="2" t="s">
        <v>1822</v>
      </c>
      <c r="BV225" s="2" t="s">
        <v>227</v>
      </c>
      <c r="BW225" s="2" t="s">
        <v>227</v>
      </c>
      <c r="BX225" s="2" t="s">
        <v>235</v>
      </c>
      <c r="BY225" s="2" t="s">
        <v>236</v>
      </c>
      <c r="BZ225" s="2" t="s">
        <v>224</v>
      </c>
      <c r="CA225" s="2" t="s">
        <v>1823</v>
      </c>
      <c r="CB225" s="2" t="s">
        <v>1824</v>
      </c>
      <c r="CC225" s="2" t="s">
        <v>239</v>
      </c>
      <c r="CD225" s="2" t="s">
        <v>227</v>
      </c>
      <c r="CE225" s="4">
        <v>158</v>
      </c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>
        <v>225</v>
      </c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</row>
    <row r="226">
      <c r="A226" s="2" t="s">
        <v>1825</v>
      </c>
      <c r="B226" s="2" t="s">
        <v>667</v>
      </c>
      <c r="C226" s="2" t="s">
        <v>1816</v>
      </c>
      <c r="D226" s="2" t="s">
        <v>620</v>
      </c>
      <c r="E226" s="2" t="s">
        <v>669</v>
      </c>
      <c r="F226" s="2" t="s">
        <v>1817</v>
      </c>
      <c r="G226" s="2" t="s">
        <v>1817</v>
      </c>
      <c r="H226" s="2" t="s">
        <v>1817</v>
      </c>
      <c r="I226" s="2" t="s">
        <v>1826</v>
      </c>
      <c r="J226" s="2" t="s">
        <v>682</v>
      </c>
      <c r="K226" s="2" t="s">
        <v>264</v>
      </c>
      <c r="L226" s="3">
        <v>76.5</v>
      </c>
      <c r="M226" s="3">
        <v>80.33</v>
      </c>
      <c r="N226" s="3">
        <v>169.99</v>
      </c>
      <c r="O226" s="2" t="s">
        <v>224</v>
      </c>
      <c r="P226" s="2" t="s">
        <v>225</v>
      </c>
      <c r="Q226" s="2" t="s">
        <v>226</v>
      </c>
      <c r="R226" s="2" t="s">
        <v>227</v>
      </c>
      <c r="S226" s="2" t="s">
        <v>1819</v>
      </c>
      <c r="T226" s="2" t="s">
        <v>375</v>
      </c>
      <c r="U226" s="2" t="s">
        <v>674</v>
      </c>
      <c r="V226" s="2" t="s">
        <v>230</v>
      </c>
      <c r="W226" s="2" t="s">
        <v>231</v>
      </c>
      <c r="X226" s="2" t="s">
        <v>836</v>
      </c>
      <c r="Y226" s="2" t="s">
        <v>1820</v>
      </c>
      <c r="Z226" s="4">
        <v>141</v>
      </c>
      <c r="AA226" s="4">
        <f>=ROUNDDOWN(70.5,0)</f>
      </c>
      <c r="AB226" s="5">
        <v>2</v>
      </c>
      <c r="AC226" s="2" t="s">
        <v>227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227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227</v>
      </c>
      <c r="AW226" s="8" t="s">
        <v>227</v>
      </c>
      <c r="AX226" s="4" t="s">
        <v>227</v>
      </c>
      <c r="AY226" s="8" t="s">
        <v>227</v>
      </c>
      <c r="AZ226" s="7" t="s">
        <v>227</v>
      </c>
      <c r="BA226" s="7" t="s">
        <v>227</v>
      </c>
      <c r="BB226" s="7" t="s">
        <v>227</v>
      </c>
      <c r="BC226" s="4" t="s">
        <v>227</v>
      </c>
      <c r="BD226" s="8" t="s">
        <v>227</v>
      </c>
      <c r="BE226" s="4" t="s">
        <v>227</v>
      </c>
      <c r="BF226" s="8" t="s">
        <v>227</v>
      </c>
      <c r="BG226" s="7" t="s">
        <v>227</v>
      </c>
      <c r="BH226" s="7" t="s">
        <v>227</v>
      </c>
      <c r="BI226" s="7"/>
      <c r="BJ226" s="4">
        <v>2</v>
      </c>
      <c r="BK226" s="8">
        <v>164.67</v>
      </c>
      <c r="BL226" s="2" t="s">
        <v>1827</v>
      </c>
      <c r="BM226" s="7"/>
      <c r="BN226" s="7"/>
      <c r="BO226" s="4"/>
      <c r="BP226" s="8"/>
      <c r="BQ226" s="4"/>
      <c r="BR226" s="8"/>
      <c r="BS226" s="7"/>
      <c r="BT226" s="7"/>
      <c r="BU226" s="2" t="s">
        <v>1828</v>
      </c>
      <c r="BV226" s="2" t="s">
        <v>227</v>
      </c>
      <c r="BW226" s="2" t="s">
        <v>227</v>
      </c>
      <c r="BX226" s="2" t="s">
        <v>235</v>
      </c>
      <c r="BY226" s="2" t="s">
        <v>236</v>
      </c>
      <c r="BZ226" s="2" t="s">
        <v>224</v>
      </c>
      <c r="CA226" s="2" t="s">
        <v>1823</v>
      </c>
      <c r="CB226" s="2" t="s">
        <v>1829</v>
      </c>
      <c r="CC226" s="2" t="s">
        <v>239</v>
      </c>
      <c r="CD226" s="2" t="s">
        <v>227</v>
      </c>
      <c r="CE226" s="4">
        <v>141</v>
      </c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</row>
    <row r="227">
      <c r="A227" s="2" t="s">
        <v>1830</v>
      </c>
      <c r="B227" s="2" t="s">
        <v>667</v>
      </c>
      <c r="C227" s="2" t="s">
        <v>1816</v>
      </c>
      <c r="D227" s="2" t="s">
        <v>1796</v>
      </c>
      <c r="E227" s="2" t="s">
        <v>1797</v>
      </c>
      <c r="F227" s="2" t="s">
        <v>1817</v>
      </c>
      <c r="G227" s="2" t="s">
        <v>1817</v>
      </c>
      <c r="H227" s="2" t="s">
        <v>1817</v>
      </c>
      <c r="I227" s="2" t="s">
        <v>1831</v>
      </c>
      <c r="J227" s="2" t="s">
        <v>1832</v>
      </c>
      <c r="K227" s="2" t="s">
        <v>264</v>
      </c>
      <c r="L227" s="3">
        <v>18</v>
      </c>
      <c r="M227" s="3">
        <v>18.9</v>
      </c>
      <c r="N227" s="3">
        <v>39.99</v>
      </c>
      <c r="O227" s="2" t="s">
        <v>224</v>
      </c>
      <c r="P227" s="2" t="s">
        <v>225</v>
      </c>
      <c r="Q227" s="2" t="s">
        <v>226</v>
      </c>
      <c r="R227" s="2" t="s">
        <v>227</v>
      </c>
      <c r="S227" s="2" t="s">
        <v>1819</v>
      </c>
      <c r="T227" s="2" t="s">
        <v>375</v>
      </c>
      <c r="U227" s="2" t="s">
        <v>552</v>
      </c>
      <c r="V227" s="2" t="s">
        <v>230</v>
      </c>
      <c r="W227" s="2" t="s">
        <v>231</v>
      </c>
      <c r="X227" s="2" t="s">
        <v>836</v>
      </c>
      <c r="Y227" s="2" t="s">
        <v>1820</v>
      </c>
      <c r="Z227" s="4">
        <v>87</v>
      </c>
      <c r="AA227" s="4">
        <f>=ROUNDDOWN(29,0)</f>
      </c>
      <c r="AB227" s="5">
        <v>3</v>
      </c>
      <c r="AC227" s="2" t="s">
        <v>850</v>
      </c>
      <c r="AD227" s="4">
        <v>152</v>
      </c>
      <c r="AE227" s="4">
        <v>152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227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227</v>
      </c>
      <c r="AW227" s="8" t="s">
        <v>227</v>
      </c>
      <c r="AX227" s="4" t="s">
        <v>227</v>
      </c>
      <c r="AY227" s="8" t="s">
        <v>227</v>
      </c>
      <c r="AZ227" s="7" t="s">
        <v>227</v>
      </c>
      <c r="BA227" s="7" t="s">
        <v>227</v>
      </c>
      <c r="BB227" s="7"/>
      <c r="BC227" s="4" t="s">
        <v>227</v>
      </c>
      <c r="BD227" s="8" t="s">
        <v>227</v>
      </c>
      <c r="BE227" s="4" t="s">
        <v>227</v>
      </c>
      <c r="BF227" s="8" t="s">
        <v>227</v>
      </c>
      <c r="BG227" s="7" t="s">
        <v>227</v>
      </c>
      <c r="BH227" s="7" t="s">
        <v>227</v>
      </c>
      <c r="BI227" s="7"/>
      <c r="BJ227" s="4">
        <v>7</v>
      </c>
      <c r="BK227" s="8">
        <v>174.48</v>
      </c>
      <c r="BL227" s="2" t="s">
        <v>1833</v>
      </c>
      <c r="BM227" s="7"/>
      <c r="BN227" s="7"/>
      <c r="BO227" s="4"/>
      <c r="BP227" s="8"/>
      <c r="BQ227" s="4"/>
      <c r="BR227" s="8"/>
      <c r="BS227" s="7"/>
      <c r="BT227" s="7"/>
      <c r="BU227" s="2" t="s">
        <v>1834</v>
      </c>
      <c r="BV227" s="2" t="s">
        <v>227</v>
      </c>
      <c r="BW227" s="2" t="s">
        <v>227</v>
      </c>
      <c r="BX227" s="2" t="s">
        <v>235</v>
      </c>
      <c r="BY227" s="2" t="s">
        <v>236</v>
      </c>
      <c r="BZ227" s="2" t="s">
        <v>224</v>
      </c>
      <c r="CA227" s="2" t="s">
        <v>1823</v>
      </c>
      <c r="CB227" s="2" t="s">
        <v>323</v>
      </c>
      <c r="CC227" s="2" t="s">
        <v>239</v>
      </c>
      <c r="CD227" s="2" t="s">
        <v>227</v>
      </c>
      <c r="CE227" s="4">
        <v>87</v>
      </c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>
        <v>152</v>
      </c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</row>
    <row r="228">
      <c r="A228" s="2" t="s">
        <v>1835</v>
      </c>
      <c r="B228" s="2" t="s">
        <v>216</v>
      </c>
      <c r="C228" s="2" t="s">
        <v>360</v>
      </c>
      <c r="D228" s="2" t="s">
        <v>1448</v>
      </c>
      <c r="E228" s="2" t="s">
        <v>1836</v>
      </c>
      <c r="F228" s="2" t="s">
        <v>1837</v>
      </c>
      <c r="G228" s="2" t="s">
        <v>1838</v>
      </c>
      <c r="H228" s="2" t="s">
        <v>1838</v>
      </c>
      <c r="I228" s="2" t="s">
        <v>1839</v>
      </c>
      <c r="J228" s="2" t="s">
        <v>1304</v>
      </c>
      <c r="K228" s="2" t="s">
        <v>976</v>
      </c>
      <c r="L228" s="3">
        <v>20.47</v>
      </c>
      <c r="M228" s="3">
        <v>21.49</v>
      </c>
      <c r="N228" s="3">
        <v>44.99</v>
      </c>
      <c r="O228" s="2" t="s">
        <v>224</v>
      </c>
      <c r="P228" s="2" t="s">
        <v>225</v>
      </c>
      <c r="Q228" s="2" t="s">
        <v>226</v>
      </c>
      <c r="R228" s="2" t="s">
        <v>227</v>
      </c>
      <c r="S228" s="2" t="s">
        <v>1840</v>
      </c>
      <c r="T228" s="2" t="s">
        <v>375</v>
      </c>
      <c r="U228" s="2" t="s">
        <v>552</v>
      </c>
      <c r="V228" s="2" t="s">
        <v>230</v>
      </c>
      <c r="W228" s="2" t="s">
        <v>231</v>
      </c>
      <c r="X228" s="2" t="s">
        <v>706</v>
      </c>
      <c r="Y228" s="2" t="s">
        <v>1841</v>
      </c>
      <c r="Z228" s="4">
        <v>62</v>
      </c>
      <c r="AA228" s="4">
        <f>=ROUNDDOWN(6.88888888888889,0)</f>
      </c>
      <c r="AB228" s="5">
        <v>9</v>
      </c>
      <c r="AC228" s="2" t="s">
        <v>1842</v>
      </c>
      <c r="AD228" s="4">
        <v>100</v>
      </c>
      <c r="AE228" s="4">
        <v>390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227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>
        <v>46</v>
      </c>
      <c r="BK228" s="8">
        <v>1035.8</v>
      </c>
      <c r="BL228" s="2" t="s">
        <v>1843</v>
      </c>
      <c r="BM228" s="7"/>
      <c r="BN228" s="7"/>
      <c r="BO228" s="4"/>
      <c r="BP228" s="8"/>
      <c r="BQ228" s="4"/>
      <c r="BR228" s="8"/>
      <c r="BS228" s="7"/>
      <c r="BT228" s="7"/>
      <c r="BU228" s="2" t="s">
        <v>1844</v>
      </c>
      <c r="BV228" s="2" t="s">
        <v>227</v>
      </c>
      <c r="BW228" s="2" t="s">
        <v>227</v>
      </c>
      <c r="BX228" s="2" t="s">
        <v>235</v>
      </c>
      <c r="BY228" s="2" t="s">
        <v>236</v>
      </c>
      <c r="BZ228" s="2" t="s">
        <v>224</v>
      </c>
      <c r="CA228" s="2" t="s">
        <v>1845</v>
      </c>
      <c r="CB228" s="2" t="s">
        <v>1846</v>
      </c>
      <c r="CC228" s="2" t="s">
        <v>239</v>
      </c>
      <c r="CD228" s="2" t="s">
        <v>227</v>
      </c>
      <c r="CE228" s="4">
        <v>62</v>
      </c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>
        <v>100</v>
      </c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>
        <v>30</v>
      </c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>
        <v>100</v>
      </c>
      <c r="GJ228" s="4"/>
      <c r="GK228" s="4"/>
      <c r="GL228" s="4"/>
      <c r="GM228" s="4">
        <v>70</v>
      </c>
      <c r="GN228" s="4"/>
      <c r="GO228" s="4"/>
      <c r="GP228" s="4"/>
      <c r="GQ228" s="4"/>
      <c r="GR228" s="4"/>
      <c r="GS228" s="4"/>
      <c r="GT228" s="4"/>
      <c r="GU228" s="4"/>
      <c r="GV228" s="4"/>
      <c r="GW228" s="4">
        <v>90</v>
      </c>
      <c r="GX228" s="4"/>
    </row>
    <row r="229">
      <c r="A229" s="2" t="s">
        <v>1847</v>
      </c>
      <c r="B229" s="2" t="s">
        <v>573</v>
      </c>
      <c r="C229" s="2" t="s">
        <v>515</v>
      </c>
      <c r="D229" s="2" t="s">
        <v>832</v>
      </c>
      <c r="E229" s="2" t="s">
        <v>833</v>
      </c>
      <c r="F229" s="2" t="s">
        <v>1848</v>
      </c>
      <c r="G229" s="2" t="s">
        <v>1848</v>
      </c>
      <c r="H229" s="2" t="s">
        <v>1848</v>
      </c>
      <c r="I229" s="2" t="s">
        <v>1849</v>
      </c>
      <c r="J229" s="2" t="s">
        <v>548</v>
      </c>
      <c r="K229" s="2" t="s">
        <v>1850</v>
      </c>
      <c r="L229" s="3">
        <v>212.85</v>
      </c>
      <c r="M229" s="3">
        <v>223.49</v>
      </c>
      <c r="N229" s="3">
        <v>449</v>
      </c>
      <c r="O229" s="2" t="s">
        <v>224</v>
      </c>
      <c r="P229" s="2" t="s">
        <v>225</v>
      </c>
      <c r="Q229" s="2" t="s">
        <v>226</v>
      </c>
      <c r="R229" s="2" t="s">
        <v>227</v>
      </c>
      <c r="S229" s="2" t="s">
        <v>227</v>
      </c>
      <c r="T229" s="2" t="s">
        <v>227</v>
      </c>
      <c r="U229" s="2" t="s">
        <v>552</v>
      </c>
      <c r="V229" s="2" t="s">
        <v>230</v>
      </c>
      <c r="W229" s="2" t="s">
        <v>506</v>
      </c>
      <c r="X229" s="2" t="s">
        <v>227</v>
      </c>
      <c r="Y229" s="2" t="s">
        <v>1851</v>
      </c>
      <c r="Z229" s="4">
        <v>136</v>
      </c>
      <c r="AA229" s="4">
        <f>=ROUNDDOWN(34,0)</f>
      </c>
      <c r="AB229" s="5">
        <v>4</v>
      </c>
      <c r="AC229" s="2" t="s">
        <v>182</v>
      </c>
      <c r="AD229" s="4">
        <v>96</v>
      </c>
      <c r="AE229" s="4">
        <v>192</v>
      </c>
      <c r="AF229" s="6">
        <v>66</v>
      </c>
      <c r="AG229" s="6">
        <v>49</v>
      </c>
      <c r="AH229" s="7">
        <v>1</v>
      </c>
      <c r="AI229" s="4"/>
      <c r="AJ229" s="4">
        <f>=ROUNDDOWN({0},0)</f>
      </c>
      <c r="AK229" s="5"/>
      <c r="AL229" s="2" t="s">
        <v>227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 t="s">
        <v>227</v>
      </c>
      <c r="BD229" s="8" t="s">
        <v>227</v>
      </c>
      <c r="BE229" s="4" t="s">
        <v>227</v>
      </c>
      <c r="BF229" s="8" t="s">
        <v>227</v>
      </c>
      <c r="BG229" s="7" t="s">
        <v>227</v>
      </c>
      <c r="BH229" s="7" t="s">
        <v>227</v>
      </c>
      <c r="BI229" s="7"/>
      <c r="BJ229" s="4">
        <v>12</v>
      </c>
      <c r="BK229" s="8">
        <v>2737.98</v>
      </c>
      <c r="BL229" s="2" t="s">
        <v>1852</v>
      </c>
      <c r="BM229" s="7"/>
      <c r="BN229" s="7"/>
      <c r="BO229" s="4"/>
      <c r="BP229" s="8"/>
      <c r="BQ229" s="4"/>
      <c r="BR229" s="8"/>
      <c r="BS229" s="7"/>
      <c r="BT229" s="7"/>
      <c r="BU229" s="2" t="s">
        <v>1853</v>
      </c>
      <c r="BV229" s="2" t="s">
        <v>227</v>
      </c>
      <c r="BW229" s="2" t="s">
        <v>227</v>
      </c>
      <c r="BX229" s="2" t="s">
        <v>235</v>
      </c>
      <c r="BY229" s="2" t="s">
        <v>236</v>
      </c>
      <c r="BZ229" s="2" t="s">
        <v>224</v>
      </c>
      <c r="CA229" s="2" t="s">
        <v>1148</v>
      </c>
      <c r="CB229" s="2" t="s">
        <v>1854</v>
      </c>
      <c r="CC229" s="2" t="s">
        <v>239</v>
      </c>
      <c r="CD229" s="2" t="s">
        <v>227</v>
      </c>
      <c r="CE229" s="4"/>
      <c r="CF229" s="4">
        <v>136</v>
      </c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>
        <v>96</v>
      </c>
      <c r="FS229" s="4"/>
      <c r="FT229" s="4"/>
      <c r="FU229" s="4"/>
      <c r="FV229" s="4"/>
      <c r="FW229" s="4"/>
      <c r="FX229" s="4"/>
      <c r="FY229" s="4"/>
      <c r="FZ229" s="4"/>
      <c r="GA229" s="4"/>
      <c r="GB229" s="4">
        <v>96</v>
      </c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</row>
    <row r="230">
      <c r="A230" s="2" t="s">
        <v>1855</v>
      </c>
      <c r="B230" s="2" t="s">
        <v>573</v>
      </c>
      <c r="C230" s="2" t="s">
        <v>515</v>
      </c>
      <c r="D230" s="2" t="s">
        <v>832</v>
      </c>
      <c r="E230" s="2" t="s">
        <v>833</v>
      </c>
      <c r="F230" s="2" t="s">
        <v>1848</v>
      </c>
      <c r="G230" s="2" t="s">
        <v>1848</v>
      </c>
      <c r="H230" s="2" t="s">
        <v>1848</v>
      </c>
      <c r="I230" s="2" t="s">
        <v>1856</v>
      </c>
      <c r="J230" s="2" t="s">
        <v>548</v>
      </c>
      <c r="K230" s="2" t="s">
        <v>1857</v>
      </c>
      <c r="L230" s="3">
        <v>212.85</v>
      </c>
      <c r="M230" s="3">
        <v>223.49</v>
      </c>
      <c r="N230" s="3">
        <v>449</v>
      </c>
      <c r="O230" s="2" t="s">
        <v>224</v>
      </c>
      <c r="P230" s="2" t="s">
        <v>580</v>
      </c>
      <c r="Q230" s="2" t="s">
        <v>226</v>
      </c>
      <c r="R230" s="2" t="s">
        <v>227</v>
      </c>
      <c r="S230" s="2" t="s">
        <v>1858</v>
      </c>
      <c r="T230" s="2" t="s">
        <v>227</v>
      </c>
      <c r="U230" s="2" t="s">
        <v>552</v>
      </c>
      <c r="V230" s="2" t="s">
        <v>230</v>
      </c>
      <c r="W230" s="2" t="s">
        <v>506</v>
      </c>
      <c r="X230" s="2" t="s">
        <v>227</v>
      </c>
      <c r="Y230" s="2" t="s">
        <v>1859</v>
      </c>
      <c r="Z230" s="4">
        <v>95</v>
      </c>
      <c r="AA230" s="4">
        <f>=ROUNDDOWN(47.5,0)</f>
      </c>
      <c r="AB230" s="5">
        <v>2</v>
      </c>
      <c r="AC230" s="2" t="s">
        <v>227</v>
      </c>
      <c r="AD230" s="4"/>
      <c r="AE230" s="4"/>
      <c r="AF230" s="6">
        <v>66</v>
      </c>
      <c r="AG230" s="6">
        <v>49</v>
      </c>
      <c r="AH230" s="7">
        <v>1</v>
      </c>
      <c r="AI230" s="4"/>
      <c r="AJ230" s="4">
        <f>=ROUNDDOWN({0},0)</f>
      </c>
      <c r="AK230" s="5"/>
      <c r="AL230" s="2" t="s">
        <v>227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 t="s">
        <v>227</v>
      </c>
      <c r="BD230" s="8" t="s">
        <v>227</v>
      </c>
      <c r="BE230" s="4" t="s">
        <v>227</v>
      </c>
      <c r="BF230" s="8" t="s">
        <v>227</v>
      </c>
      <c r="BG230" s="7" t="s">
        <v>227</v>
      </c>
      <c r="BH230" s="7" t="s">
        <v>227</v>
      </c>
      <c r="BI230" s="7"/>
      <c r="BJ230" s="4">
        <v>8</v>
      </c>
      <c r="BK230" s="8">
        <v>1720.75</v>
      </c>
      <c r="BL230" s="2" t="s">
        <v>1860</v>
      </c>
      <c r="BM230" s="7"/>
      <c r="BN230" s="7"/>
      <c r="BO230" s="4"/>
      <c r="BP230" s="8"/>
      <c r="BQ230" s="4"/>
      <c r="BR230" s="8"/>
      <c r="BS230" s="7"/>
      <c r="BT230" s="7"/>
      <c r="BU230" s="2" t="s">
        <v>1861</v>
      </c>
      <c r="BV230" s="2" t="s">
        <v>227</v>
      </c>
      <c r="BW230" s="2" t="s">
        <v>227</v>
      </c>
      <c r="BX230" s="2" t="s">
        <v>235</v>
      </c>
      <c r="BY230" s="2" t="s">
        <v>236</v>
      </c>
      <c r="BZ230" s="2" t="s">
        <v>224</v>
      </c>
      <c r="CA230" s="2" t="s">
        <v>1862</v>
      </c>
      <c r="CB230" s="2" t="s">
        <v>1863</v>
      </c>
      <c r="CC230" s="2" t="s">
        <v>239</v>
      </c>
      <c r="CD230" s="2" t="s">
        <v>227</v>
      </c>
      <c r="CE230" s="4"/>
      <c r="CF230" s="4">
        <v>95</v>
      </c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</row>
    <row r="231">
      <c r="A231" s="2" t="s">
        <v>1864</v>
      </c>
      <c r="B231" s="2" t="s">
        <v>715</v>
      </c>
      <c r="C231" s="2" t="s">
        <v>1139</v>
      </c>
      <c r="D231" s="2" t="s">
        <v>716</v>
      </c>
      <c r="E231" s="2" t="s">
        <v>971</v>
      </c>
      <c r="F231" s="2" t="s">
        <v>1865</v>
      </c>
      <c r="G231" s="2" t="s">
        <v>1866</v>
      </c>
      <c r="H231" s="2" t="s">
        <v>1867</v>
      </c>
      <c r="I231" s="2" t="s">
        <v>1868</v>
      </c>
      <c r="J231" s="2" t="s">
        <v>1869</v>
      </c>
      <c r="K231" s="2" t="s">
        <v>657</v>
      </c>
      <c r="L231" s="3">
        <v>17.02</v>
      </c>
      <c r="M231" s="3">
        <v>17.87</v>
      </c>
      <c r="N231" s="3">
        <v>36.99</v>
      </c>
      <c r="O231" s="2" t="s">
        <v>224</v>
      </c>
      <c r="P231" s="2" t="s">
        <v>225</v>
      </c>
      <c r="Q231" s="2" t="s">
        <v>226</v>
      </c>
      <c r="R231" s="2" t="s">
        <v>227</v>
      </c>
      <c r="S231" s="2" t="s">
        <v>1870</v>
      </c>
      <c r="T231" s="2" t="s">
        <v>1871</v>
      </c>
      <c r="U231" s="2" t="s">
        <v>1044</v>
      </c>
      <c r="V231" s="2" t="s">
        <v>230</v>
      </c>
      <c r="W231" s="2" t="s">
        <v>836</v>
      </c>
      <c r="X231" s="2" t="s">
        <v>1872</v>
      </c>
      <c r="Y231" s="2" t="s">
        <v>1873</v>
      </c>
      <c r="Z231" s="4">
        <v>117</v>
      </c>
      <c r="AA231" s="4">
        <f>=ROUNDDOWN(117,0)</f>
      </c>
      <c r="AB231" s="5">
        <v>1</v>
      </c>
      <c r="AC231" s="2" t="s">
        <v>162</v>
      </c>
      <c r="AD231" s="4">
        <v>20</v>
      </c>
      <c r="AE231" s="4">
        <v>20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227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/>
      <c r="BD231" s="8"/>
      <c r="BE231" s="4"/>
      <c r="BF231" s="8"/>
      <c r="BG231" s="7"/>
      <c r="BH231" s="7"/>
      <c r="BI231" s="7"/>
      <c r="BJ231" s="4">
        <v>13</v>
      </c>
      <c r="BK231" s="8">
        <v>237.05</v>
      </c>
      <c r="BL231" s="2" t="s">
        <v>1874</v>
      </c>
      <c r="BM231" s="7"/>
      <c r="BN231" s="7"/>
      <c r="BO231" s="4"/>
      <c r="BP231" s="8"/>
      <c r="BQ231" s="4"/>
      <c r="BR231" s="8"/>
      <c r="BS231" s="7"/>
      <c r="BT231" s="7"/>
      <c r="BU231" s="2" t="s">
        <v>1875</v>
      </c>
      <c r="BV231" s="2" t="s">
        <v>227</v>
      </c>
      <c r="BW231" s="2" t="s">
        <v>227</v>
      </c>
      <c r="BX231" s="2" t="s">
        <v>235</v>
      </c>
      <c r="BY231" s="2" t="s">
        <v>236</v>
      </c>
      <c r="BZ231" s="2" t="s">
        <v>224</v>
      </c>
      <c r="CA231" s="2" t="s">
        <v>1876</v>
      </c>
      <c r="CB231" s="2" t="s">
        <v>1877</v>
      </c>
      <c r="CC231" s="2" t="s">
        <v>239</v>
      </c>
      <c r="CD231" s="2" t="s">
        <v>227</v>
      </c>
      <c r="CE231" s="4">
        <v>117</v>
      </c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>
        <v>20</v>
      </c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</row>
    <row r="232">
      <c r="A232" s="2" t="s">
        <v>1878</v>
      </c>
      <c r="B232" s="2" t="s">
        <v>573</v>
      </c>
      <c r="C232" s="2" t="s">
        <v>360</v>
      </c>
      <c r="D232" s="2" t="s">
        <v>832</v>
      </c>
      <c r="E232" s="2" t="s">
        <v>833</v>
      </c>
      <c r="F232" s="2" t="s">
        <v>1879</v>
      </c>
      <c r="G232" s="2" t="s">
        <v>1880</v>
      </c>
      <c r="H232" s="2" t="s">
        <v>1881</v>
      </c>
      <c r="I232" s="2" t="s">
        <v>1882</v>
      </c>
      <c r="J232" s="2" t="s">
        <v>548</v>
      </c>
      <c r="K232" s="2" t="s">
        <v>410</v>
      </c>
      <c r="L232" s="3">
        <v>180.5</v>
      </c>
      <c r="M232" s="3">
        <v>189.52</v>
      </c>
      <c r="N232" s="3">
        <v>379</v>
      </c>
      <c r="O232" s="2" t="s">
        <v>224</v>
      </c>
      <c r="P232" s="2" t="s">
        <v>225</v>
      </c>
      <c r="Q232" s="2" t="s">
        <v>226</v>
      </c>
      <c r="R232" s="2" t="s">
        <v>227</v>
      </c>
      <c r="S232" s="2" t="s">
        <v>1883</v>
      </c>
      <c r="T232" s="2" t="s">
        <v>227</v>
      </c>
      <c r="U232" s="2" t="s">
        <v>227</v>
      </c>
      <c r="V232" s="2" t="s">
        <v>230</v>
      </c>
      <c r="W232" s="2" t="s">
        <v>581</v>
      </c>
      <c r="X232" s="2" t="s">
        <v>227</v>
      </c>
      <c r="Y232" s="2" t="s">
        <v>232</v>
      </c>
      <c r="Z232" s="4">
        <v>72</v>
      </c>
      <c r="AA232" s="4">
        <f>=ROUNDDOWN(10.2857142857143,0)</f>
      </c>
      <c r="AB232" s="5">
        <v>7</v>
      </c>
      <c r="AC232" s="2" t="s">
        <v>158</v>
      </c>
      <c r="AD232" s="4">
        <v>20</v>
      </c>
      <c r="AE232" s="4">
        <v>130</v>
      </c>
      <c r="AF232" s="6">
        <v>66</v>
      </c>
      <c r="AG232" s="6">
        <v>49</v>
      </c>
      <c r="AH232" s="7">
        <v>1</v>
      </c>
      <c r="AI232" s="4"/>
      <c r="AJ232" s="4">
        <f>=ROUNDDOWN({0},0)</f>
      </c>
      <c r="AK232" s="5"/>
      <c r="AL232" s="2" t="s">
        <v>227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 t="s">
        <v>227</v>
      </c>
      <c r="BD232" s="8" t="s">
        <v>227</v>
      </c>
      <c r="BE232" s="4" t="s">
        <v>227</v>
      </c>
      <c r="BF232" s="8" t="s">
        <v>227</v>
      </c>
      <c r="BG232" s="7" t="s">
        <v>227</v>
      </c>
      <c r="BH232" s="7" t="s">
        <v>227</v>
      </c>
      <c r="BI232" s="7"/>
      <c r="BJ232" s="4">
        <v>21</v>
      </c>
      <c r="BK232" s="8">
        <v>3528.02</v>
      </c>
      <c r="BL232" s="2" t="s">
        <v>1884</v>
      </c>
      <c r="BM232" s="7"/>
      <c r="BN232" s="7"/>
      <c r="BO232" s="4"/>
      <c r="BP232" s="8"/>
      <c r="BQ232" s="4"/>
      <c r="BR232" s="8"/>
      <c r="BS232" s="7"/>
      <c r="BT232" s="7"/>
      <c r="BU232" s="2" t="s">
        <v>1885</v>
      </c>
      <c r="BV232" s="2" t="s">
        <v>227</v>
      </c>
      <c r="BW232" s="2" t="s">
        <v>227</v>
      </c>
      <c r="BX232" s="2" t="s">
        <v>235</v>
      </c>
      <c r="BY232" s="2" t="s">
        <v>236</v>
      </c>
      <c r="BZ232" s="2" t="s">
        <v>224</v>
      </c>
      <c r="CA232" s="2" t="s">
        <v>237</v>
      </c>
      <c r="CB232" s="2" t="s">
        <v>1886</v>
      </c>
      <c r="CC232" s="2" t="s">
        <v>239</v>
      </c>
      <c r="CD232" s="2" t="s">
        <v>227</v>
      </c>
      <c r="CE232" s="4"/>
      <c r="CF232" s="4">
        <v>63</v>
      </c>
      <c r="CG232" s="4"/>
      <c r="CH232" s="4">
        <v>9</v>
      </c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>
        <v>20</v>
      </c>
      <c r="EU232" s="4"/>
      <c r="EV232" s="4"/>
      <c r="EW232" s="4"/>
      <c r="EX232" s="4">
        <v>110</v>
      </c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</row>
    <row r="233">
      <c r="A233" s="2" t="s">
        <v>1887</v>
      </c>
      <c r="B233" s="2" t="s">
        <v>573</v>
      </c>
      <c r="C233" s="2" t="s">
        <v>360</v>
      </c>
      <c r="D233" s="2" t="s">
        <v>832</v>
      </c>
      <c r="E233" s="2" t="s">
        <v>833</v>
      </c>
      <c r="F233" s="2" t="s">
        <v>1879</v>
      </c>
      <c r="G233" s="2" t="s">
        <v>1880</v>
      </c>
      <c r="H233" s="2" t="s">
        <v>1881</v>
      </c>
      <c r="I233" s="2" t="s">
        <v>1882</v>
      </c>
      <c r="J233" s="2" t="s">
        <v>548</v>
      </c>
      <c r="K233" s="2" t="s">
        <v>860</v>
      </c>
      <c r="L233" s="3">
        <v>180.5</v>
      </c>
      <c r="M233" s="3">
        <v>189.52</v>
      </c>
      <c r="N233" s="3">
        <v>379</v>
      </c>
      <c r="O233" s="2" t="s">
        <v>224</v>
      </c>
      <c r="P233" s="2" t="s">
        <v>580</v>
      </c>
      <c r="Q233" s="2" t="s">
        <v>226</v>
      </c>
      <c r="R233" s="2" t="s">
        <v>227</v>
      </c>
      <c r="S233" s="2" t="s">
        <v>1888</v>
      </c>
      <c r="T233" s="2" t="s">
        <v>227</v>
      </c>
      <c r="U233" s="2" t="s">
        <v>227</v>
      </c>
      <c r="V233" s="2" t="s">
        <v>566</v>
      </c>
      <c r="W233" s="2" t="s">
        <v>506</v>
      </c>
      <c r="X233" s="2" t="s">
        <v>227</v>
      </c>
      <c r="Y233" s="2" t="s">
        <v>232</v>
      </c>
      <c r="Z233" s="4">
        <v>209</v>
      </c>
      <c r="AA233" s="4">
        <f>=ROUNDDOWN(29.8571428571429,0)</f>
      </c>
      <c r="AB233" s="5">
        <v>7</v>
      </c>
      <c r="AC233" s="2" t="s">
        <v>732</v>
      </c>
      <c r="AD233" s="4">
        <v>10</v>
      </c>
      <c r="AE233" s="4">
        <v>10</v>
      </c>
      <c r="AF233" s="6">
        <v>66</v>
      </c>
      <c r="AG233" s="6">
        <v>49</v>
      </c>
      <c r="AH233" s="7">
        <v>1</v>
      </c>
      <c r="AI233" s="4"/>
      <c r="AJ233" s="4">
        <f>=ROUNDDOWN({0},0)</f>
      </c>
      <c r="AK233" s="5"/>
      <c r="AL233" s="2" t="s">
        <v>227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 t="s">
        <v>227</v>
      </c>
      <c r="BD233" s="8" t="s">
        <v>227</v>
      </c>
      <c r="BE233" s="4" t="s">
        <v>227</v>
      </c>
      <c r="BF233" s="8" t="s">
        <v>227</v>
      </c>
      <c r="BG233" s="7" t="s">
        <v>227</v>
      </c>
      <c r="BH233" s="7" t="s">
        <v>227</v>
      </c>
      <c r="BI233" s="7"/>
      <c r="BJ233" s="4">
        <v>17</v>
      </c>
      <c r="BK233" s="8">
        <v>2941.01</v>
      </c>
      <c r="BL233" s="2" t="s">
        <v>1889</v>
      </c>
      <c r="BM233" s="7"/>
      <c r="BN233" s="7"/>
      <c r="BO233" s="4"/>
      <c r="BP233" s="8"/>
      <c r="BQ233" s="4"/>
      <c r="BR233" s="8"/>
      <c r="BS233" s="7"/>
      <c r="BT233" s="7"/>
      <c r="BU233" s="2" t="s">
        <v>1890</v>
      </c>
      <c r="BV233" s="2" t="s">
        <v>227</v>
      </c>
      <c r="BW233" s="2" t="s">
        <v>227</v>
      </c>
      <c r="BX233" s="2" t="s">
        <v>235</v>
      </c>
      <c r="BY233" s="2" t="s">
        <v>236</v>
      </c>
      <c r="BZ233" s="2" t="s">
        <v>224</v>
      </c>
      <c r="CA233" s="2" t="s">
        <v>1891</v>
      </c>
      <c r="CB233" s="2" t="s">
        <v>1892</v>
      </c>
      <c r="CC233" s="2" t="s">
        <v>239</v>
      </c>
      <c r="CD233" s="2" t="s">
        <v>227</v>
      </c>
      <c r="CE233" s="4"/>
      <c r="CF233" s="4">
        <v>170</v>
      </c>
      <c r="CG233" s="4"/>
      <c r="CH233" s="4">
        <v>39</v>
      </c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>
        <v>10</v>
      </c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</row>
    <row r="234">
      <c r="A234" s="2" t="s">
        <v>1893</v>
      </c>
      <c r="B234" s="2" t="s">
        <v>278</v>
      </c>
      <c r="C234" s="2" t="s">
        <v>1546</v>
      </c>
      <c r="D234" s="2" t="s">
        <v>280</v>
      </c>
      <c r="E234" s="2" t="s">
        <v>281</v>
      </c>
      <c r="F234" s="2" t="s">
        <v>1894</v>
      </c>
      <c r="G234" s="2" t="s">
        <v>1894</v>
      </c>
      <c r="H234" s="2" t="s">
        <v>1894</v>
      </c>
      <c r="I234" s="2" t="s">
        <v>1895</v>
      </c>
      <c r="J234" s="2" t="s">
        <v>222</v>
      </c>
      <c r="K234" s="2" t="s">
        <v>976</v>
      </c>
      <c r="L234" s="3">
        <v>21</v>
      </c>
      <c r="M234" s="3">
        <v>22.05</v>
      </c>
      <c r="N234" s="3">
        <v>44.99</v>
      </c>
      <c r="O234" s="2" t="s">
        <v>224</v>
      </c>
      <c r="P234" s="2" t="s">
        <v>225</v>
      </c>
      <c r="Q234" s="2" t="s">
        <v>226</v>
      </c>
      <c r="R234" s="2" t="s">
        <v>227</v>
      </c>
      <c r="S234" s="2" t="s">
        <v>1896</v>
      </c>
      <c r="T234" s="2" t="s">
        <v>1897</v>
      </c>
      <c r="U234" s="2" t="s">
        <v>674</v>
      </c>
      <c r="V234" s="2" t="s">
        <v>230</v>
      </c>
      <c r="W234" s="2" t="s">
        <v>231</v>
      </c>
      <c r="X234" s="2" t="s">
        <v>227</v>
      </c>
      <c r="Y234" s="2" t="s">
        <v>1898</v>
      </c>
      <c r="Z234" s="4">
        <v>71</v>
      </c>
      <c r="AA234" s="4">
        <f>=ROUNDDOWN(23.6666666666667,0)</f>
      </c>
      <c r="AB234" s="5">
        <v>3</v>
      </c>
      <c r="AC234" s="2" t="s">
        <v>227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227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227</v>
      </c>
      <c r="AW234" s="8" t="s">
        <v>227</v>
      </c>
      <c r="AX234" s="4" t="s">
        <v>227</v>
      </c>
      <c r="AY234" s="8" t="s">
        <v>227</v>
      </c>
      <c r="AZ234" s="7" t="s">
        <v>227</v>
      </c>
      <c r="BA234" s="7" t="s">
        <v>227</v>
      </c>
      <c r="BB234" s="7"/>
      <c r="BC234" s="4" t="s">
        <v>227</v>
      </c>
      <c r="BD234" s="8" t="s">
        <v>227</v>
      </c>
      <c r="BE234" s="4" t="s">
        <v>227</v>
      </c>
      <c r="BF234" s="8" t="s">
        <v>227</v>
      </c>
      <c r="BG234" s="7" t="s">
        <v>227</v>
      </c>
      <c r="BH234" s="7" t="s">
        <v>227</v>
      </c>
      <c r="BI234" s="7"/>
      <c r="BJ234" s="4">
        <v>12</v>
      </c>
      <c r="BK234" s="8">
        <v>284.78</v>
      </c>
      <c r="BL234" s="2" t="s">
        <v>1731</v>
      </c>
      <c r="BM234" s="7"/>
      <c r="BN234" s="7"/>
      <c r="BO234" s="4"/>
      <c r="BP234" s="8"/>
      <c r="BQ234" s="4"/>
      <c r="BR234" s="8"/>
      <c r="BS234" s="7"/>
      <c r="BT234" s="7"/>
      <c r="BU234" s="2" t="s">
        <v>1899</v>
      </c>
      <c r="BV234" s="2" t="s">
        <v>227</v>
      </c>
      <c r="BW234" s="2" t="s">
        <v>227</v>
      </c>
      <c r="BX234" s="2" t="s">
        <v>235</v>
      </c>
      <c r="BY234" s="2" t="s">
        <v>236</v>
      </c>
      <c r="BZ234" s="2" t="s">
        <v>224</v>
      </c>
      <c r="CA234" s="2" t="s">
        <v>1900</v>
      </c>
      <c r="CB234" s="2" t="s">
        <v>1901</v>
      </c>
      <c r="CC234" s="2" t="s">
        <v>239</v>
      </c>
      <c r="CD234" s="2" t="s">
        <v>227</v>
      </c>
      <c r="CE234" s="4">
        <v>71</v>
      </c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</row>
    <row r="235">
      <c r="A235" s="2" t="s">
        <v>1902</v>
      </c>
      <c r="B235" s="2" t="s">
        <v>216</v>
      </c>
      <c r="C235" s="2" t="s">
        <v>1546</v>
      </c>
      <c r="D235" s="2" t="s">
        <v>687</v>
      </c>
      <c r="E235" s="2" t="s">
        <v>1903</v>
      </c>
      <c r="F235" s="2" t="s">
        <v>1894</v>
      </c>
      <c r="G235" s="2" t="s">
        <v>1894</v>
      </c>
      <c r="H235" s="2" t="s">
        <v>1894</v>
      </c>
      <c r="I235" s="2" t="s">
        <v>1904</v>
      </c>
      <c r="J235" s="2" t="s">
        <v>626</v>
      </c>
      <c r="K235" s="2" t="s">
        <v>976</v>
      </c>
      <c r="L235" s="3">
        <v>25.14</v>
      </c>
      <c r="M235" s="3">
        <v>26.4</v>
      </c>
      <c r="N235" s="3">
        <v>54.99</v>
      </c>
      <c r="O235" s="2" t="s">
        <v>224</v>
      </c>
      <c r="P235" s="2" t="s">
        <v>225</v>
      </c>
      <c r="Q235" s="2" t="s">
        <v>226</v>
      </c>
      <c r="R235" s="2" t="s">
        <v>227</v>
      </c>
      <c r="S235" s="2" t="s">
        <v>1905</v>
      </c>
      <c r="T235" s="2" t="s">
        <v>1897</v>
      </c>
      <c r="U235" s="2" t="s">
        <v>552</v>
      </c>
      <c r="V235" s="2" t="s">
        <v>230</v>
      </c>
      <c r="W235" s="2" t="s">
        <v>231</v>
      </c>
      <c r="X235" s="2" t="s">
        <v>227</v>
      </c>
      <c r="Y235" s="2" t="s">
        <v>1906</v>
      </c>
      <c r="Z235" s="4"/>
      <c r="AA235" s="4">
        <f>=ROUNDDOWN({0},0)</f>
      </c>
      <c r="AB235" s="5">
        <v>12</v>
      </c>
      <c r="AC235" s="2" t="s">
        <v>839</v>
      </c>
      <c r="AD235" s="4">
        <v>180</v>
      </c>
      <c r="AE235" s="4">
        <v>519</v>
      </c>
      <c r="AF235" s="6">
        <v>65</v>
      </c>
      <c r="AG235" s="6"/>
      <c r="AH235" s="7">
        <v>0.129</v>
      </c>
      <c r="AI235" s="4"/>
      <c r="AJ235" s="4">
        <f>=ROUNDDOWN({0},0)</f>
      </c>
      <c r="AK235" s="5"/>
      <c r="AL235" s="2" t="s">
        <v>227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227</v>
      </c>
      <c r="AW235" s="8" t="s">
        <v>227</v>
      </c>
      <c r="AX235" s="4" t="s">
        <v>227</v>
      </c>
      <c r="AY235" s="8" t="s">
        <v>227</v>
      </c>
      <c r="AZ235" s="7" t="s">
        <v>227</v>
      </c>
      <c r="BA235" s="7" t="s">
        <v>227</v>
      </c>
      <c r="BB235" s="7"/>
      <c r="BC235" s="4" t="s">
        <v>227</v>
      </c>
      <c r="BD235" s="8" t="s">
        <v>227</v>
      </c>
      <c r="BE235" s="4" t="s">
        <v>227</v>
      </c>
      <c r="BF235" s="8" t="s">
        <v>227</v>
      </c>
      <c r="BG235" s="7" t="s">
        <v>227</v>
      </c>
      <c r="BH235" s="7" t="s">
        <v>227</v>
      </c>
      <c r="BI235" s="7"/>
      <c r="BJ235" s="4">
        <v>23</v>
      </c>
      <c r="BK235" s="8">
        <v>656.96</v>
      </c>
      <c r="BL235" s="2" t="s">
        <v>1485</v>
      </c>
      <c r="BM235" s="7"/>
      <c r="BN235" s="7"/>
      <c r="BO235" s="4"/>
      <c r="BP235" s="8"/>
      <c r="BQ235" s="4"/>
      <c r="BR235" s="8"/>
      <c r="BS235" s="7"/>
      <c r="BT235" s="7"/>
      <c r="BU235" s="2" t="s">
        <v>1907</v>
      </c>
      <c r="BV235" s="2" t="s">
        <v>227</v>
      </c>
      <c r="BW235" s="2" t="s">
        <v>227</v>
      </c>
      <c r="BX235" s="2" t="s">
        <v>235</v>
      </c>
      <c r="BY235" s="2" t="s">
        <v>236</v>
      </c>
      <c r="BZ235" s="2" t="s">
        <v>224</v>
      </c>
      <c r="CA235" s="2" t="s">
        <v>1906</v>
      </c>
      <c r="CB235" s="2" t="s">
        <v>310</v>
      </c>
      <c r="CC235" s="2" t="s">
        <v>239</v>
      </c>
      <c r="CD235" s="2" t="s">
        <v>227</v>
      </c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>
        <v>180</v>
      </c>
      <c r="ED235" s="4"/>
      <c r="EE235" s="4"/>
      <c r="EF235" s="4">
        <v>89</v>
      </c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>
        <v>100</v>
      </c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>
        <v>80</v>
      </c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>
        <v>70</v>
      </c>
      <c r="GT235" s="4"/>
      <c r="GU235" s="4"/>
      <c r="GV235" s="4"/>
      <c r="GW235" s="4"/>
      <c r="GX235" s="4"/>
    </row>
    <row r="236">
      <c r="A236" s="2" t="s">
        <v>1908</v>
      </c>
      <c r="B236" s="2" t="s">
        <v>216</v>
      </c>
      <c r="C236" s="2" t="s">
        <v>1546</v>
      </c>
      <c r="D236" s="2" t="s">
        <v>687</v>
      </c>
      <c r="E236" s="2" t="s">
        <v>1903</v>
      </c>
      <c r="F236" s="2" t="s">
        <v>1894</v>
      </c>
      <c r="G236" s="2" t="s">
        <v>1894</v>
      </c>
      <c r="H236" s="2" t="s">
        <v>1894</v>
      </c>
      <c r="I236" s="2" t="s">
        <v>1904</v>
      </c>
      <c r="J236" s="2" t="s">
        <v>1304</v>
      </c>
      <c r="K236" s="2" t="s">
        <v>410</v>
      </c>
      <c r="L236" s="3">
        <v>21.42</v>
      </c>
      <c r="M236" s="3">
        <v>22.49</v>
      </c>
      <c r="N236" s="3">
        <v>49.99</v>
      </c>
      <c r="O236" s="2" t="s">
        <v>224</v>
      </c>
      <c r="P236" s="2" t="s">
        <v>225</v>
      </c>
      <c r="Q236" s="2" t="s">
        <v>226</v>
      </c>
      <c r="R236" s="2" t="s">
        <v>227</v>
      </c>
      <c r="S236" s="2" t="s">
        <v>1909</v>
      </c>
      <c r="T236" s="2" t="s">
        <v>1897</v>
      </c>
      <c r="U236" s="2" t="s">
        <v>552</v>
      </c>
      <c r="V236" s="2" t="s">
        <v>230</v>
      </c>
      <c r="W236" s="2" t="s">
        <v>231</v>
      </c>
      <c r="X236" s="2" t="s">
        <v>227</v>
      </c>
      <c r="Y236" s="2" t="s">
        <v>1906</v>
      </c>
      <c r="Z236" s="4"/>
      <c r="AA236" s="4">
        <f>=ROUNDDOWN({0},0)</f>
      </c>
      <c r="AB236" s="5">
        <v>11</v>
      </c>
      <c r="AC236" s="2" t="s">
        <v>839</v>
      </c>
      <c r="AD236" s="4">
        <v>60</v>
      </c>
      <c r="AE236" s="4">
        <v>470</v>
      </c>
      <c r="AF236" s="6">
        <v>65</v>
      </c>
      <c r="AG236" s="6"/>
      <c r="AH236" s="7">
        <v>0.129</v>
      </c>
      <c r="AI236" s="4"/>
      <c r="AJ236" s="4">
        <f>=ROUNDDOWN({0},0)</f>
      </c>
      <c r="AK236" s="5"/>
      <c r="AL236" s="2" t="s">
        <v>227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 t="s">
        <v>227</v>
      </c>
      <c r="BD236" s="8" t="s">
        <v>227</v>
      </c>
      <c r="BE236" s="4" t="s">
        <v>227</v>
      </c>
      <c r="BF236" s="8" t="s">
        <v>227</v>
      </c>
      <c r="BG236" s="7" t="s">
        <v>227</v>
      </c>
      <c r="BH236" s="7" t="s">
        <v>227</v>
      </c>
      <c r="BI236" s="7"/>
      <c r="BJ236" s="4">
        <v>24</v>
      </c>
      <c r="BK236" s="8">
        <v>587.05</v>
      </c>
      <c r="BL236" s="2" t="s">
        <v>1910</v>
      </c>
      <c r="BM236" s="7"/>
      <c r="BN236" s="7"/>
      <c r="BO236" s="4"/>
      <c r="BP236" s="8"/>
      <c r="BQ236" s="4"/>
      <c r="BR236" s="8"/>
      <c r="BS236" s="7"/>
      <c r="BT236" s="7"/>
      <c r="BU236" s="2" t="s">
        <v>1911</v>
      </c>
      <c r="BV236" s="2" t="s">
        <v>227</v>
      </c>
      <c r="BW236" s="2" t="s">
        <v>227</v>
      </c>
      <c r="BX236" s="2" t="s">
        <v>235</v>
      </c>
      <c r="BY236" s="2" t="s">
        <v>236</v>
      </c>
      <c r="BZ236" s="2" t="s">
        <v>224</v>
      </c>
      <c r="CA236" s="2" t="s">
        <v>1906</v>
      </c>
      <c r="CB236" s="2" t="s">
        <v>1912</v>
      </c>
      <c r="CC236" s="2" t="s">
        <v>239</v>
      </c>
      <c r="CD236" s="2" t="s">
        <v>227</v>
      </c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>
        <v>60</v>
      </c>
      <c r="ED236" s="4"/>
      <c r="EE236" s="4"/>
      <c r="EF236" s="4">
        <v>60</v>
      </c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>
        <v>150</v>
      </c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>
        <v>130</v>
      </c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>
        <v>70</v>
      </c>
      <c r="GT236" s="4"/>
      <c r="GU236" s="4"/>
      <c r="GV236" s="4"/>
      <c r="GW236" s="4"/>
      <c r="GX236" s="4"/>
    </row>
    <row r="237">
      <c r="A237" s="2" t="s">
        <v>1913</v>
      </c>
      <c r="B237" s="2" t="s">
        <v>278</v>
      </c>
      <c r="C237" s="2" t="s">
        <v>1546</v>
      </c>
      <c r="D237" s="2" t="s">
        <v>280</v>
      </c>
      <c r="E237" s="2" t="s">
        <v>281</v>
      </c>
      <c r="F237" s="2" t="s">
        <v>1894</v>
      </c>
      <c r="G237" s="2" t="s">
        <v>1894</v>
      </c>
      <c r="H237" s="2" t="s">
        <v>1894</v>
      </c>
      <c r="I237" s="2" t="s">
        <v>1895</v>
      </c>
      <c r="J237" s="2" t="s">
        <v>222</v>
      </c>
      <c r="K237" s="2" t="s">
        <v>657</v>
      </c>
      <c r="L237" s="3">
        <v>21</v>
      </c>
      <c r="M237" s="3">
        <v>22.05</v>
      </c>
      <c r="N237" s="3">
        <v>44.99</v>
      </c>
      <c r="O237" s="2" t="s">
        <v>224</v>
      </c>
      <c r="P237" s="2" t="s">
        <v>225</v>
      </c>
      <c r="Q237" s="2" t="s">
        <v>226</v>
      </c>
      <c r="R237" s="2" t="s">
        <v>227</v>
      </c>
      <c r="S237" s="2" t="s">
        <v>1914</v>
      </c>
      <c r="T237" s="2" t="s">
        <v>1897</v>
      </c>
      <c r="U237" s="2" t="s">
        <v>674</v>
      </c>
      <c r="V237" s="2" t="s">
        <v>230</v>
      </c>
      <c r="W237" s="2" t="s">
        <v>231</v>
      </c>
      <c r="X237" s="2" t="s">
        <v>227</v>
      </c>
      <c r="Y237" s="2" t="s">
        <v>1898</v>
      </c>
      <c r="Z237" s="4">
        <v>128</v>
      </c>
      <c r="AA237" s="4">
        <f>=ROUNDDOWN(64,0)</f>
      </c>
      <c r="AB237" s="5">
        <v>2</v>
      </c>
      <c r="AC237" s="2" t="s">
        <v>227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227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227</v>
      </c>
      <c r="AW237" s="8" t="s">
        <v>227</v>
      </c>
      <c r="AX237" s="4" t="s">
        <v>227</v>
      </c>
      <c r="AY237" s="8" t="s">
        <v>227</v>
      </c>
      <c r="AZ237" s="7" t="s">
        <v>227</v>
      </c>
      <c r="BA237" s="7" t="s">
        <v>227</v>
      </c>
      <c r="BB237" s="7"/>
      <c r="BC237" s="4" t="s">
        <v>227</v>
      </c>
      <c r="BD237" s="8" t="s">
        <v>227</v>
      </c>
      <c r="BE237" s="4" t="s">
        <v>227</v>
      </c>
      <c r="BF237" s="8" t="s">
        <v>227</v>
      </c>
      <c r="BG237" s="7" t="s">
        <v>227</v>
      </c>
      <c r="BH237" s="7" t="s">
        <v>227</v>
      </c>
      <c r="BI237" s="7"/>
      <c r="BJ237" s="4">
        <v>5</v>
      </c>
      <c r="BK237" s="8">
        <v>117.75</v>
      </c>
      <c r="BL237" s="2" t="s">
        <v>1915</v>
      </c>
      <c r="BM237" s="7"/>
      <c r="BN237" s="7"/>
      <c r="BO237" s="4"/>
      <c r="BP237" s="8"/>
      <c r="BQ237" s="4"/>
      <c r="BR237" s="8"/>
      <c r="BS237" s="7"/>
      <c r="BT237" s="7"/>
      <c r="BU237" s="2" t="s">
        <v>1916</v>
      </c>
      <c r="BV237" s="2" t="s">
        <v>227</v>
      </c>
      <c r="BW237" s="2" t="s">
        <v>227</v>
      </c>
      <c r="BX237" s="2" t="s">
        <v>235</v>
      </c>
      <c r="BY237" s="2" t="s">
        <v>236</v>
      </c>
      <c r="BZ237" s="2" t="s">
        <v>224</v>
      </c>
      <c r="CA237" s="2" t="s">
        <v>1900</v>
      </c>
      <c r="CB237" s="2" t="s">
        <v>1297</v>
      </c>
      <c r="CC237" s="2" t="s">
        <v>239</v>
      </c>
      <c r="CD237" s="2" t="s">
        <v>227</v>
      </c>
      <c r="CE237" s="4">
        <v>128</v>
      </c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</row>
    <row r="238">
      <c r="A238" s="2" t="s">
        <v>1917</v>
      </c>
      <c r="B238" s="2" t="s">
        <v>278</v>
      </c>
      <c r="C238" s="2" t="s">
        <v>1546</v>
      </c>
      <c r="D238" s="2" t="s">
        <v>280</v>
      </c>
      <c r="E238" s="2" t="s">
        <v>281</v>
      </c>
      <c r="F238" s="2" t="s">
        <v>1894</v>
      </c>
      <c r="G238" s="2" t="s">
        <v>1894</v>
      </c>
      <c r="H238" s="2" t="s">
        <v>1894</v>
      </c>
      <c r="I238" s="2" t="s">
        <v>1895</v>
      </c>
      <c r="J238" s="2" t="s">
        <v>247</v>
      </c>
      <c r="K238" s="2" t="s">
        <v>657</v>
      </c>
      <c r="L238" s="3">
        <v>25.5</v>
      </c>
      <c r="M238" s="3">
        <v>26.78</v>
      </c>
      <c r="N238" s="3">
        <v>54.99</v>
      </c>
      <c r="O238" s="2" t="s">
        <v>224</v>
      </c>
      <c r="P238" s="2" t="s">
        <v>225</v>
      </c>
      <c r="Q238" s="2" t="s">
        <v>226</v>
      </c>
      <c r="R238" s="2" t="s">
        <v>227</v>
      </c>
      <c r="S238" s="2" t="s">
        <v>1914</v>
      </c>
      <c r="T238" s="2" t="s">
        <v>1897</v>
      </c>
      <c r="U238" s="2" t="s">
        <v>287</v>
      </c>
      <c r="V238" s="2" t="s">
        <v>230</v>
      </c>
      <c r="W238" s="2" t="s">
        <v>231</v>
      </c>
      <c r="X238" s="2" t="s">
        <v>227</v>
      </c>
      <c r="Y238" s="2" t="s">
        <v>1898</v>
      </c>
      <c r="Z238" s="4">
        <v>129</v>
      </c>
      <c r="AA238" s="4">
        <f>=ROUNDDOWN(43,0)</f>
      </c>
      <c r="AB238" s="5">
        <v>3</v>
      </c>
      <c r="AC238" s="2" t="s">
        <v>227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227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227</v>
      </c>
      <c r="AW238" s="8" t="s">
        <v>227</v>
      </c>
      <c r="AX238" s="4" t="s">
        <v>227</v>
      </c>
      <c r="AY238" s="8" t="s">
        <v>227</v>
      </c>
      <c r="AZ238" s="7" t="s">
        <v>227</v>
      </c>
      <c r="BA238" s="7" t="s">
        <v>227</v>
      </c>
      <c r="BB238" s="7"/>
      <c r="BC238" s="4" t="s">
        <v>227</v>
      </c>
      <c r="BD238" s="8" t="s">
        <v>227</v>
      </c>
      <c r="BE238" s="4" t="s">
        <v>227</v>
      </c>
      <c r="BF238" s="8" t="s">
        <v>227</v>
      </c>
      <c r="BG238" s="7" t="s">
        <v>227</v>
      </c>
      <c r="BH238" s="7" t="s">
        <v>227</v>
      </c>
      <c r="BI238" s="7"/>
      <c r="BJ238" s="4">
        <v>11</v>
      </c>
      <c r="BK238" s="8">
        <v>317.69</v>
      </c>
      <c r="BL238" s="2" t="s">
        <v>1731</v>
      </c>
      <c r="BM238" s="7"/>
      <c r="BN238" s="7"/>
      <c r="BO238" s="4"/>
      <c r="BP238" s="8"/>
      <c r="BQ238" s="4"/>
      <c r="BR238" s="8"/>
      <c r="BS238" s="7"/>
      <c r="BT238" s="7"/>
      <c r="BU238" s="2" t="s">
        <v>1918</v>
      </c>
      <c r="BV238" s="2" t="s">
        <v>227</v>
      </c>
      <c r="BW238" s="2" t="s">
        <v>227</v>
      </c>
      <c r="BX238" s="2" t="s">
        <v>235</v>
      </c>
      <c r="BY238" s="2" t="s">
        <v>236</v>
      </c>
      <c r="BZ238" s="2" t="s">
        <v>224</v>
      </c>
      <c r="CA238" s="2" t="s">
        <v>1900</v>
      </c>
      <c r="CB238" s="2" t="s">
        <v>1919</v>
      </c>
      <c r="CC238" s="2" t="s">
        <v>239</v>
      </c>
      <c r="CD238" s="2" t="s">
        <v>227</v>
      </c>
      <c r="CE238" s="4">
        <v>129</v>
      </c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</row>
    <row r="239">
      <c r="A239" s="2" t="s">
        <v>1920</v>
      </c>
      <c r="B239" s="2" t="s">
        <v>278</v>
      </c>
      <c r="C239" s="2" t="s">
        <v>1546</v>
      </c>
      <c r="D239" s="2" t="s">
        <v>280</v>
      </c>
      <c r="E239" s="2" t="s">
        <v>281</v>
      </c>
      <c r="F239" s="2" t="s">
        <v>1894</v>
      </c>
      <c r="G239" s="2" t="s">
        <v>1894</v>
      </c>
      <c r="H239" s="2" t="s">
        <v>1894</v>
      </c>
      <c r="I239" s="2" t="s">
        <v>1895</v>
      </c>
      <c r="J239" s="2" t="s">
        <v>257</v>
      </c>
      <c r="K239" s="2" t="s">
        <v>657</v>
      </c>
      <c r="L239" s="3">
        <v>32.5</v>
      </c>
      <c r="M239" s="3">
        <v>34.13</v>
      </c>
      <c r="N239" s="3">
        <v>69.99</v>
      </c>
      <c r="O239" s="2" t="s">
        <v>224</v>
      </c>
      <c r="P239" s="2" t="s">
        <v>225</v>
      </c>
      <c r="Q239" s="2" t="s">
        <v>226</v>
      </c>
      <c r="R239" s="2" t="s">
        <v>227</v>
      </c>
      <c r="S239" s="2" t="s">
        <v>1914</v>
      </c>
      <c r="T239" s="2" t="s">
        <v>1897</v>
      </c>
      <c r="U239" s="2" t="s">
        <v>287</v>
      </c>
      <c r="V239" s="2" t="s">
        <v>230</v>
      </c>
      <c r="W239" s="2" t="s">
        <v>231</v>
      </c>
      <c r="X239" s="2" t="s">
        <v>227</v>
      </c>
      <c r="Y239" s="2" t="s">
        <v>1898</v>
      </c>
      <c r="Z239" s="4">
        <v>82</v>
      </c>
      <c r="AA239" s="4">
        <f>=ROUNDDOWN(26.4516129032258,0)</f>
      </c>
      <c r="AB239" s="5">
        <v>3.1</v>
      </c>
      <c r="AC239" s="2" t="s">
        <v>227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227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227</v>
      </c>
      <c r="AW239" s="8" t="s">
        <v>227</v>
      </c>
      <c r="AX239" s="4" t="s">
        <v>227</v>
      </c>
      <c r="AY239" s="8" t="s">
        <v>227</v>
      </c>
      <c r="AZ239" s="7" t="s">
        <v>227</v>
      </c>
      <c r="BA239" s="7" t="s">
        <v>227</v>
      </c>
      <c r="BB239" s="7"/>
      <c r="BC239" s="4" t="s">
        <v>227</v>
      </c>
      <c r="BD239" s="8" t="s">
        <v>227</v>
      </c>
      <c r="BE239" s="4" t="s">
        <v>227</v>
      </c>
      <c r="BF239" s="8" t="s">
        <v>227</v>
      </c>
      <c r="BG239" s="7" t="s">
        <v>227</v>
      </c>
      <c r="BH239" s="7" t="s">
        <v>227</v>
      </c>
      <c r="BI239" s="7"/>
      <c r="BJ239" s="4">
        <v>14</v>
      </c>
      <c r="BK239" s="8">
        <v>503.68</v>
      </c>
      <c r="BL239" s="2" t="s">
        <v>1921</v>
      </c>
      <c r="BM239" s="7"/>
      <c r="BN239" s="7"/>
      <c r="BO239" s="4"/>
      <c r="BP239" s="8"/>
      <c r="BQ239" s="4"/>
      <c r="BR239" s="8"/>
      <c r="BS239" s="7"/>
      <c r="BT239" s="7"/>
      <c r="BU239" s="2" t="s">
        <v>1922</v>
      </c>
      <c r="BV239" s="2" t="s">
        <v>227</v>
      </c>
      <c r="BW239" s="2" t="s">
        <v>227</v>
      </c>
      <c r="BX239" s="2" t="s">
        <v>235</v>
      </c>
      <c r="BY239" s="2" t="s">
        <v>236</v>
      </c>
      <c r="BZ239" s="2" t="s">
        <v>224</v>
      </c>
      <c r="CA239" s="2" t="s">
        <v>1900</v>
      </c>
      <c r="CB239" s="2" t="s">
        <v>490</v>
      </c>
      <c r="CC239" s="2" t="s">
        <v>239</v>
      </c>
      <c r="CD239" s="2" t="s">
        <v>227</v>
      </c>
      <c r="CE239" s="4">
        <v>82</v>
      </c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</row>
    <row r="240">
      <c r="A240" s="2" t="s">
        <v>1923</v>
      </c>
      <c r="B240" s="2" t="s">
        <v>715</v>
      </c>
      <c r="C240" s="2" t="s">
        <v>360</v>
      </c>
      <c r="D240" s="2" t="s">
        <v>716</v>
      </c>
      <c r="E240" s="2" t="s">
        <v>1924</v>
      </c>
      <c r="F240" s="2" t="s">
        <v>1925</v>
      </c>
      <c r="G240" s="2" t="s">
        <v>1926</v>
      </c>
      <c r="H240" s="2" t="s">
        <v>1927</v>
      </c>
      <c r="I240" s="2" t="s">
        <v>1928</v>
      </c>
      <c r="J240" s="2" t="s">
        <v>1929</v>
      </c>
      <c r="K240" s="2" t="s">
        <v>363</v>
      </c>
      <c r="L240" s="3">
        <v>29.25</v>
      </c>
      <c r="M240" s="3">
        <v>30.71</v>
      </c>
      <c r="N240" s="3">
        <v>64.99</v>
      </c>
      <c r="O240" s="2" t="s">
        <v>224</v>
      </c>
      <c r="P240" s="2" t="s">
        <v>225</v>
      </c>
      <c r="Q240" s="2" t="s">
        <v>226</v>
      </c>
      <c r="R240" s="2" t="s">
        <v>227</v>
      </c>
      <c r="S240" s="2" t="s">
        <v>1930</v>
      </c>
      <c r="T240" s="2" t="s">
        <v>375</v>
      </c>
      <c r="U240" s="2" t="s">
        <v>552</v>
      </c>
      <c r="V240" s="2" t="s">
        <v>230</v>
      </c>
      <c r="W240" s="2" t="s">
        <v>836</v>
      </c>
      <c r="X240" s="2" t="s">
        <v>227</v>
      </c>
      <c r="Y240" s="2" t="s">
        <v>1931</v>
      </c>
      <c r="Z240" s="4">
        <v>105</v>
      </c>
      <c r="AA240" s="4">
        <f>=ROUNDDOWN(13.125,0)</f>
      </c>
      <c r="AB240" s="5">
        <v>8</v>
      </c>
      <c r="AC240" s="2" t="s">
        <v>182</v>
      </c>
      <c r="AD240" s="4">
        <v>120</v>
      </c>
      <c r="AE240" s="4">
        <v>282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227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227</v>
      </c>
      <c r="AW240" s="8" t="s">
        <v>227</v>
      </c>
      <c r="AX240" s="4" t="s">
        <v>227</v>
      </c>
      <c r="AY240" s="8" t="s">
        <v>227</v>
      </c>
      <c r="AZ240" s="7" t="s">
        <v>227</v>
      </c>
      <c r="BA240" s="7" t="s">
        <v>227</v>
      </c>
      <c r="BB240" s="7"/>
      <c r="BC240" s="4" t="s">
        <v>227</v>
      </c>
      <c r="BD240" s="8" t="s">
        <v>227</v>
      </c>
      <c r="BE240" s="4" t="s">
        <v>227</v>
      </c>
      <c r="BF240" s="8" t="s">
        <v>227</v>
      </c>
      <c r="BG240" s="7" t="s">
        <v>227</v>
      </c>
      <c r="BH240" s="7" t="s">
        <v>227</v>
      </c>
      <c r="BI240" s="7"/>
      <c r="BJ240" s="4">
        <v>32</v>
      </c>
      <c r="BK240" s="8">
        <v>1055.03</v>
      </c>
      <c r="BL240" s="2" t="s">
        <v>1932</v>
      </c>
      <c r="BM240" s="7"/>
      <c r="BN240" s="7"/>
      <c r="BO240" s="4"/>
      <c r="BP240" s="8"/>
      <c r="BQ240" s="4"/>
      <c r="BR240" s="8"/>
      <c r="BS240" s="7"/>
      <c r="BT240" s="7"/>
      <c r="BU240" s="2" t="s">
        <v>1933</v>
      </c>
      <c r="BV240" s="2" t="s">
        <v>227</v>
      </c>
      <c r="BW240" s="2" t="s">
        <v>227</v>
      </c>
      <c r="BX240" s="2" t="s">
        <v>235</v>
      </c>
      <c r="BY240" s="2" t="s">
        <v>236</v>
      </c>
      <c r="BZ240" s="2" t="s">
        <v>224</v>
      </c>
      <c r="CA240" s="2" t="s">
        <v>1934</v>
      </c>
      <c r="CB240" s="2" t="s">
        <v>1935</v>
      </c>
      <c r="CC240" s="2" t="s">
        <v>239</v>
      </c>
      <c r="CD240" s="2" t="s">
        <v>227</v>
      </c>
      <c r="CE240" s="4">
        <v>105</v>
      </c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>
        <v>120</v>
      </c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>
        <v>162</v>
      </c>
    </row>
    <row r="241">
      <c r="A241" s="2" t="s">
        <v>1936</v>
      </c>
      <c r="B241" s="2" t="s">
        <v>715</v>
      </c>
      <c r="C241" s="2" t="s">
        <v>360</v>
      </c>
      <c r="D241" s="2" t="s">
        <v>716</v>
      </c>
      <c r="E241" s="2" t="s">
        <v>1924</v>
      </c>
      <c r="F241" s="2" t="s">
        <v>1925</v>
      </c>
      <c r="G241" s="2" t="s">
        <v>1926</v>
      </c>
      <c r="H241" s="2" t="s">
        <v>1927</v>
      </c>
      <c r="I241" s="2" t="s">
        <v>1928</v>
      </c>
      <c r="J241" s="2" t="s">
        <v>1937</v>
      </c>
      <c r="K241" s="2" t="s">
        <v>363</v>
      </c>
      <c r="L241" s="3">
        <v>38.4</v>
      </c>
      <c r="M241" s="3">
        <v>40.32</v>
      </c>
      <c r="N241" s="3">
        <v>79.99</v>
      </c>
      <c r="O241" s="2" t="s">
        <v>224</v>
      </c>
      <c r="P241" s="2" t="s">
        <v>225</v>
      </c>
      <c r="Q241" s="2" t="s">
        <v>226</v>
      </c>
      <c r="R241" s="2" t="s">
        <v>227</v>
      </c>
      <c r="S241" s="2" t="s">
        <v>1930</v>
      </c>
      <c r="T241" s="2" t="s">
        <v>375</v>
      </c>
      <c r="U241" s="2" t="s">
        <v>552</v>
      </c>
      <c r="V241" s="2" t="s">
        <v>230</v>
      </c>
      <c r="W241" s="2" t="s">
        <v>836</v>
      </c>
      <c r="X241" s="2" t="s">
        <v>227</v>
      </c>
      <c r="Y241" s="2" t="s">
        <v>1931</v>
      </c>
      <c r="Z241" s="4">
        <v>348</v>
      </c>
      <c r="AA241" s="4">
        <f>=ROUNDDOWN(43.5,0)</f>
      </c>
      <c r="AB241" s="5">
        <v>8</v>
      </c>
      <c r="AC241" s="2" t="s">
        <v>1938</v>
      </c>
      <c r="AD241" s="4">
        <v>84</v>
      </c>
      <c r="AE241" s="4">
        <v>84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227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227</v>
      </c>
      <c r="AW241" s="8" t="s">
        <v>227</v>
      </c>
      <c r="AX241" s="4" t="s">
        <v>227</v>
      </c>
      <c r="AY241" s="8" t="s">
        <v>227</v>
      </c>
      <c r="AZ241" s="7" t="s">
        <v>227</v>
      </c>
      <c r="BA241" s="7" t="s">
        <v>227</v>
      </c>
      <c r="BB241" s="7"/>
      <c r="BC241" s="4" t="s">
        <v>227</v>
      </c>
      <c r="BD241" s="8" t="s">
        <v>227</v>
      </c>
      <c r="BE241" s="4" t="s">
        <v>227</v>
      </c>
      <c r="BF241" s="8" t="s">
        <v>227</v>
      </c>
      <c r="BG241" s="7" t="s">
        <v>227</v>
      </c>
      <c r="BH241" s="7" t="s">
        <v>227</v>
      </c>
      <c r="BI241" s="7"/>
      <c r="BJ241" s="4">
        <v>20</v>
      </c>
      <c r="BK241" s="8">
        <v>837.76</v>
      </c>
      <c r="BL241" s="2" t="s">
        <v>1939</v>
      </c>
      <c r="BM241" s="7"/>
      <c r="BN241" s="7"/>
      <c r="BO241" s="4"/>
      <c r="BP241" s="8"/>
      <c r="BQ241" s="4"/>
      <c r="BR241" s="8"/>
      <c r="BS241" s="7"/>
      <c r="BT241" s="7"/>
      <c r="BU241" s="2" t="s">
        <v>1940</v>
      </c>
      <c r="BV241" s="2" t="s">
        <v>227</v>
      </c>
      <c r="BW241" s="2" t="s">
        <v>227</v>
      </c>
      <c r="BX241" s="2" t="s">
        <v>235</v>
      </c>
      <c r="BY241" s="2" t="s">
        <v>236</v>
      </c>
      <c r="BZ241" s="2" t="s">
        <v>224</v>
      </c>
      <c r="CA241" s="2" t="s">
        <v>1934</v>
      </c>
      <c r="CB241" s="2" t="s">
        <v>1941</v>
      </c>
      <c r="CC241" s="2" t="s">
        <v>239</v>
      </c>
      <c r="CD241" s="2" t="s">
        <v>227</v>
      </c>
      <c r="CE241" s="4">
        <v>168</v>
      </c>
      <c r="CF241" s="4"/>
      <c r="CG241" s="4"/>
      <c r="CH241" s="4"/>
      <c r="CI241" s="4"/>
      <c r="CJ241" s="4"/>
      <c r="CK241" s="4">
        <v>180</v>
      </c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>
        <v>84</v>
      </c>
    </row>
    <row r="242">
      <c r="A242" s="2" t="s">
        <v>1942</v>
      </c>
      <c r="B242" s="2" t="s">
        <v>715</v>
      </c>
      <c r="C242" s="2" t="s">
        <v>360</v>
      </c>
      <c r="D242" s="2" t="s">
        <v>716</v>
      </c>
      <c r="E242" s="2" t="s">
        <v>1924</v>
      </c>
      <c r="F242" s="2" t="s">
        <v>1925</v>
      </c>
      <c r="G242" s="2" t="s">
        <v>1926</v>
      </c>
      <c r="H242" s="2" t="s">
        <v>1927</v>
      </c>
      <c r="I242" s="2" t="s">
        <v>1928</v>
      </c>
      <c r="J242" s="2" t="s">
        <v>1929</v>
      </c>
      <c r="K242" s="2" t="s">
        <v>1067</v>
      </c>
      <c r="L242" s="3">
        <v>29.25</v>
      </c>
      <c r="M242" s="3">
        <v>30.71</v>
      </c>
      <c r="N242" s="3">
        <v>64.99</v>
      </c>
      <c r="O242" s="2" t="s">
        <v>224</v>
      </c>
      <c r="P242" s="2" t="s">
        <v>225</v>
      </c>
      <c r="Q242" s="2" t="s">
        <v>226</v>
      </c>
      <c r="R242" s="2" t="s">
        <v>227</v>
      </c>
      <c r="S242" s="2" t="s">
        <v>1943</v>
      </c>
      <c r="T242" s="2" t="s">
        <v>375</v>
      </c>
      <c r="U242" s="2" t="s">
        <v>552</v>
      </c>
      <c r="V242" s="2" t="s">
        <v>230</v>
      </c>
      <c r="W242" s="2" t="s">
        <v>836</v>
      </c>
      <c r="X242" s="2" t="s">
        <v>227</v>
      </c>
      <c r="Y242" s="2" t="s">
        <v>1931</v>
      </c>
      <c r="Z242" s="4">
        <v>100</v>
      </c>
      <c r="AA242" s="4">
        <f>=ROUNDDOWN(20,0)</f>
      </c>
      <c r="AB242" s="5">
        <v>5</v>
      </c>
      <c r="AC242" s="2" t="s">
        <v>182</v>
      </c>
      <c r="AD242" s="4">
        <v>90</v>
      </c>
      <c r="AE242" s="4">
        <v>162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227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227</v>
      </c>
      <c r="AW242" s="8" t="s">
        <v>227</v>
      </c>
      <c r="AX242" s="4" t="s">
        <v>227</v>
      </c>
      <c r="AY242" s="8" t="s">
        <v>227</v>
      </c>
      <c r="AZ242" s="7" t="s">
        <v>227</v>
      </c>
      <c r="BA242" s="7" t="s">
        <v>227</v>
      </c>
      <c r="BB242" s="7"/>
      <c r="BC242" s="4" t="s">
        <v>227</v>
      </c>
      <c r="BD242" s="8" t="s">
        <v>227</v>
      </c>
      <c r="BE242" s="4" t="s">
        <v>227</v>
      </c>
      <c r="BF242" s="8" t="s">
        <v>227</v>
      </c>
      <c r="BG242" s="7" t="s">
        <v>227</v>
      </c>
      <c r="BH242" s="7" t="s">
        <v>227</v>
      </c>
      <c r="BI242" s="7"/>
      <c r="BJ242" s="4">
        <v>14</v>
      </c>
      <c r="BK242" s="8">
        <v>453.44</v>
      </c>
      <c r="BL242" s="2" t="s">
        <v>1944</v>
      </c>
      <c r="BM242" s="7"/>
      <c r="BN242" s="7"/>
      <c r="BO242" s="4"/>
      <c r="BP242" s="8"/>
      <c r="BQ242" s="4"/>
      <c r="BR242" s="8"/>
      <c r="BS242" s="7"/>
      <c r="BT242" s="7"/>
      <c r="BU242" s="2" t="s">
        <v>1945</v>
      </c>
      <c r="BV242" s="2" t="s">
        <v>227</v>
      </c>
      <c r="BW242" s="2" t="s">
        <v>227</v>
      </c>
      <c r="BX242" s="2" t="s">
        <v>235</v>
      </c>
      <c r="BY242" s="2" t="s">
        <v>236</v>
      </c>
      <c r="BZ242" s="2" t="s">
        <v>224</v>
      </c>
      <c r="CA242" s="2" t="s">
        <v>1934</v>
      </c>
      <c r="CB242" s="2" t="s">
        <v>1946</v>
      </c>
      <c r="CC242" s="2" t="s">
        <v>239</v>
      </c>
      <c r="CD242" s="2" t="s">
        <v>227</v>
      </c>
      <c r="CE242" s="4">
        <v>100</v>
      </c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>
        <v>90</v>
      </c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>
        <v>72</v>
      </c>
    </row>
    <row r="243">
      <c r="A243" s="2" t="s">
        <v>1947</v>
      </c>
      <c r="B243" s="2" t="s">
        <v>715</v>
      </c>
      <c r="C243" s="2" t="s">
        <v>360</v>
      </c>
      <c r="D243" s="2" t="s">
        <v>716</v>
      </c>
      <c r="E243" s="2" t="s">
        <v>1924</v>
      </c>
      <c r="F243" s="2" t="s">
        <v>1925</v>
      </c>
      <c r="G243" s="2" t="s">
        <v>1926</v>
      </c>
      <c r="H243" s="2" t="s">
        <v>1927</v>
      </c>
      <c r="I243" s="2" t="s">
        <v>1928</v>
      </c>
      <c r="J243" s="2" t="s">
        <v>1937</v>
      </c>
      <c r="K243" s="2" t="s">
        <v>1067</v>
      </c>
      <c r="L243" s="3">
        <v>38.4</v>
      </c>
      <c r="M243" s="3">
        <v>40.32</v>
      </c>
      <c r="N243" s="3">
        <v>79.99</v>
      </c>
      <c r="O243" s="2" t="s">
        <v>224</v>
      </c>
      <c r="P243" s="2" t="s">
        <v>225</v>
      </c>
      <c r="Q243" s="2" t="s">
        <v>226</v>
      </c>
      <c r="R243" s="2" t="s">
        <v>227</v>
      </c>
      <c r="S243" s="2" t="s">
        <v>1943</v>
      </c>
      <c r="T243" s="2" t="s">
        <v>375</v>
      </c>
      <c r="U243" s="2" t="s">
        <v>552</v>
      </c>
      <c r="V243" s="2" t="s">
        <v>230</v>
      </c>
      <c r="W243" s="2" t="s">
        <v>836</v>
      </c>
      <c r="X243" s="2" t="s">
        <v>227</v>
      </c>
      <c r="Y243" s="2" t="s">
        <v>1931</v>
      </c>
      <c r="Z243" s="4">
        <v>51</v>
      </c>
      <c r="AA243" s="4">
        <f>=ROUNDDOWN(8.5,0)</f>
      </c>
      <c r="AB243" s="5">
        <v>6</v>
      </c>
      <c r="AC243" s="2" t="s">
        <v>182</v>
      </c>
      <c r="AD243" s="4">
        <v>84</v>
      </c>
      <c r="AE243" s="4">
        <v>144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227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227</v>
      </c>
      <c r="AW243" s="8" t="s">
        <v>227</v>
      </c>
      <c r="AX243" s="4" t="s">
        <v>227</v>
      </c>
      <c r="AY243" s="8" t="s">
        <v>227</v>
      </c>
      <c r="AZ243" s="7" t="s">
        <v>227</v>
      </c>
      <c r="BA243" s="7" t="s">
        <v>227</v>
      </c>
      <c r="BB243" s="7"/>
      <c r="BC243" s="4" t="s">
        <v>227</v>
      </c>
      <c r="BD243" s="8" t="s">
        <v>227</v>
      </c>
      <c r="BE243" s="4" t="s">
        <v>227</v>
      </c>
      <c r="BF243" s="8" t="s">
        <v>227</v>
      </c>
      <c r="BG243" s="7" t="s">
        <v>227</v>
      </c>
      <c r="BH243" s="7" t="s">
        <v>227</v>
      </c>
      <c r="BI243" s="7"/>
      <c r="BJ243" s="4">
        <v>27</v>
      </c>
      <c r="BK243" s="8">
        <v>1184.62</v>
      </c>
      <c r="BL243" s="2" t="s">
        <v>1948</v>
      </c>
      <c r="BM243" s="7"/>
      <c r="BN243" s="7"/>
      <c r="BO243" s="4"/>
      <c r="BP243" s="8"/>
      <c r="BQ243" s="4"/>
      <c r="BR243" s="8"/>
      <c r="BS243" s="7"/>
      <c r="BT243" s="7"/>
      <c r="BU243" s="2" t="s">
        <v>1949</v>
      </c>
      <c r="BV243" s="2" t="s">
        <v>227</v>
      </c>
      <c r="BW243" s="2" t="s">
        <v>227</v>
      </c>
      <c r="BX243" s="2" t="s">
        <v>235</v>
      </c>
      <c r="BY243" s="2" t="s">
        <v>236</v>
      </c>
      <c r="BZ243" s="2" t="s">
        <v>224</v>
      </c>
      <c r="CA243" s="2" t="s">
        <v>1934</v>
      </c>
      <c r="CB243" s="2" t="s">
        <v>1950</v>
      </c>
      <c r="CC243" s="2" t="s">
        <v>239</v>
      </c>
      <c r="CD243" s="2" t="s">
        <v>227</v>
      </c>
      <c r="CE243" s="4">
        <v>51</v>
      </c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>
        <v>84</v>
      </c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>
        <v>60</v>
      </c>
    </row>
    <row r="244">
      <c r="A244" s="2" t="s">
        <v>1951</v>
      </c>
      <c r="B244" s="2" t="s">
        <v>1001</v>
      </c>
      <c r="C244" s="2" t="s">
        <v>1139</v>
      </c>
      <c r="D244" s="2" t="s">
        <v>1952</v>
      </c>
      <c r="E244" s="2" t="s">
        <v>1953</v>
      </c>
      <c r="F244" s="2" t="s">
        <v>1954</v>
      </c>
      <c r="G244" s="2" t="s">
        <v>1954</v>
      </c>
      <c r="H244" s="2" t="s">
        <v>1954</v>
      </c>
      <c r="I244" s="2" t="s">
        <v>1955</v>
      </c>
      <c r="J244" s="2" t="s">
        <v>548</v>
      </c>
      <c r="K244" s="2" t="s">
        <v>565</v>
      </c>
      <c r="L244" s="3">
        <v>74.1</v>
      </c>
      <c r="M244" s="3">
        <v>77.8</v>
      </c>
      <c r="N244" s="3">
        <v>164.99</v>
      </c>
      <c r="O244" s="2" t="s">
        <v>224</v>
      </c>
      <c r="P244" s="2" t="s">
        <v>225</v>
      </c>
      <c r="Q244" s="2" t="s">
        <v>226</v>
      </c>
      <c r="R244" s="2" t="s">
        <v>227</v>
      </c>
      <c r="S244" s="2" t="s">
        <v>227</v>
      </c>
      <c r="T244" s="2" t="s">
        <v>227</v>
      </c>
      <c r="U244" s="2" t="s">
        <v>1044</v>
      </c>
      <c r="V244" s="2" t="s">
        <v>566</v>
      </c>
      <c r="W244" s="2" t="s">
        <v>506</v>
      </c>
      <c r="X244" s="2" t="s">
        <v>581</v>
      </c>
      <c r="Y244" s="2" t="s">
        <v>1956</v>
      </c>
      <c r="Z244" s="4">
        <v>42</v>
      </c>
      <c r="AA244" s="4">
        <f>=ROUNDDOWN(21,0)</f>
      </c>
      <c r="AB244" s="5">
        <v>2</v>
      </c>
      <c r="AC244" s="2" t="s">
        <v>1957</v>
      </c>
      <c r="AD244" s="4">
        <v>100</v>
      </c>
      <c r="AE244" s="4">
        <v>100</v>
      </c>
      <c r="AF244" s="6">
        <v>63</v>
      </c>
      <c r="AG244" s="6"/>
      <c r="AH244" s="7">
        <v>1</v>
      </c>
      <c r="AI244" s="4"/>
      <c r="AJ244" s="4">
        <f>=ROUNDDOWN({0},0)</f>
      </c>
      <c r="AK244" s="5"/>
      <c r="AL244" s="2" t="s">
        <v>227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/>
      <c r="BD244" s="8"/>
      <c r="BE244" s="4"/>
      <c r="BF244" s="8"/>
      <c r="BG244" s="7"/>
      <c r="BH244" s="7"/>
      <c r="BI244" s="7"/>
      <c r="BJ244" s="4">
        <v>4</v>
      </c>
      <c r="BK244" s="8">
        <v>305.79</v>
      </c>
      <c r="BL244" s="2" t="s">
        <v>1518</v>
      </c>
      <c r="BM244" s="7"/>
      <c r="BN244" s="7"/>
      <c r="BO244" s="4"/>
      <c r="BP244" s="8"/>
      <c r="BQ244" s="4"/>
      <c r="BR244" s="8"/>
      <c r="BS244" s="7"/>
      <c r="BT244" s="7"/>
      <c r="BU244" s="2" t="s">
        <v>1958</v>
      </c>
      <c r="BV244" s="2" t="s">
        <v>227</v>
      </c>
      <c r="BW244" s="2" t="s">
        <v>227</v>
      </c>
      <c r="BX244" s="2" t="s">
        <v>235</v>
      </c>
      <c r="BY244" s="2" t="s">
        <v>236</v>
      </c>
      <c r="BZ244" s="2" t="s">
        <v>224</v>
      </c>
      <c r="CA244" s="2" t="s">
        <v>1959</v>
      </c>
      <c r="CB244" s="2" t="s">
        <v>1960</v>
      </c>
      <c r="CC244" s="2" t="s">
        <v>239</v>
      </c>
      <c r="CD244" s="2" t="s">
        <v>227</v>
      </c>
      <c r="CE244" s="4"/>
      <c r="CF244" s="4">
        <v>42</v>
      </c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>
        <v>100</v>
      </c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</row>
    <row r="245">
      <c r="A245" s="2" t="s">
        <v>1961</v>
      </c>
      <c r="B245" s="2" t="s">
        <v>697</v>
      </c>
      <c r="C245" s="2" t="s">
        <v>1962</v>
      </c>
      <c r="D245" s="2" t="s">
        <v>1963</v>
      </c>
      <c r="E245" s="2" t="s">
        <v>1964</v>
      </c>
      <c r="F245" s="2" t="s">
        <v>1965</v>
      </c>
      <c r="G245" s="2" t="s">
        <v>1965</v>
      </c>
      <c r="H245" s="2" t="s">
        <v>1965</v>
      </c>
      <c r="I245" s="2" t="s">
        <v>1966</v>
      </c>
      <c r="J245" s="2" t="s">
        <v>222</v>
      </c>
      <c r="K245" s="2" t="s">
        <v>264</v>
      </c>
      <c r="L245" s="3">
        <v>42.85</v>
      </c>
      <c r="M245" s="3">
        <v>44.99</v>
      </c>
      <c r="N245" s="3">
        <v>89.99</v>
      </c>
      <c r="O245" s="2" t="s">
        <v>224</v>
      </c>
      <c r="P245" s="2" t="s">
        <v>225</v>
      </c>
      <c r="Q245" s="2" t="s">
        <v>226</v>
      </c>
      <c r="R245" s="2" t="s">
        <v>227</v>
      </c>
      <c r="S245" s="2" t="s">
        <v>1967</v>
      </c>
      <c r="T245" s="2" t="s">
        <v>227</v>
      </c>
      <c r="U245" s="2" t="s">
        <v>552</v>
      </c>
      <c r="V245" s="2" t="s">
        <v>230</v>
      </c>
      <c r="W245" s="2" t="s">
        <v>231</v>
      </c>
      <c r="X245" s="2" t="s">
        <v>227</v>
      </c>
      <c r="Y245" s="2" t="s">
        <v>1289</v>
      </c>
      <c r="Z245" s="4">
        <v>190</v>
      </c>
      <c r="AA245" s="4">
        <f>=ROUNDDOWN(15.8333333333333,0)</f>
      </c>
      <c r="AB245" s="5">
        <v>12</v>
      </c>
      <c r="AC245" s="2" t="s">
        <v>583</v>
      </c>
      <c r="AD245" s="4">
        <v>180</v>
      </c>
      <c r="AE245" s="4">
        <v>420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227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227</v>
      </c>
      <c r="AW245" s="8" t="s">
        <v>227</v>
      </c>
      <c r="AX245" s="4" t="s">
        <v>227</v>
      </c>
      <c r="AY245" s="8" t="s">
        <v>227</v>
      </c>
      <c r="AZ245" s="7" t="s">
        <v>227</v>
      </c>
      <c r="BA245" s="7" t="s">
        <v>227</v>
      </c>
      <c r="BB245" s="7"/>
      <c r="BC245" s="4" t="s">
        <v>227</v>
      </c>
      <c r="BD245" s="8" t="s">
        <v>227</v>
      </c>
      <c r="BE245" s="4" t="s">
        <v>227</v>
      </c>
      <c r="BF245" s="8" t="s">
        <v>227</v>
      </c>
      <c r="BG245" s="7" t="s">
        <v>227</v>
      </c>
      <c r="BH245" s="7" t="s">
        <v>227</v>
      </c>
      <c r="BI245" s="7"/>
      <c r="BJ245" s="4">
        <v>2</v>
      </c>
      <c r="BK245" s="8">
        <v>96.52</v>
      </c>
      <c r="BL245" s="2" t="s">
        <v>1968</v>
      </c>
      <c r="BM245" s="7"/>
      <c r="BN245" s="7"/>
      <c r="BO245" s="4"/>
      <c r="BP245" s="8"/>
      <c r="BQ245" s="4"/>
      <c r="BR245" s="8"/>
      <c r="BS245" s="7"/>
      <c r="BT245" s="7"/>
      <c r="BU245" s="2" t="s">
        <v>1969</v>
      </c>
      <c r="BV245" s="2" t="s">
        <v>227</v>
      </c>
      <c r="BW245" s="2" t="s">
        <v>227</v>
      </c>
      <c r="BX245" s="2" t="s">
        <v>235</v>
      </c>
      <c r="BY245" s="2" t="s">
        <v>236</v>
      </c>
      <c r="BZ245" s="2" t="s">
        <v>224</v>
      </c>
      <c r="CA245" s="2" t="s">
        <v>1529</v>
      </c>
      <c r="CB245" s="2" t="s">
        <v>789</v>
      </c>
      <c r="CC245" s="2" t="s">
        <v>239</v>
      </c>
      <c r="CD245" s="2" t="s">
        <v>227</v>
      </c>
      <c r="CE245" s="4">
        <v>190</v>
      </c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>
        <v>180</v>
      </c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>
        <v>240</v>
      </c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</row>
    <row r="246">
      <c r="A246" s="2" t="s">
        <v>1970</v>
      </c>
      <c r="B246" s="2" t="s">
        <v>697</v>
      </c>
      <c r="C246" s="2" t="s">
        <v>1962</v>
      </c>
      <c r="D246" s="2" t="s">
        <v>1963</v>
      </c>
      <c r="E246" s="2" t="s">
        <v>1964</v>
      </c>
      <c r="F246" s="2" t="s">
        <v>1965</v>
      </c>
      <c r="G246" s="2" t="s">
        <v>1965</v>
      </c>
      <c r="H246" s="2" t="s">
        <v>1965</v>
      </c>
      <c r="I246" s="2" t="s">
        <v>1966</v>
      </c>
      <c r="J246" s="2" t="s">
        <v>247</v>
      </c>
      <c r="K246" s="2" t="s">
        <v>264</v>
      </c>
      <c r="L246" s="3">
        <v>47.61</v>
      </c>
      <c r="M246" s="3">
        <v>49.99</v>
      </c>
      <c r="N246" s="3">
        <v>99.99</v>
      </c>
      <c r="O246" s="2" t="s">
        <v>224</v>
      </c>
      <c r="P246" s="2" t="s">
        <v>225</v>
      </c>
      <c r="Q246" s="2" t="s">
        <v>226</v>
      </c>
      <c r="R246" s="2" t="s">
        <v>227</v>
      </c>
      <c r="S246" s="2" t="s">
        <v>1967</v>
      </c>
      <c r="T246" s="2" t="s">
        <v>227</v>
      </c>
      <c r="U246" s="2" t="s">
        <v>552</v>
      </c>
      <c r="V246" s="2" t="s">
        <v>230</v>
      </c>
      <c r="W246" s="2" t="s">
        <v>231</v>
      </c>
      <c r="X246" s="2" t="s">
        <v>227</v>
      </c>
      <c r="Y246" s="2" t="s">
        <v>1289</v>
      </c>
      <c r="Z246" s="4">
        <v>380</v>
      </c>
      <c r="AA246" s="4">
        <f>=ROUNDDOWN(23.75,0)</f>
      </c>
      <c r="AB246" s="5">
        <v>16</v>
      </c>
      <c r="AC246" s="2" t="s">
        <v>583</v>
      </c>
      <c r="AD246" s="4">
        <v>240</v>
      </c>
      <c r="AE246" s="4">
        <v>610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227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227</v>
      </c>
      <c r="AW246" s="8" t="s">
        <v>227</v>
      </c>
      <c r="AX246" s="4" t="s">
        <v>227</v>
      </c>
      <c r="AY246" s="8" t="s">
        <v>227</v>
      </c>
      <c r="AZ246" s="7" t="s">
        <v>227</v>
      </c>
      <c r="BA246" s="7" t="s">
        <v>227</v>
      </c>
      <c r="BB246" s="7"/>
      <c r="BC246" s="4" t="s">
        <v>227</v>
      </c>
      <c r="BD246" s="8" t="s">
        <v>227</v>
      </c>
      <c r="BE246" s="4" t="s">
        <v>227</v>
      </c>
      <c r="BF246" s="8" t="s">
        <v>227</v>
      </c>
      <c r="BG246" s="7" t="s">
        <v>227</v>
      </c>
      <c r="BH246" s="7" t="s">
        <v>227</v>
      </c>
      <c r="BI246" s="7"/>
      <c r="BJ246" s="4">
        <v>3</v>
      </c>
      <c r="BK246" s="8">
        <v>158.97</v>
      </c>
      <c r="BL246" s="2" t="s">
        <v>1971</v>
      </c>
      <c r="BM246" s="7"/>
      <c r="BN246" s="7"/>
      <c r="BO246" s="4"/>
      <c r="BP246" s="8"/>
      <c r="BQ246" s="4"/>
      <c r="BR246" s="8"/>
      <c r="BS246" s="7"/>
      <c r="BT246" s="7"/>
      <c r="BU246" s="2" t="s">
        <v>1972</v>
      </c>
      <c r="BV246" s="2" t="s">
        <v>227</v>
      </c>
      <c r="BW246" s="2" t="s">
        <v>227</v>
      </c>
      <c r="BX246" s="2" t="s">
        <v>235</v>
      </c>
      <c r="BY246" s="2" t="s">
        <v>236</v>
      </c>
      <c r="BZ246" s="2" t="s">
        <v>224</v>
      </c>
      <c r="CA246" s="2" t="s">
        <v>1529</v>
      </c>
      <c r="CB246" s="2" t="s">
        <v>1973</v>
      </c>
      <c r="CC246" s="2" t="s">
        <v>239</v>
      </c>
      <c r="CD246" s="2" t="s">
        <v>227</v>
      </c>
      <c r="CE246" s="4">
        <v>380</v>
      </c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>
        <v>240</v>
      </c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>
        <v>180</v>
      </c>
      <c r="FC246" s="4"/>
      <c r="FD246" s="4">
        <v>190</v>
      </c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</row>
    <row r="247">
      <c r="A247" s="2" t="s">
        <v>1974</v>
      </c>
      <c r="B247" s="2" t="s">
        <v>635</v>
      </c>
      <c r="C247" s="2" t="s">
        <v>636</v>
      </c>
      <c r="D247" s="2" t="s">
        <v>637</v>
      </c>
      <c r="E247" s="2" t="s">
        <v>638</v>
      </c>
      <c r="F247" s="2" t="s">
        <v>1975</v>
      </c>
      <c r="G247" s="2" t="s">
        <v>1975</v>
      </c>
      <c r="H247" s="2" t="s">
        <v>1975</v>
      </c>
      <c r="I247" s="2" t="s">
        <v>1976</v>
      </c>
      <c r="J247" s="2" t="s">
        <v>548</v>
      </c>
      <c r="K247" s="2" t="s">
        <v>827</v>
      </c>
      <c r="L247" s="3">
        <v>22.43</v>
      </c>
      <c r="M247" s="3">
        <v>23.55</v>
      </c>
      <c r="N247" s="3">
        <v>39.99</v>
      </c>
      <c r="O247" s="2" t="s">
        <v>224</v>
      </c>
      <c r="P247" s="2" t="s">
        <v>225</v>
      </c>
      <c r="Q247" s="2" t="s">
        <v>226</v>
      </c>
      <c r="R247" s="2" t="s">
        <v>227</v>
      </c>
      <c r="S247" s="2" t="s">
        <v>227</v>
      </c>
      <c r="T247" s="2" t="s">
        <v>227</v>
      </c>
      <c r="U247" s="2" t="s">
        <v>552</v>
      </c>
      <c r="V247" s="2" t="s">
        <v>566</v>
      </c>
      <c r="W247" s="2" t="s">
        <v>231</v>
      </c>
      <c r="X247" s="2" t="s">
        <v>227</v>
      </c>
      <c r="Y247" s="2" t="s">
        <v>1626</v>
      </c>
      <c r="Z247" s="4">
        <v>481</v>
      </c>
      <c r="AA247" s="4">
        <f>=ROUNDDOWN(80.1666666666667,0)</f>
      </c>
      <c r="AB247" s="5">
        <v>6</v>
      </c>
      <c r="AC247" s="2" t="s">
        <v>227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227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/>
      <c r="AW247" s="8"/>
      <c r="AX247" s="4"/>
      <c r="AY247" s="8"/>
      <c r="AZ247" s="7"/>
      <c r="BA247" s="7"/>
      <c r="BB247" s="7"/>
      <c r="BC247" s="4"/>
      <c r="BD247" s="8"/>
      <c r="BE247" s="4"/>
      <c r="BF247" s="8"/>
      <c r="BG247" s="7"/>
      <c r="BH247" s="7"/>
      <c r="BI247" s="7"/>
      <c r="BJ247" s="4"/>
      <c r="BK247" s="8"/>
      <c r="BL247" s="2" t="s">
        <v>1977</v>
      </c>
      <c r="BM247" s="7"/>
      <c r="BN247" s="7"/>
      <c r="BO247" s="4"/>
      <c r="BP247" s="8"/>
      <c r="BQ247" s="4"/>
      <c r="BR247" s="8"/>
      <c r="BS247" s="7"/>
      <c r="BT247" s="7"/>
      <c r="BU247" s="2" t="s">
        <v>1978</v>
      </c>
      <c r="BV247" s="2" t="s">
        <v>227</v>
      </c>
      <c r="BW247" s="2" t="s">
        <v>227</v>
      </c>
      <c r="BX247" s="2" t="s">
        <v>235</v>
      </c>
      <c r="BY247" s="2" t="s">
        <v>236</v>
      </c>
      <c r="BZ247" s="2" t="s">
        <v>224</v>
      </c>
      <c r="CA247" s="2" t="s">
        <v>1979</v>
      </c>
      <c r="CB247" s="2" t="s">
        <v>227</v>
      </c>
      <c r="CC247" s="2" t="s">
        <v>239</v>
      </c>
      <c r="CD247" s="2" t="s">
        <v>227</v>
      </c>
      <c r="CE247" s="4"/>
      <c r="CF247" s="4">
        <v>229</v>
      </c>
      <c r="CG247" s="4"/>
      <c r="CH247" s="4">
        <v>252</v>
      </c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</row>
    <row r="248">
      <c r="A248" s="2" t="s">
        <v>1980</v>
      </c>
      <c r="B248" s="2" t="s">
        <v>697</v>
      </c>
      <c r="C248" s="2" t="s">
        <v>1981</v>
      </c>
      <c r="D248" s="2" t="s">
        <v>1982</v>
      </c>
      <c r="E248" s="2" t="s">
        <v>1983</v>
      </c>
      <c r="F248" s="2" t="s">
        <v>1984</v>
      </c>
      <c r="G248" s="2" t="s">
        <v>1984</v>
      </c>
      <c r="H248" s="2" t="s">
        <v>1984</v>
      </c>
      <c r="I248" s="2" t="s">
        <v>1985</v>
      </c>
      <c r="J248" s="2" t="s">
        <v>222</v>
      </c>
      <c r="K248" s="2" t="s">
        <v>223</v>
      </c>
      <c r="L248" s="3">
        <v>45.23</v>
      </c>
      <c r="M248" s="3">
        <v>47.49</v>
      </c>
      <c r="N248" s="3">
        <v>94.99</v>
      </c>
      <c r="O248" s="2" t="s">
        <v>224</v>
      </c>
      <c r="P248" s="2" t="s">
        <v>225</v>
      </c>
      <c r="Q248" s="2" t="s">
        <v>226</v>
      </c>
      <c r="R248" s="2" t="s">
        <v>227</v>
      </c>
      <c r="S248" s="2" t="s">
        <v>1986</v>
      </c>
      <c r="T248" s="2" t="s">
        <v>1698</v>
      </c>
      <c r="U248" s="2" t="s">
        <v>552</v>
      </c>
      <c r="V248" s="2" t="s">
        <v>230</v>
      </c>
      <c r="W248" s="2" t="s">
        <v>231</v>
      </c>
      <c r="X248" s="2" t="s">
        <v>227</v>
      </c>
      <c r="Y248" s="2" t="s">
        <v>1109</v>
      </c>
      <c r="Z248" s="4">
        <v>249</v>
      </c>
      <c r="AA248" s="4">
        <f>=ROUNDDOWN(124.5,0)</f>
      </c>
      <c r="AB248" s="5">
        <v>2</v>
      </c>
      <c r="AC248" s="2" t="s">
        <v>227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227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227</v>
      </c>
      <c r="AW248" s="8" t="s">
        <v>227</v>
      </c>
      <c r="AX248" s="4" t="s">
        <v>227</v>
      </c>
      <c r="AY248" s="8" t="s">
        <v>227</v>
      </c>
      <c r="AZ248" s="7" t="s">
        <v>227</v>
      </c>
      <c r="BA248" s="7" t="s">
        <v>227</v>
      </c>
      <c r="BB248" s="7"/>
      <c r="BC248" s="4" t="s">
        <v>227</v>
      </c>
      <c r="BD248" s="8" t="s">
        <v>227</v>
      </c>
      <c r="BE248" s="4" t="s">
        <v>227</v>
      </c>
      <c r="BF248" s="8" t="s">
        <v>227</v>
      </c>
      <c r="BG248" s="7" t="s">
        <v>227</v>
      </c>
      <c r="BH248" s="7" t="s">
        <v>227</v>
      </c>
      <c r="BI248" s="7"/>
      <c r="BJ248" s="4">
        <v>2</v>
      </c>
      <c r="BK248" s="8">
        <v>99.74</v>
      </c>
      <c r="BL248" s="2" t="s">
        <v>1987</v>
      </c>
      <c r="BM248" s="7"/>
      <c r="BN248" s="7"/>
      <c r="BO248" s="4"/>
      <c r="BP248" s="8"/>
      <c r="BQ248" s="4"/>
      <c r="BR248" s="8"/>
      <c r="BS248" s="7"/>
      <c r="BT248" s="7"/>
      <c r="BU248" s="2" t="s">
        <v>1988</v>
      </c>
      <c r="BV248" s="2" t="s">
        <v>227</v>
      </c>
      <c r="BW248" s="2" t="s">
        <v>227</v>
      </c>
      <c r="BX248" s="2" t="s">
        <v>235</v>
      </c>
      <c r="BY248" s="2" t="s">
        <v>236</v>
      </c>
      <c r="BZ248" s="2" t="s">
        <v>224</v>
      </c>
      <c r="CA248" s="2" t="s">
        <v>1989</v>
      </c>
      <c r="CB248" s="2" t="s">
        <v>1612</v>
      </c>
      <c r="CC248" s="2" t="s">
        <v>239</v>
      </c>
      <c r="CD248" s="2" t="s">
        <v>227</v>
      </c>
      <c r="CE248" s="4">
        <v>249</v>
      </c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</row>
    <row r="249">
      <c r="A249" s="2" t="s">
        <v>1990</v>
      </c>
      <c r="B249" s="2" t="s">
        <v>697</v>
      </c>
      <c r="C249" s="2" t="s">
        <v>1981</v>
      </c>
      <c r="D249" s="2" t="s">
        <v>1982</v>
      </c>
      <c r="E249" s="2" t="s">
        <v>1983</v>
      </c>
      <c r="F249" s="2" t="s">
        <v>1984</v>
      </c>
      <c r="G249" s="2" t="s">
        <v>1984</v>
      </c>
      <c r="H249" s="2" t="s">
        <v>1984</v>
      </c>
      <c r="I249" s="2" t="s">
        <v>1985</v>
      </c>
      <c r="J249" s="2" t="s">
        <v>247</v>
      </c>
      <c r="K249" s="2" t="s">
        <v>223</v>
      </c>
      <c r="L249" s="3">
        <v>50</v>
      </c>
      <c r="M249" s="3">
        <v>52.5</v>
      </c>
      <c r="N249" s="3">
        <v>104.99</v>
      </c>
      <c r="O249" s="2" t="s">
        <v>224</v>
      </c>
      <c r="P249" s="2" t="s">
        <v>225</v>
      </c>
      <c r="Q249" s="2" t="s">
        <v>226</v>
      </c>
      <c r="R249" s="2" t="s">
        <v>227</v>
      </c>
      <c r="S249" s="2" t="s">
        <v>1986</v>
      </c>
      <c r="T249" s="2" t="s">
        <v>1698</v>
      </c>
      <c r="U249" s="2" t="s">
        <v>552</v>
      </c>
      <c r="V249" s="2" t="s">
        <v>230</v>
      </c>
      <c r="W249" s="2" t="s">
        <v>231</v>
      </c>
      <c r="X249" s="2" t="s">
        <v>227</v>
      </c>
      <c r="Y249" s="2" t="s">
        <v>1991</v>
      </c>
      <c r="Z249" s="4">
        <v>224</v>
      </c>
      <c r="AA249" s="4">
        <f>=ROUNDDOWN(56,0)</f>
      </c>
      <c r="AB249" s="5">
        <v>4</v>
      </c>
      <c r="AC249" s="2" t="s">
        <v>227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227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227</v>
      </c>
      <c r="AW249" s="8" t="s">
        <v>227</v>
      </c>
      <c r="AX249" s="4" t="s">
        <v>227</v>
      </c>
      <c r="AY249" s="8" t="s">
        <v>227</v>
      </c>
      <c r="AZ249" s="7" t="s">
        <v>227</v>
      </c>
      <c r="BA249" s="7" t="s">
        <v>227</v>
      </c>
      <c r="BB249" s="7"/>
      <c r="BC249" s="4" t="s">
        <v>227</v>
      </c>
      <c r="BD249" s="8" t="s">
        <v>227</v>
      </c>
      <c r="BE249" s="4" t="s">
        <v>227</v>
      </c>
      <c r="BF249" s="8" t="s">
        <v>227</v>
      </c>
      <c r="BG249" s="7" t="s">
        <v>227</v>
      </c>
      <c r="BH249" s="7" t="s">
        <v>227</v>
      </c>
      <c r="BI249" s="7"/>
      <c r="BJ249" s="4">
        <v>1</v>
      </c>
      <c r="BK249" s="8">
        <v>55.12</v>
      </c>
      <c r="BL249" s="2" t="s">
        <v>1987</v>
      </c>
      <c r="BM249" s="7"/>
      <c r="BN249" s="7"/>
      <c r="BO249" s="4"/>
      <c r="BP249" s="8"/>
      <c r="BQ249" s="4"/>
      <c r="BR249" s="8"/>
      <c r="BS249" s="7"/>
      <c r="BT249" s="7"/>
      <c r="BU249" s="2" t="s">
        <v>1992</v>
      </c>
      <c r="BV249" s="2" t="s">
        <v>227</v>
      </c>
      <c r="BW249" s="2" t="s">
        <v>227</v>
      </c>
      <c r="BX249" s="2" t="s">
        <v>235</v>
      </c>
      <c r="BY249" s="2" t="s">
        <v>236</v>
      </c>
      <c r="BZ249" s="2" t="s">
        <v>224</v>
      </c>
      <c r="CA249" s="2" t="s">
        <v>1993</v>
      </c>
      <c r="CB249" s="2" t="s">
        <v>1994</v>
      </c>
      <c r="CC249" s="2" t="s">
        <v>239</v>
      </c>
      <c r="CD249" s="2" t="s">
        <v>227</v>
      </c>
      <c r="CE249" s="4">
        <v>224</v>
      </c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  <c r="GU249" s="4"/>
      <c r="GV249" s="4"/>
      <c r="GW249" s="4"/>
      <c r="GX249" s="4"/>
    </row>
    <row r="250">
      <c r="A250" s="2" t="s">
        <v>1995</v>
      </c>
      <c r="B250" s="2" t="s">
        <v>697</v>
      </c>
      <c r="C250" s="2" t="s">
        <v>1981</v>
      </c>
      <c r="D250" s="2" t="s">
        <v>1982</v>
      </c>
      <c r="E250" s="2" t="s">
        <v>1983</v>
      </c>
      <c r="F250" s="2" t="s">
        <v>1984</v>
      </c>
      <c r="G250" s="2" t="s">
        <v>1984</v>
      </c>
      <c r="H250" s="2" t="s">
        <v>1984</v>
      </c>
      <c r="I250" s="2" t="s">
        <v>1985</v>
      </c>
      <c r="J250" s="2" t="s">
        <v>252</v>
      </c>
      <c r="K250" s="2" t="s">
        <v>223</v>
      </c>
      <c r="L250" s="3">
        <v>71.42</v>
      </c>
      <c r="M250" s="3">
        <v>74.99</v>
      </c>
      <c r="N250" s="3">
        <v>149.99</v>
      </c>
      <c r="O250" s="2" t="s">
        <v>224</v>
      </c>
      <c r="P250" s="2" t="s">
        <v>225</v>
      </c>
      <c r="Q250" s="2" t="s">
        <v>226</v>
      </c>
      <c r="R250" s="2" t="s">
        <v>227</v>
      </c>
      <c r="S250" s="2" t="s">
        <v>1986</v>
      </c>
      <c r="T250" s="2" t="s">
        <v>1698</v>
      </c>
      <c r="U250" s="2" t="s">
        <v>552</v>
      </c>
      <c r="V250" s="2" t="s">
        <v>230</v>
      </c>
      <c r="W250" s="2" t="s">
        <v>231</v>
      </c>
      <c r="X250" s="2" t="s">
        <v>227</v>
      </c>
      <c r="Y250" s="2" t="s">
        <v>1991</v>
      </c>
      <c r="Z250" s="4">
        <v>226</v>
      </c>
      <c r="AA250" s="4">
        <f>=ROUNDDOWN(113,0)</f>
      </c>
      <c r="AB250" s="5">
        <v>2</v>
      </c>
      <c r="AC250" s="2" t="s">
        <v>227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227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227</v>
      </c>
      <c r="AW250" s="8" t="s">
        <v>227</v>
      </c>
      <c r="AX250" s="4" t="s">
        <v>227</v>
      </c>
      <c r="AY250" s="8" t="s">
        <v>227</v>
      </c>
      <c r="AZ250" s="7" t="s">
        <v>227</v>
      </c>
      <c r="BA250" s="7" t="s">
        <v>227</v>
      </c>
      <c r="BB250" s="7"/>
      <c r="BC250" s="4" t="s">
        <v>227</v>
      </c>
      <c r="BD250" s="8" t="s">
        <v>227</v>
      </c>
      <c r="BE250" s="4" t="s">
        <v>227</v>
      </c>
      <c r="BF250" s="8" t="s">
        <v>227</v>
      </c>
      <c r="BG250" s="7" t="s">
        <v>227</v>
      </c>
      <c r="BH250" s="7" t="s">
        <v>227</v>
      </c>
      <c r="BI250" s="7"/>
      <c r="BJ250" s="4">
        <v>5</v>
      </c>
      <c r="BK250" s="8">
        <v>400.45</v>
      </c>
      <c r="BL250" s="2" t="s">
        <v>1996</v>
      </c>
      <c r="BM250" s="7"/>
      <c r="BN250" s="7"/>
      <c r="BO250" s="4"/>
      <c r="BP250" s="8"/>
      <c r="BQ250" s="4"/>
      <c r="BR250" s="8"/>
      <c r="BS250" s="7"/>
      <c r="BT250" s="7"/>
      <c r="BU250" s="2" t="s">
        <v>1997</v>
      </c>
      <c r="BV250" s="2" t="s">
        <v>227</v>
      </c>
      <c r="BW250" s="2" t="s">
        <v>227</v>
      </c>
      <c r="BX250" s="2" t="s">
        <v>235</v>
      </c>
      <c r="BY250" s="2" t="s">
        <v>236</v>
      </c>
      <c r="BZ250" s="2" t="s">
        <v>224</v>
      </c>
      <c r="CA250" s="2" t="s">
        <v>1993</v>
      </c>
      <c r="CB250" s="2" t="s">
        <v>310</v>
      </c>
      <c r="CC250" s="2" t="s">
        <v>239</v>
      </c>
      <c r="CD250" s="2" t="s">
        <v>227</v>
      </c>
      <c r="CE250" s="4">
        <v>226</v>
      </c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  <c r="GW250" s="4"/>
      <c r="GX250" s="4"/>
    </row>
    <row r="251">
      <c r="A251" s="2" t="s">
        <v>1998</v>
      </c>
      <c r="B251" s="2" t="s">
        <v>697</v>
      </c>
      <c r="C251" s="2" t="s">
        <v>1981</v>
      </c>
      <c r="D251" s="2" t="s">
        <v>1982</v>
      </c>
      <c r="E251" s="2" t="s">
        <v>1983</v>
      </c>
      <c r="F251" s="2" t="s">
        <v>1984</v>
      </c>
      <c r="G251" s="2" t="s">
        <v>1984</v>
      </c>
      <c r="H251" s="2" t="s">
        <v>1984</v>
      </c>
      <c r="I251" s="2" t="s">
        <v>1985</v>
      </c>
      <c r="J251" s="2" t="s">
        <v>257</v>
      </c>
      <c r="K251" s="2" t="s">
        <v>223</v>
      </c>
      <c r="L251" s="3">
        <v>78.57</v>
      </c>
      <c r="M251" s="3">
        <v>82.5</v>
      </c>
      <c r="N251" s="3">
        <v>164.99</v>
      </c>
      <c r="O251" s="2" t="s">
        <v>224</v>
      </c>
      <c r="P251" s="2" t="s">
        <v>225</v>
      </c>
      <c r="Q251" s="2" t="s">
        <v>226</v>
      </c>
      <c r="R251" s="2" t="s">
        <v>227</v>
      </c>
      <c r="S251" s="2" t="s">
        <v>1986</v>
      </c>
      <c r="T251" s="2" t="s">
        <v>1698</v>
      </c>
      <c r="U251" s="2" t="s">
        <v>552</v>
      </c>
      <c r="V251" s="2" t="s">
        <v>230</v>
      </c>
      <c r="W251" s="2" t="s">
        <v>231</v>
      </c>
      <c r="X251" s="2" t="s">
        <v>227</v>
      </c>
      <c r="Y251" s="2" t="s">
        <v>1991</v>
      </c>
      <c r="Z251" s="4">
        <v>221</v>
      </c>
      <c r="AA251" s="4">
        <f>=ROUNDDOWN(73.6666666666667,0)</f>
      </c>
      <c r="AB251" s="5">
        <v>3</v>
      </c>
      <c r="AC251" s="2" t="s">
        <v>227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227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227</v>
      </c>
      <c r="AW251" s="8" t="s">
        <v>227</v>
      </c>
      <c r="AX251" s="4" t="s">
        <v>227</v>
      </c>
      <c r="AY251" s="8" t="s">
        <v>227</v>
      </c>
      <c r="AZ251" s="7" t="s">
        <v>227</v>
      </c>
      <c r="BA251" s="7" t="s">
        <v>227</v>
      </c>
      <c r="BB251" s="7"/>
      <c r="BC251" s="4" t="s">
        <v>227</v>
      </c>
      <c r="BD251" s="8" t="s">
        <v>227</v>
      </c>
      <c r="BE251" s="4" t="s">
        <v>227</v>
      </c>
      <c r="BF251" s="8" t="s">
        <v>227</v>
      </c>
      <c r="BG251" s="7" t="s">
        <v>227</v>
      </c>
      <c r="BH251" s="7" t="s">
        <v>227</v>
      </c>
      <c r="BI251" s="7"/>
      <c r="BJ251" s="4">
        <v>6</v>
      </c>
      <c r="BK251" s="8">
        <v>527.16</v>
      </c>
      <c r="BL251" s="2" t="s">
        <v>1996</v>
      </c>
      <c r="BM251" s="7"/>
      <c r="BN251" s="7"/>
      <c r="BO251" s="4"/>
      <c r="BP251" s="8"/>
      <c r="BQ251" s="4"/>
      <c r="BR251" s="8"/>
      <c r="BS251" s="7"/>
      <c r="BT251" s="7"/>
      <c r="BU251" s="2" t="s">
        <v>1999</v>
      </c>
      <c r="BV251" s="2" t="s">
        <v>227</v>
      </c>
      <c r="BW251" s="2" t="s">
        <v>227</v>
      </c>
      <c r="BX251" s="2" t="s">
        <v>235</v>
      </c>
      <c r="BY251" s="2" t="s">
        <v>236</v>
      </c>
      <c r="BZ251" s="2" t="s">
        <v>224</v>
      </c>
      <c r="CA251" s="2" t="s">
        <v>1993</v>
      </c>
      <c r="CB251" s="2" t="s">
        <v>304</v>
      </c>
      <c r="CC251" s="2" t="s">
        <v>239</v>
      </c>
      <c r="CD251" s="2" t="s">
        <v>227</v>
      </c>
      <c r="CE251" s="4">
        <v>221</v>
      </c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/>
    </row>
    <row r="252">
      <c r="A252" s="2" t="s">
        <v>2000</v>
      </c>
      <c r="B252" s="2" t="s">
        <v>697</v>
      </c>
      <c r="C252" s="2" t="s">
        <v>1981</v>
      </c>
      <c r="D252" s="2" t="s">
        <v>1982</v>
      </c>
      <c r="E252" s="2" t="s">
        <v>1983</v>
      </c>
      <c r="F252" s="2" t="s">
        <v>1984</v>
      </c>
      <c r="G252" s="2" t="s">
        <v>1984</v>
      </c>
      <c r="H252" s="2" t="s">
        <v>1984</v>
      </c>
      <c r="I252" s="2" t="s">
        <v>1985</v>
      </c>
      <c r="J252" s="2" t="s">
        <v>222</v>
      </c>
      <c r="K252" s="2" t="s">
        <v>1428</v>
      </c>
      <c r="L252" s="3">
        <v>45.23</v>
      </c>
      <c r="M252" s="3">
        <v>47.49</v>
      </c>
      <c r="N252" s="3">
        <v>94.99</v>
      </c>
      <c r="O252" s="2" t="s">
        <v>224</v>
      </c>
      <c r="P252" s="2" t="s">
        <v>225</v>
      </c>
      <c r="Q252" s="2" t="s">
        <v>226</v>
      </c>
      <c r="R252" s="2" t="s">
        <v>227</v>
      </c>
      <c r="S252" s="2" t="s">
        <v>2001</v>
      </c>
      <c r="T252" s="2" t="s">
        <v>1698</v>
      </c>
      <c r="U252" s="2" t="s">
        <v>552</v>
      </c>
      <c r="V252" s="2" t="s">
        <v>230</v>
      </c>
      <c r="W252" s="2" t="s">
        <v>231</v>
      </c>
      <c r="X252" s="2" t="s">
        <v>227</v>
      </c>
      <c r="Y252" s="2" t="s">
        <v>1991</v>
      </c>
      <c r="Z252" s="4">
        <v>254</v>
      </c>
      <c r="AA252" s="4">
        <f>=ROUNDDOWN(127,0)</f>
      </c>
      <c r="AB252" s="5">
        <v>2</v>
      </c>
      <c r="AC252" s="2" t="s">
        <v>227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227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227</v>
      </c>
      <c r="AW252" s="8" t="s">
        <v>227</v>
      </c>
      <c r="AX252" s="4" t="s">
        <v>227</v>
      </c>
      <c r="AY252" s="8" t="s">
        <v>227</v>
      </c>
      <c r="AZ252" s="7" t="s">
        <v>227</v>
      </c>
      <c r="BA252" s="7" t="s">
        <v>227</v>
      </c>
      <c r="BB252" s="7"/>
      <c r="BC252" s="4" t="s">
        <v>227</v>
      </c>
      <c r="BD252" s="8" t="s">
        <v>227</v>
      </c>
      <c r="BE252" s="4" t="s">
        <v>227</v>
      </c>
      <c r="BF252" s="8" t="s">
        <v>227</v>
      </c>
      <c r="BG252" s="7" t="s">
        <v>227</v>
      </c>
      <c r="BH252" s="7" t="s">
        <v>227</v>
      </c>
      <c r="BI252" s="7"/>
      <c r="BJ252" s="4">
        <v>6</v>
      </c>
      <c r="BK252" s="8">
        <v>303.48</v>
      </c>
      <c r="BL252" s="2" t="s">
        <v>1314</v>
      </c>
      <c r="BM252" s="7"/>
      <c r="BN252" s="7"/>
      <c r="BO252" s="4"/>
      <c r="BP252" s="8"/>
      <c r="BQ252" s="4"/>
      <c r="BR252" s="8"/>
      <c r="BS252" s="7"/>
      <c r="BT252" s="7"/>
      <c r="BU252" s="2" t="s">
        <v>2002</v>
      </c>
      <c r="BV252" s="2" t="s">
        <v>227</v>
      </c>
      <c r="BW252" s="2" t="s">
        <v>227</v>
      </c>
      <c r="BX252" s="2" t="s">
        <v>235</v>
      </c>
      <c r="BY252" s="2" t="s">
        <v>236</v>
      </c>
      <c r="BZ252" s="2" t="s">
        <v>224</v>
      </c>
      <c r="CA252" s="2" t="s">
        <v>1993</v>
      </c>
      <c r="CB252" s="2" t="s">
        <v>227</v>
      </c>
      <c r="CC252" s="2" t="s">
        <v>239</v>
      </c>
      <c r="CD252" s="2" t="s">
        <v>227</v>
      </c>
      <c r="CE252" s="4">
        <v>254</v>
      </c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</row>
    <row r="253">
      <c r="A253" s="2" t="s">
        <v>2003</v>
      </c>
      <c r="B253" s="2" t="s">
        <v>697</v>
      </c>
      <c r="C253" s="2" t="s">
        <v>1981</v>
      </c>
      <c r="D253" s="2" t="s">
        <v>1982</v>
      </c>
      <c r="E253" s="2" t="s">
        <v>1983</v>
      </c>
      <c r="F253" s="2" t="s">
        <v>1984</v>
      </c>
      <c r="G253" s="2" t="s">
        <v>1984</v>
      </c>
      <c r="H253" s="2" t="s">
        <v>1984</v>
      </c>
      <c r="I253" s="2" t="s">
        <v>1985</v>
      </c>
      <c r="J253" s="2" t="s">
        <v>257</v>
      </c>
      <c r="K253" s="2" t="s">
        <v>1428</v>
      </c>
      <c r="L253" s="3">
        <v>78.57</v>
      </c>
      <c r="M253" s="3">
        <v>82.5</v>
      </c>
      <c r="N253" s="3">
        <v>164.99</v>
      </c>
      <c r="O253" s="2" t="s">
        <v>224</v>
      </c>
      <c r="P253" s="2" t="s">
        <v>225</v>
      </c>
      <c r="Q253" s="2" t="s">
        <v>226</v>
      </c>
      <c r="R253" s="2" t="s">
        <v>227</v>
      </c>
      <c r="S253" s="2" t="s">
        <v>2001</v>
      </c>
      <c r="T253" s="2" t="s">
        <v>1698</v>
      </c>
      <c r="U253" s="2" t="s">
        <v>552</v>
      </c>
      <c r="V253" s="2" t="s">
        <v>230</v>
      </c>
      <c r="W253" s="2" t="s">
        <v>231</v>
      </c>
      <c r="X253" s="2" t="s">
        <v>227</v>
      </c>
      <c r="Y253" s="2" t="s">
        <v>1991</v>
      </c>
      <c r="Z253" s="4">
        <v>419</v>
      </c>
      <c r="AA253" s="4">
        <f>=ROUNDDOWN(83.8,0)</f>
      </c>
      <c r="AB253" s="5">
        <v>5</v>
      </c>
      <c r="AC253" s="2" t="s">
        <v>227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227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227</v>
      </c>
      <c r="AW253" s="8" t="s">
        <v>227</v>
      </c>
      <c r="AX253" s="4" t="s">
        <v>227</v>
      </c>
      <c r="AY253" s="8" t="s">
        <v>227</v>
      </c>
      <c r="AZ253" s="7" t="s">
        <v>227</v>
      </c>
      <c r="BA253" s="7" t="s">
        <v>227</v>
      </c>
      <c r="BB253" s="7"/>
      <c r="BC253" s="4" t="s">
        <v>227</v>
      </c>
      <c r="BD253" s="8" t="s">
        <v>227</v>
      </c>
      <c r="BE253" s="4" t="s">
        <v>227</v>
      </c>
      <c r="BF253" s="8" t="s">
        <v>227</v>
      </c>
      <c r="BG253" s="7" t="s">
        <v>227</v>
      </c>
      <c r="BH253" s="7" t="s">
        <v>227</v>
      </c>
      <c r="BI253" s="7"/>
      <c r="BJ253" s="4">
        <v>4</v>
      </c>
      <c r="BK253" s="8">
        <v>348.96</v>
      </c>
      <c r="BL253" s="2" t="s">
        <v>1750</v>
      </c>
      <c r="BM253" s="7"/>
      <c r="BN253" s="7"/>
      <c r="BO253" s="4"/>
      <c r="BP253" s="8"/>
      <c r="BQ253" s="4"/>
      <c r="BR253" s="8"/>
      <c r="BS253" s="7"/>
      <c r="BT253" s="7"/>
      <c r="BU253" s="2" t="s">
        <v>2004</v>
      </c>
      <c r="BV253" s="2" t="s">
        <v>227</v>
      </c>
      <c r="BW253" s="2" t="s">
        <v>227</v>
      </c>
      <c r="BX253" s="2" t="s">
        <v>235</v>
      </c>
      <c r="BY253" s="2" t="s">
        <v>236</v>
      </c>
      <c r="BZ253" s="2" t="s">
        <v>224</v>
      </c>
      <c r="CA253" s="2" t="s">
        <v>1993</v>
      </c>
      <c r="CB253" s="2" t="s">
        <v>2005</v>
      </c>
      <c r="CC253" s="2" t="s">
        <v>239</v>
      </c>
      <c r="CD253" s="2" t="s">
        <v>227</v>
      </c>
      <c r="CE253" s="4">
        <v>419</v>
      </c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  <c r="GW253" s="4"/>
      <c r="GX253" s="4"/>
    </row>
    <row r="254">
      <c r="A254" s="2" t="s">
        <v>2006</v>
      </c>
      <c r="B254" s="2" t="s">
        <v>697</v>
      </c>
      <c r="C254" s="2" t="s">
        <v>1981</v>
      </c>
      <c r="D254" s="2" t="s">
        <v>1982</v>
      </c>
      <c r="E254" s="2" t="s">
        <v>1983</v>
      </c>
      <c r="F254" s="2" t="s">
        <v>1984</v>
      </c>
      <c r="G254" s="2" t="s">
        <v>1984</v>
      </c>
      <c r="H254" s="2" t="s">
        <v>1984</v>
      </c>
      <c r="I254" s="2" t="s">
        <v>1985</v>
      </c>
      <c r="J254" s="2" t="s">
        <v>247</v>
      </c>
      <c r="K254" s="2" t="s">
        <v>410</v>
      </c>
      <c r="L254" s="3">
        <v>50</v>
      </c>
      <c r="M254" s="3">
        <v>52.5</v>
      </c>
      <c r="N254" s="3">
        <v>104.99</v>
      </c>
      <c r="O254" s="2" t="s">
        <v>224</v>
      </c>
      <c r="P254" s="2" t="s">
        <v>225</v>
      </c>
      <c r="Q254" s="2" t="s">
        <v>226</v>
      </c>
      <c r="R254" s="2" t="s">
        <v>227</v>
      </c>
      <c r="S254" s="2" t="s">
        <v>2007</v>
      </c>
      <c r="T254" s="2" t="s">
        <v>1698</v>
      </c>
      <c r="U254" s="2" t="s">
        <v>552</v>
      </c>
      <c r="V254" s="2" t="s">
        <v>230</v>
      </c>
      <c r="W254" s="2" t="s">
        <v>231</v>
      </c>
      <c r="X254" s="2" t="s">
        <v>227</v>
      </c>
      <c r="Y254" s="2" t="s">
        <v>1991</v>
      </c>
      <c r="Z254" s="4">
        <v>206</v>
      </c>
      <c r="AA254" s="4">
        <f>=ROUNDDOWN(41.2,0)</f>
      </c>
      <c r="AB254" s="5">
        <v>5</v>
      </c>
      <c r="AC254" s="2" t="s">
        <v>227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227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227</v>
      </c>
      <c r="AW254" s="8" t="s">
        <v>227</v>
      </c>
      <c r="AX254" s="4" t="s">
        <v>227</v>
      </c>
      <c r="AY254" s="8" t="s">
        <v>227</v>
      </c>
      <c r="AZ254" s="7" t="s">
        <v>227</v>
      </c>
      <c r="BA254" s="7" t="s">
        <v>227</v>
      </c>
      <c r="BB254" s="7"/>
      <c r="BC254" s="4" t="s">
        <v>227</v>
      </c>
      <c r="BD254" s="8" t="s">
        <v>227</v>
      </c>
      <c r="BE254" s="4" t="s">
        <v>227</v>
      </c>
      <c r="BF254" s="8" t="s">
        <v>227</v>
      </c>
      <c r="BG254" s="7" t="s">
        <v>227</v>
      </c>
      <c r="BH254" s="7" t="s">
        <v>227</v>
      </c>
      <c r="BI254" s="7"/>
      <c r="BJ254" s="4">
        <v>4</v>
      </c>
      <c r="BK254" s="8">
        <v>219.44</v>
      </c>
      <c r="BL254" s="2" t="s">
        <v>2008</v>
      </c>
      <c r="BM254" s="7"/>
      <c r="BN254" s="7"/>
      <c r="BO254" s="4"/>
      <c r="BP254" s="8"/>
      <c r="BQ254" s="4"/>
      <c r="BR254" s="8"/>
      <c r="BS254" s="7"/>
      <c r="BT254" s="7"/>
      <c r="BU254" s="2" t="s">
        <v>2009</v>
      </c>
      <c r="BV254" s="2" t="s">
        <v>227</v>
      </c>
      <c r="BW254" s="2" t="s">
        <v>227</v>
      </c>
      <c r="BX254" s="2" t="s">
        <v>235</v>
      </c>
      <c r="BY254" s="2" t="s">
        <v>236</v>
      </c>
      <c r="BZ254" s="2" t="s">
        <v>224</v>
      </c>
      <c r="CA254" s="2" t="s">
        <v>1993</v>
      </c>
      <c r="CB254" s="2" t="s">
        <v>2010</v>
      </c>
      <c r="CC254" s="2" t="s">
        <v>239</v>
      </c>
      <c r="CD254" s="2" t="s">
        <v>227</v>
      </c>
      <c r="CE254" s="4">
        <v>206</v>
      </c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/>
    </row>
    <row r="255">
      <c r="A255" s="2" t="s">
        <v>2011</v>
      </c>
      <c r="B255" s="2" t="s">
        <v>697</v>
      </c>
      <c r="C255" s="2" t="s">
        <v>1981</v>
      </c>
      <c r="D255" s="2" t="s">
        <v>1982</v>
      </c>
      <c r="E255" s="2" t="s">
        <v>1983</v>
      </c>
      <c r="F255" s="2" t="s">
        <v>1984</v>
      </c>
      <c r="G255" s="2" t="s">
        <v>1984</v>
      </c>
      <c r="H255" s="2" t="s">
        <v>1984</v>
      </c>
      <c r="I255" s="2" t="s">
        <v>1985</v>
      </c>
      <c r="J255" s="2" t="s">
        <v>252</v>
      </c>
      <c r="K255" s="2" t="s">
        <v>410</v>
      </c>
      <c r="L255" s="3">
        <v>71.42</v>
      </c>
      <c r="M255" s="3">
        <v>74.99</v>
      </c>
      <c r="N255" s="3">
        <v>149.99</v>
      </c>
      <c r="O255" s="2" t="s">
        <v>224</v>
      </c>
      <c r="P255" s="2" t="s">
        <v>225</v>
      </c>
      <c r="Q255" s="2" t="s">
        <v>226</v>
      </c>
      <c r="R255" s="2" t="s">
        <v>227</v>
      </c>
      <c r="S255" s="2" t="s">
        <v>2007</v>
      </c>
      <c r="T255" s="2" t="s">
        <v>1698</v>
      </c>
      <c r="U255" s="2" t="s">
        <v>552</v>
      </c>
      <c r="V255" s="2" t="s">
        <v>230</v>
      </c>
      <c r="W255" s="2" t="s">
        <v>231</v>
      </c>
      <c r="X255" s="2" t="s">
        <v>227</v>
      </c>
      <c r="Y255" s="2" t="s">
        <v>1109</v>
      </c>
      <c r="Z255" s="4">
        <v>290</v>
      </c>
      <c r="AA255" s="4">
        <f>=ROUNDDOWN(41.4285714285714,0)</f>
      </c>
      <c r="AB255" s="5">
        <v>7</v>
      </c>
      <c r="AC255" s="2" t="s">
        <v>227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227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227</v>
      </c>
      <c r="AW255" s="8" t="s">
        <v>227</v>
      </c>
      <c r="AX255" s="4" t="s">
        <v>227</v>
      </c>
      <c r="AY255" s="8" t="s">
        <v>227</v>
      </c>
      <c r="AZ255" s="7" t="s">
        <v>227</v>
      </c>
      <c r="BA255" s="7" t="s">
        <v>227</v>
      </c>
      <c r="BB255" s="7"/>
      <c r="BC255" s="4" t="s">
        <v>227</v>
      </c>
      <c r="BD255" s="8" t="s">
        <v>227</v>
      </c>
      <c r="BE255" s="4" t="s">
        <v>227</v>
      </c>
      <c r="BF255" s="8" t="s">
        <v>227</v>
      </c>
      <c r="BG255" s="7" t="s">
        <v>227</v>
      </c>
      <c r="BH255" s="7" t="s">
        <v>227</v>
      </c>
      <c r="BI255" s="7"/>
      <c r="BJ255" s="4">
        <v>5</v>
      </c>
      <c r="BK255" s="8">
        <v>400.45</v>
      </c>
      <c r="BL255" s="2" t="s">
        <v>1996</v>
      </c>
      <c r="BM255" s="7"/>
      <c r="BN255" s="7"/>
      <c r="BO255" s="4"/>
      <c r="BP255" s="8"/>
      <c r="BQ255" s="4"/>
      <c r="BR255" s="8"/>
      <c r="BS255" s="7"/>
      <c r="BT255" s="7"/>
      <c r="BU255" s="2" t="s">
        <v>2012</v>
      </c>
      <c r="BV255" s="2" t="s">
        <v>227</v>
      </c>
      <c r="BW255" s="2" t="s">
        <v>227</v>
      </c>
      <c r="BX255" s="2" t="s">
        <v>235</v>
      </c>
      <c r="BY255" s="2" t="s">
        <v>236</v>
      </c>
      <c r="BZ255" s="2" t="s">
        <v>224</v>
      </c>
      <c r="CA255" s="2" t="s">
        <v>1993</v>
      </c>
      <c r="CB255" s="2" t="s">
        <v>1906</v>
      </c>
      <c r="CC255" s="2" t="s">
        <v>239</v>
      </c>
      <c r="CD255" s="2" t="s">
        <v>227</v>
      </c>
      <c r="CE255" s="4">
        <v>290</v>
      </c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/>
    </row>
    <row r="256">
      <c r="A256" s="2" t="s">
        <v>2013</v>
      </c>
      <c r="B256" s="2" t="s">
        <v>697</v>
      </c>
      <c r="C256" s="2" t="s">
        <v>1981</v>
      </c>
      <c r="D256" s="2" t="s">
        <v>1982</v>
      </c>
      <c r="E256" s="2" t="s">
        <v>1983</v>
      </c>
      <c r="F256" s="2" t="s">
        <v>1984</v>
      </c>
      <c r="G256" s="2" t="s">
        <v>1984</v>
      </c>
      <c r="H256" s="2" t="s">
        <v>1984</v>
      </c>
      <c r="I256" s="2" t="s">
        <v>1985</v>
      </c>
      <c r="J256" s="2" t="s">
        <v>222</v>
      </c>
      <c r="K256" s="2" t="s">
        <v>363</v>
      </c>
      <c r="L256" s="3">
        <v>45.23</v>
      </c>
      <c r="M256" s="3">
        <v>47.49</v>
      </c>
      <c r="N256" s="3">
        <v>94.99</v>
      </c>
      <c r="O256" s="2" t="s">
        <v>224</v>
      </c>
      <c r="P256" s="2" t="s">
        <v>225</v>
      </c>
      <c r="Q256" s="2" t="s">
        <v>226</v>
      </c>
      <c r="R256" s="2" t="s">
        <v>227</v>
      </c>
      <c r="S256" s="2" t="s">
        <v>2014</v>
      </c>
      <c r="T256" s="2" t="s">
        <v>1698</v>
      </c>
      <c r="U256" s="2" t="s">
        <v>552</v>
      </c>
      <c r="V256" s="2" t="s">
        <v>230</v>
      </c>
      <c r="W256" s="2" t="s">
        <v>231</v>
      </c>
      <c r="X256" s="2" t="s">
        <v>227</v>
      </c>
      <c r="Y256" s="2" t="s">
        <v>1991</v>
      </c>
      <c r="Z256" s="4">
        <v>242</v>
      </c>
      <c r="AA256" s="4">
        <f>=ROUNDDOWN(121,0)</f>
      </c>
      <c r="AB256" s="5">
        <v>2</v>
      </c>
      <c r="AC256" s="2" t="s">
        <v>227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227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227</v>
      </c>
      <c r="AW256" s="8" t="s">
        <v>227</v>
      </c>
      <c r="AX256" s="4" t="s">
        <v>227</v>
      </c>
      <c r="AY256" s="8" t="s">
        <v>227</v>
      </c>
      <c r="AZ256" s="7" t="s">
        <v>227</v>
      </c>
      <c r="BA256" s="7" t="s">
        <v>227</v>
      </c>
      <c r="BB256" s="7"/>
      <c r="BC256" s="4" t="s">
        <v>227</v>
      </c>
      <c r="BD256" s="8" t="s">
        <v>227</v>
      </c>
      <c r="BE256" s="4" t="s">
        <v>227</v>
      </c>
      <c r="BF256" s="8" t="s">
        <v>227</v>
      </c>
      <c r="BG256" s="7" t="s">
        <v>227</v>
      </c>
      <c r="BH256" s="7" t="s">
        <v>227</v>
      </c>
      <c r="BI256" s="7"/>
      <c r="BJ256" s="4">
        <v>3</v>
      </c>
      <c r="BK256" s="8">
        <v>151.03</v>
      </c>
      <c r="BL256" s="2" t="s">
        <v>2015</v>
      </c>
      <c r="BM256" s="7"/>
      <c r="BN256" s="7"/>
      <c r="BO256" s="4"/>
      <c r="BP256" s="8"/>
      <c r="BQ256" s="4"/>
      <c r="BR256" s="8"/>
      <c r="BS256" s="7"/>
      <c r="BT256" s="7"/>
      <c r="BU256" s="2" t="s">
        <v>2016</v>
      </c>
      <c r="BV256" s="2" t="s">
        <v>227</v>
      </c>
      <c r="BW256" s="2" t="s">
        <v>227</v>
      </c>
      <c r="BX256" s="2" t="s">
        <v>235</v>
      </c>
      <c r="BY256" s="2" t="s">
        <v>236</v>
      </c>
      <c r="BZ256" s="2" t="s">
        <v>224</v>
      </c>
      <c r="CA256" s="2" t="s">
        <v>1993</v>
      </c>
      <c r="CB256" s="2" t="s">
        <v>1612</v>
      </c>
      <c r="CC256" s="2" t="s">
        <v>239</v>
      </c>
      <c r="CD256" s="2" t="s">
        <v>227</v>
      </c>
      <c r="CE256" s="4">
        <v>242</v>
      </c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</row>
    <row r="257">
      <c r="A257" s="2" t="s">
        <v>2017</v>
      </c>
      <c r="B257" s="2" t="s">
        <v>697</v>
      </c>
      <c r="C257" s="2" t="s">
        <v>1981</v>
      </c>
      <c r="D257" s="2" t="s">
        <v>1982</v>
      </c>
      <c r="E257" s="2" t="s">
        <v>1983</v>
      </c>
      <c r="F257" s="2" t="s">
        <v>1984</v>
      </c>
      <c r="G257" s="2" t="s">
        <v>1984</v>
      </c>
      <c r="H257" s="2" t="s">
        <v>1984</v>
      </c>
      <c r="I257" s="2" t="s">
        <v>1985</v>
      </c>
      <c r="J257" s="2" t="s">
        <v>252</v>
      </c>
      <c r="K257" s="2" t="s">
        <v>363</v>
      </c>
      <c r="L257" s="3">
        <v>71.42</v>
      </c>
      <c r="M257" s="3">
        <v>74.99</v>
      </c>
      <c r="N257" s="3">
        <v>149.99</v>
      </c>
      <c r="O257" s="2" t="s">
        <v>224</v>
      </c>
      <c r="P257" s="2" t="s">
        <v>225</v>
      </c>
      <c r="Q257" s="2" t="s">
        <v>226</v>
      </c>
      <c r="R257" s="2" t="s">
        <v>227</v>
      </c>
      <c r="S257" s="2" t="s">
        <v>2014</v>
      </c>
      <c r="T257" s="2" t="s">
        <v>1698</v>
      </c>
      <c r="U257" s="2" t="s">
        <v>552</v>
      </c>
      <c r="V257" s="2" t="s">
        <v>230</v>
      </c>
      <c r="W257" s="2" t="s">
        <v>231</v>
      </c>
      <c r="X257" s="2" t="s">
        <v>227</v>
      </c>
      <c r="Y257" s="2" t="s">
        <v>1991</v>
      </c>
      <c r="Z257" s="4">
        <v>358</v>
      </c>
      <c r="AA257" s="4">
        <f>=ROUNDDOWN(59.6666666666667,0)</f>
      </c>
      <c r="AB257" s="5">
        <v>6</v>
      </c>
      <c r="AC257" s="2" t="s">
        <v>227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227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227</v>
      </c>
      <c r="AW257" s="8" t="s">
        <v>227</v>
      </c>
      <c r="AX257" s="4" t="s">
        <v>227</v>
      </c>
      <c r="AY257" s="8" t="s">
        <v>227</v>
      </c>
      <c r="AZ257" s="7" t="s">
        <v>227</v>
      </c>
      <c r="BA257" s="7" t="s">
        <v>227</v>
      </c>
      <c r="BB257" s="7"/>
      <c r="BC257" s="4" t="s">
        <v>227</v>
      </c>
      <c r="BD257" s="8" t="s">
        <v>227</v>
      </c>
      <c r="BE257" s="4" t="s">
        <v>227</v>
      </c>
      <c r="BF257" s="8" t="s">
        <v>227</v>
      </c>
      <c r="BG257" s="7" t="s">
        <v>227</v>
      </c>
      <c r="BH257" s="7" t="s">
        <v>227</v>
      </c>
      <c r="BI257" s="7"/>
      <c r="BJ257" s="4">
        <v>18</v>
      </c>
      <c r="BK257" s="8">
        <v>1448.82</v>
      </c>
      <c r="BL257" s="2" t="s">
        <v>1750</v>
      </c>
      <c r="BM257" s="7"/>
      <c r="BN257" s="7"/>
      <c r="BO257" s="4"/>
      <c r="BP257" s="8"/>
      <c r="BQ257" s="4"/>
      <c r="BR257" s="8"/>
      <c r="BS257" s="7"/>
      <c r="BT257" s="7"/>
      <c r="BU257" s="2" t="s">
        <v>2018</v>
      </c>
      <c r="BV257" s="2" t="s">
        <v>227</v>
      </c>
      <c r="BW257" s="2" t="s">
        <v>227</v>
      </c>
      <c r="BX257" s="2" t="s">
        <v>235</v>
      </c>
      <c r="BY257" s="2" t="s">
        <v>236</v>
      </c>
      <c r="BZ257" s="2" t="s">
        <v>224</v>
      </c>
      <c r="CA257" s="2" t="s">
        <v>1993</v>
      </c>
      <c r="CB257" s="2" t="s">
        <v>2019</v>
      </c>
      <c r="CC257" s="2" t="s">
        <v>239</v>
      </c>
      <c r="CD257" s="2" t="s">
        <v>227</v>
      </c>
      <c r="CE257" s="4">
        <v>358</v>
      </c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  <c r="GU257" s="4"/>
      <c r="GV257" s="4"/>
      <c r="GW257" s="4"/>
      <c r="GX257" s="4"/>
    </row>
    <row r="258">
      <c r="A258" s="2" t="s">
        <v>2020</v>
      </c>
      <c r="B258" s="2" t="s">
        <v>542</v>
      </c>
      <c r="C258" s="2" t="s">
        <v>1546</v>
      </c>
      <c r="D258" s="2" t="s">
        <v>1052</v>
      </c>
      <c r="E258" s="2" t="s">
        <v>545</v>
      </c>
      <c r="F258" s="2" t="s">
        <v>2021</v>
      </c>
      <c r="G258" s="2" t="s">
        <v>2021</v>
      </c>
      <c r="H258" s="2" t="s">
        <v>2021</v>
      </c>
      <c r="I258" s="2" t="s">
        <v>2022</v>
      </c>
      <c r="J258" s="2" t="s">
        <v>548</v>
      </c>
      <c r="K258" s="2" t="s">
        <v>2023</v>
      </c>
      <c r="L258" s="3">
        <v>37.27</v>
      </c>
      <c r="M258" s="3">
        <v>39.13</v>
      </c>
      <c r="N258" s="3">
        <v>76.49</v>
      </c>
      <c r="O258" s="2" t="s">
        <v>224</v>
      </c>
      <c r="P258" s="2" t="s">
        <v>580</v>
      </c>
      <c r="Q258" s="2" t="s">
        <v>226</v>
      </c>
      <c r="R258" s="2" t="s">
        <v>227</v>
      </c>
      <c r="S258" s="2" t="s">
        <v>2024</v>
      </c>
      <c r="T258" s="2" t="s">
        <v>227</v>
      </c>
      <c r="U258" s="2" t="s">
        <v>674</v>
      </c>
      <c r="V258" s="2" t="s">
        <v>877</v>
      </c>
      <c r="W258" s="2" t="s">
        <v>836</v>
      </c>
      <c r="X258" s="2" t="s">
        <v>676</v>
      </c>
      <c r="Y258" s="2" t="s">
        <v>2025</v>
      </c>
      <c r="Z258" s="4">
        <v>113</v>
      </c>
      <c r="AA258" s="4">
        <f>=ROUNDDOWN(37.6666666666667,0)</f>
      </c>
      <c r="AB258" s="5">
        <v>3</v>
      </c>
      <c r="AC258" s="2" t="s">
        <v>227</v>
      </c>
      <c r="AD258" s="4"/>
      <c r="AE258" s="4"/>
      <c r="AF258" s="6">
        <v>63</v>
      </c>
      <c r="AG258" s="6"/>
      <c r="AH258" s="7">
        <v>1</v>
      </c>
      <c r="AI258" s="4"/>
      <c r="AJ258" s="4">
        <f>=ROUNDDOWN({0},0)</f>
      </c>
      <c r="AK258" s="5"/>
      <c r="AL258" s="2" t="s">
        <v>227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/>
      <c r="AW258" s="8"/>
      <c r="AX258" s="4"/>
      <c r="AY258" s="8"/>
      <c r="AZ258" s="7"/>
      <c r="BA258" s="7"/>
      <c r="BB258" s="7"/>
      <c r="BC258" s="4"/>
      <c r="BD258" s="8"/>
      <c r="BE258" s="4"/>
      <c r="BF258" s="8"/>
      <c r="BG258" s="7"/>
      <c r="BH258" s="7"/>
      <c r="BI258" s="7"/>
      <c r="BJ258" s="4">
        <v>9</v>
      </c>
      <c r="BK258" s="8">
        <v>385.44</v>
      </c>
      <c r="BL258" s="2" t="s">
        <v>2026</v>
      </c>
      <c r="BM258" s="7"/>
      <c r="BN258" s="7"/>
      <c r="BO258" s="4"/>
      <c r="BP258" s="8"/>
      <c r="BQ258" s="4"/>
      <c r="BR258" s="8"/>
      <c r="BS258" s="7"/>
      <c r="BT258" s="7"/>
      <c r="BU258" s="2" t="s">
        <v>2027</v>
      </c>
      <c r="BV258" s="2" t="s">
        <v>227</v>
      </c>
      <c r="BW258" s="2" t="s">
        <v>227</v>
      </c>
      <c r="BX258" s="2" t="s">
        <v>235</v>
      </c>
      <c r="BY258" s="2" t="s">
        <v>236</v>
      </c>
      <c r="BZ258" s="2" t="s">
        <v>224</v>
      </c>
      <c r="CA258" s="2" t="s">
        <v>2028</v>
      </c>
      <c r="CB258" s="2" t="s">
        <v>2029</v>
      </c>
      <c r="CC258" s="2" t="s">
        <v>239</v>
      </c>
      <c r="CD258" s="2" t="s">
        <v>227</v>
      </c>
      <c r="CE258" s="4"/>
      <c r="CF258" s="4">
        <v>113</v>
      </c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  <c r="GU258" s="4"/>
      <c r="GV258" s="4"/>
      <c r="GW258" s="4"/>
      <c r="GX258" s="4"/>
    </row>
    <row r="259">
      <c r="A259" s="2" t="s">
        <v>2030</v>
      </c>
      <c r="B259" s="2" t="s">
        <v>697</v>
      </c>
      <c r="C259" s="2" t="s">
        <v>1962</v>
      </c>
      <c r="D259" s="2" t="s">
        <v>1963</v>
      </c>
      <c r="E259" s="2" t="s">
        <v>1964</v>
      </c>
      <c r="F259" s="2" t="s">
        <v>2031</v>
      </c>
      <c r="G259" s="2" t="s">
        <v>2031</v>
      </c>
      <c r="H259" s="2" t="s">
        <v>2031</v>
      </c>
      <c r="I259" s="2" t="s">
        <v>1966</v>
      </c>
      <c r="J259" s="2" t="s">
        <v>222</v>
      </c>
      <c r="K259" s="2" t="s">
        <v>264</v>
      </c>
      <c r="L259" s="3">
        <v>45</v>
      </c>
      <c r="M259" s="3">
        <v>47.25</v>
      </c>
      <c r="N259" s="3">
        <v>89.99</v>
      </c>
      <c r="O259" s="2" t="s">
        <v>224</v>
      </c>
      <c r="P259" s="2" t="s">
        <v>485</v>
      </c>
      <c r="Q259" s="2" t="s">
        <v>226</v>
      </c>
      <c r="R259" s="2" t="s">
        <v>227</v>
      </c>
      <c r="S259" s="2" t="s">
        <v>2032</v>
      </c>
      <c r="T259" s="2" t="s">
        <v>2033</v>
      </c>
      <c r="U259" s="2" t="s">
        <v>227</v>
      </c>
      <c r="V259" s="2" t="s">
        <v>230</v>
      </c>
      <c r="W259" s="2" t="s">
        <v>231</v>
      </c>
      <c r="X259" s="2" t="s">
        <v>227</v>
      </c>
      <c r="Y259" s="2" t="s">
        <v>232</v>
      </c>
      <c r="Z259" s="4">
        <v>520</v>
      </c>
      <c r="AA259" s="4">
        <f>=ROUNDDOWN(19.2592592592593,0)</f>
      </c>
      <c r="AB259" s="5">
        <v>27</v>
      </c>
      <c r="AC259" s="2" t="s">
        <v>1596</v>
      </c>
      <c r="AD259" s="4">
        <v>350</v>
      </c>
      <c r="AE259" s="4">
        <v>970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227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227</v>
      </c>
      <c r="AW259" s="8" t="s">
        <v>227</v>
      </c>
      <c r="AX259" s="4" t="s">
        <v>227</v>
      </c>
      <c r="AY259" s="8" t="s">
        <v>227</v>
      </c>
      <c r="AZ259" s="7" t="s">
        <v>227</v>
      </c>
      <c r="BA259" s="7" t="s">
        <v>227</v>
      </c>
      <c r="BB259" s="7"/>
      <c r="BC259" s="4" t="s">
        <v>227</v>
      </c>
      <c r="BD259" s="8" t="s">
        <v>227</v>
      </c>
      <c r="BE259" s="4" t="s">
        <v>227</v>
      </c>
      <c r="BF259" s="8" t="s">
        <v>227</v>
      </c>
      <c r="BG259" s="7" t="s">
        <v>227</v>
      </c>
      <c r="BH259" s="7" t="s">
        <v>227</v>
      </c>
      <c r="BI259" s="7"/>
      <c r="BJ259" s="4">
        <v>72</v>
      </c>
      <c r="BK259" s="8">
        <v>2883.24</v>
      </c>
      <c r="BL259" s="2" t="s">
        <v>2034</v>
      </c>
      <c r="BM259" s="7"/>
      <c r="BN259" s="7"/>
      <c r="BO259" s="4"/>
      <c r="BP259" s="8"/>
      <c r="BQ259" s="4"/>
      <c r="BR259" s="8"/>
      <c r="BS259" s="7"/>
      <c r="BT259" s="7"/>
      <c r="BU259" s="2" t="s">
        <v>2035</v>
      </c>
      <c r="BV259" s="2" t="s">
        <v>227</v>
      </c>
      <c r="BW259" s="2" t="s">
        <v>227</v>
      </c>
      <c r="BX259" s="2" t="s">
        <v>235</v>
      </c>
      <c r="BY259" s="2" t="s">
        <v>236</v>
      </c>
      <c r="BZ259" s="2" t="s">
        <v>224</v>
      </c>
      <c r="CA259" s="2" t="s">
        <v>237</v>
      </c>
      <c r="CB259" s="2" t="s">
        <v>2036</v>
      </c>
      <c r="CC259" s="2" t="s">
        <v>239</v>
      </c>
      <c r="CD259" s="2" t="s">
        <v>227</v>
      </c>
      <c r="CE259" s="4">
        <v>519</v>
      </c>
      <c r="CF259" s="4"/>
      <c r="CG259" s="4"/>
      <c r="CH259" s="4"/>
      <c r="CI259" s="4"/>
      <c r="CJ259" s="4"/>
      <c r="CK259" s="4">
        <v>1</v>
      </c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>
        <v>350</v>
      </c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>
        <v>200</v>
      </c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>
        <v>100</v>
      </c>
      <c r="FP259" s="4"/>
      <c r="FQ259" s="4"/>
      <c r="FR259" s="4"/>
      <c r="FS259" s="4"/>
      <c r="FT259" s="4">
        <v>20</v>
      </c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>
        <v>300</v>
      </c>
      <c r="GT259" s="4"/>
      <c r="GU259" s="4"/>
      <c r="GV259" s="4"/>
      <c r="GW259" s="4"/>
      <c r="GX259" s="4"/>
    </row>
    <row r="260">
      <c r="A260" s="2" t="s">
        <v>2037</v>
      </c>
      <c r="B260" s="2" t="s">
        <v>697</v>
      </c>
      <c r="C260" s="2" t="s">
        <v>1962</v>
      </c>
      <c r="D260" s="2" t="s">
        <v>1963</v>
      </c>
      <c r="E260" s="2" t="s">
        <v>1964</v>
      </c>
      <c r="F260" s="2" t="s">
        <v>2031</v>
      </c>
      <c r="G260" s="2" t="s">
        <v>2031</v>
      </c>
      <c r="H260" s="2" t="s">
        <v>2031</v>
      </c>
      <c r="I260" s="2" t="s">
        <v>1966</v>
      </c>
      <c r="J260" s="2" t="s">
        <v>241</v>
      </c>
      <c r="K260" s="2" t="s">
        <v>264</v>
      </c>
      <c r="L260" s="3">
        <v>45</v>
      </c>
      <c r="M260" s="3">
        <v>47.25</v>
      </c>
      <c r="N260" s="3">
        <v>89.99</v>
      </c>
      <c r="O260" s="2" t="s">
        <v>224</v>
      </c>
      <c r="P260" s="2" t="s">
        <v>2038</v>
      </c>
      <c r="Q260" s="2" t="s">
        <v>226</v>
      </c>
      <c r="R260" s="2" t="s">
        <v>227</v>
      </c>
      <c r="S260" s="2" t="s">
        <v>2032</v>
      </c>
      <c r="T260" s="2" t="s">
        <v>2033</v>
      </c>
      <c r="U260" s="2" t="s">
        <v>227</v>
      </c>
      <c r="V260" s="2" t="s">
        <v>230</v>
      </c>
      <c r="W260" s="2" t="s">
        <v>231</v>
      </c>
      <c r="X260" s="2" t="s">
        <v>227</v>
      </c>
      <c r="Y260" s="2" t="s">
        <v>232</v>
      </c>
      <c r="Z260" s="4">
        <v>3085</v>
      </c>
      <c r="AA260" s="4">
        <f>=ROUNDDOWN(11.7748091603053,0)</f>
      </c>
      <c r="AB260" s="5">
        <v>262</v>
      </c>
      <c r="AC260" s="2" t="s">
        <v>1596</v>
      </c>
      <c r="AD260" s="4">
        <v>3240</v>
      </c>
      <c r="AE260" s="4">
        <v>11370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227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227</v>
      </c>
      <c r="AW260" s="8" t="s">
        <v>227</v>
      </c>
      <c r="AX260" s="4" t="s">
        <v>227</v>
      </c>
      <c r="AY260" s="8" t="s">
        <v>227</v>
      </c>
      <c r="AZ260" s="7" t="s">
        <v>227</v>
      </c>
      <c r="BA260" s="7" t="s">
        <v>227</v>
      </c>
      <c r="BB260" s="7"/>
      <c r="BC260" s="4" t="s">
        <v>227</v>
      </c>
      <c r="BD260" s="8" t="s">
        <v>227</v>
      </c>
      <c r="BE260" s="4" t="s">
        <v>227</v>
      </c>
      <c r="BF260" s="8" t="s">
        <v>227</v>
      </c>
      <c r="BG260" s="7" t="s">
        <v>227</v>
      </c>
      <c r="BH260" s="7" t="s">
        <v>227</v>
      </c>
      <c r="BI260" s="7"/>
      <c r="BJ260" s="4">
        <v>1398</v>
      </c>
      <c r="BK260" s="8">
        <v>55295.9</v>
      </c>
      <c r="BL260" s="2" t="s">
        <v>2039</v>
      </c>
      <c r="BM260" s="7"/>
      <c r="BN260" s="7"/>
      <c r="BO260" s="4"/>
      <c r="BP260" s="8"/>
      <c r="BQ260" s="4"/>
      <c r="BR260" s="8"/>
      <c r="BS260" s="7"/>
      <c r="BT260" s="7"/>
      <c r="BU260" s="2" t="s">
        <v>2040</v>
      </c>
      <c r="BV260" s="2" t="s">
        <v>227</v>
      </c>
      <c r="BW260" s="2" t="s">
        <v>227</v>
      </c>
      <c r="BX260" s="2" t="s">
        <v>235</v>
      </c>
      <c r="BY260" s="2" t="s">
        <v>236</v>
      </c>
      <c r="BZ260" s="2" t="s">
        <v>224</v>
      </c>
      <c r="CA260" s="2" t="s">
        <v>2041</v>
      </c>
      <c r="CB260" s="2" t="s">
        <v>2042</v>
      </c>
      <c r="CC260" s="2" t="s">
        <v>239</v>
      </c>
      <c r="CD260" s="2" t="s">
        <v>227</v>
      </c>
      <c r="CE260" s="4">
        <v>3085</v>
      </c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>
        <v>3240</v>
      </c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>
        <v>600</v>
      </c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>
        <v>100</v>
      </c>
      <c r="FP260" s="4"/>
      <c r="FQ260" s="4"/>
      <c r="FR260" s="4"/>
      <c r="FS260" s="4"/>
      <c r="FT260" s="4">
        <v>1830</v>
      </c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>
        <v>200</v>
      </c>
      <c r="GN260" s="4"/>
      <c r="GO260" s="4"/>
      <c r="GP260" s="4"/>
      <c r="GQ260" s="4"/>
      <c r="GR260" s="4"/>
      <c r="GS260" s="4">
        <v>3700</v>
      </c>
      <c r="GT260" s="4"/>
      <c r="GU260" s="4"/>
      <c r="GV260" s="4"/>
      <c r="GW260" s="4"/>
      <c r="GX260" s="4">
        <v>1700</v>
      </c>
    </row>
    <row r="261">
      <c r="A261" s="2" t="s">
        <v>2043</v>
      </c>
      <c r="B261" s="2" t="s">
        <v>697</v>
      </c>
      <c r="C261" s="2" t="s">
        <v>1962</v>
      </c>
      <c r="D261" s="2" t="s">
        <v>1963</v>
      </c>
      <c r="E261" s="2" t="s">
        <v>1964</v>
      </c>
      <c r="F261" s="2" t="s">
        <v>2031</v>
      </c>
      <c r="G261" s="2" t="s">
        <v>2031</v>
      </c>
      <c r="H261" s="2" t="s">
        <v>2031</v>
      </c>
      <c r="I261" s="2" t="s">
        <v>1966</v>
      </c>
      <c r="J261" s="2" t="s">
        <v>384</v>
      </c>
      <c r="K261" s="2" t="s">
        <v>264</v>
      </c>
      <c r="L261" s="3">
        <v>74.19</v>
      </c>
      <c r="M261" s="3">
        <v>77.9</v>
      </c>
      <c r="N261" s="3">
        <v>139.99</v>
      </c>
      <c r="O261" s="2" t="s">
        <v>224</v>
      </c>
      <c r="P261" s="2" t="s">
        <v>2038</v>
      </c>
      <c r="Q261" s="2" t="s">
        <v>226</v>
      </c>
      <c r="R261" s="2" t="s">
        <v>227</v>
      </c>
      <c r="S261" s="2" t="s">
        <v>2032</v>
      </c>
      <c r="T261" s="2" t="s">
        <v>2033</v>
      </c>
      <c r="U261" s="2" t="s">
        <v>227</v>
      </c>
      <c r="V261" s="2" t="s">
        <v>230</v>
      </c>
      <c r="W261" s="2" t="s">
        <v>231</v>
      </c>
      <c r="X261" s="2" t="s">
        <v>227</v>
      </c>
      <c r="Y261" s="2" t="s">
        <v>232</v>
      </c>
      <c r="Z261" s="4">
        <v>1745</v>
      </c>
      <c r="AA261" s="4">
        <f>=ROUNDDOWN(31.1607142857143,0)</f>
      </c>
      <c r="AB261" s="5">
        <v>56</v>
      </c>
      <c r="AC261" s="2" t="s">
        <v>153</v>
      </c>
      <c r="AD261" s="4">
        <v>490</v>
      </c>
      <c r="AE261" s="4">
        <v>2230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227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227</v>
      </c>
      <c r="AW261" s="8" t="s">
        <v>227</v>
      </c>
      <c r="AX261" s="4" t="s">
        <v>227</v>
      </c>
      <c r="AY261" s="8" t="s">
        <v>227</v>
      </c>
      <c r="AZ261" s="7" t="s">
        <v>227</v>
      </c>
      <c r="BA261" s="7" t="s">
        <v>227</v>
      </c>
      <c r="BB261" s="7"/>
      <c r="BC261" s="4" t="s">
        <v>227</v>
      </c>
      <c r="BD261" s="8" t="s">
        <v>227</v>
      </c>
      <c r="BE261" s="4" t="s">
        <v>227</v>
      </c>
      <c r="BF261" s="8" t="s">
        <v>227</v>
      </c>
      <c r="BG261" s="7" t="s">
        <v>227</v>
      </c>
      <c r="BH261" s="7" t="s">
        <v>227</v>
      </c>
      <c r="BI261" s="7"/>
      <c r="BJ261" s="4">
        <v>80</v>
      </c>
      <c r="BK261" s="8">
        <v>5683.76</v>
      </c>
      <c r="BL261" s="2" t="s">
        <v>2044</v>
      </c>
      <c r="BM261" s="7"/>
      <c r="BN261" s="7"/>
      <c r="BO261" s="4"/>
      <c r="BP261" s="8"/>
      <c r="BQ261" s="4"/>
      <c r="BR261" s="8"/>
      <c r="BS261" s="7"/>
      <c r="BT261" s="7"/>
      <c r="BU261" s="2" t="s">
        <v>2045</v>
      </c>
      <c r="BV261" s="2" t="s">
        <v>227</v>
      </c>
      <c r="BW261" s="2" t="s">
        <v>227</v>
      </c>
      <c r="BX261" s="2" t="s">
        <v>235</v>
      </c>
      <c r="BY261" s="2" t="s">
        <v>236</v>
      </c>
      <c r="BZ261" s="2" t="s">
        <v>224</v>
      </c>
      <c r="CA261" s="2" t="s">
        <v>237</v>
      </c>
      <c r="CB261" s="2" t="s">
        <v>2046</v>
      </c>
      <c r="CC261" s="2" t="s">
        <v>239</v>
      </c>
      <c r="CD261" s="2" t="s">
        <v>227</v>
      </c>
      <c r="CE261" s="4">
        <v>1745</v>
      </c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>
        <v>490</v>
      </c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>
        <v>200</v>
      </c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>
        <v>100</v>
      </c>
      <c r="FP261" s="4"/>
      <c r="FQ261" s="4"/>
      <c r="FR261" s="4"/>
      <c r="FS261" s="4"/>
      <c r="FT261" s="4">
        <v>190</v>
      </c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>
        <v>150</v>
      </c>
      <c r="GN261" s="4"/>
      <c r="GO261" s="4"/>
      <c r="GP261" s="4"/>
      <c r="GQ261" s="4"/>
      <c r="GR261" s="4"/>
      <c r="GS261" s="4">
        <v>1100</v>
      </c>
      <c r="GT261" s="4"/>
      <c r="GU261" s="4"/>
      <c r="GV261" s="4"/>
      <c r="GW261" s="4"/>
      <c r="GX261" s="4"/>
    </row>
    <row r="262">
      <c r="A262" s="2" t="s">
        <v>2047</v>
      </c>
      <c r="B262" s="2" t="s">
        <v>278</v>
      </c>
      <c r="C262" s="2" t="s">
        <v>1299</v>
      </c>
      <c r="D262" s="2" t="s">
        <v>280</v>
      </c>
      <c r="E262" s="2" t="s">
        <v>281</v>
      </c>
      <c r="F262" s="2" t="s">
        <v>2048</v>
      </c>
      <c r="G262" s="2" t="s">
        <v>2048</v>
      </c>
      <c r="H262" s="2" t="s">
        <v>2048</v>
      </c>
      <c r="I262" s="2" t="s">
        <v>2049</v>
      </c>
      <c r="J262" s="2" t="s">
        <v>247</v>
      </c>
      <c r="K262" s="2" t="s">
        <v>672</v>
      </c>
      <c r="L262" s="3">
        <v>21.6</v>
      </c>
      <c r="M262" s="3">
        <v>22.68</v>
      </c>
      <c r="N262" s="3">
        <v>44.99</v>
      </c>
      <c r="O262" s="2" t="s">
        <v>224</v>
      </c>
      <c r="P262" s="2" t="s">
        <v>225</v>
      </c>
      <c r="Q262" s="2" t="s">
        <v>226</v>
      </c>
      <c r="R262" s="2" t="s">
        <v>227</v>
      </c>
      <c r="S262" s="2" t="s">
        <v>2050</v>
      </c>
      <c r="T262" s="2" t="s">
        <v>1897</v>
      </c>
      <c r="U262" s="2" t="s">
        <v>287</v>
      </c>
      <c r="V262" s="2" t="s">
        <v>230</v>
      </c>
      <c r="W262" s="2" t="s">
        <v>231</v>
      </c>
      <c r="X262" s="2" t="s">
        <v>227</v>
      </c>
      <c r="Y262" s="2" t="s">
        <v>232</v>
      </c>
      <c r="Z262" s="4">
        <v>109</v>
      </c>
      <c r="AA262" s="4">
        <f>=ROUNDDOWN(7.78571428571429,0)</f>
      </c>
      <c r="AB262" s="5">
        <v>14</v>
      </c>
      <c r="AC262" s="2" t="s">
        <v>1266</v>
      </c>
      <c r="AD262" s="4">
        <v>50</v>
      </c>
      <c r="AE262" s="4">
        <v>540</v>
      </c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227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 t="s">
        <v>227</v>
      </c>
      <c r="BD262" s="8" t="s">
        <v>227</v>
      </c>
      <c r="BE262" s="4" t="s">
        <v>227</v>
      </c>
      <c r="BF262" s="8" t="s">
        <v>227</v>
      </c>
      <c r="BG262" s="7" t="s">
        <v>227</v>
      </c>
      <c r="BH262" s="7" t="s">
        <v>227</v>
      </c>
      <c r="BI262" s="7"/>
      <c r="BJ262" s="4">
        <v>62</v>
      </c>
      <c r="BK262" s="8">
        <v>1426.26</v>
      </c>
      <c r="BL262" s="2" t="s">
        <v>2051</v>
      </c>
      <c r="BM262" s="7"/>
      <c r="BN262" s="7"/>
      <c r="BO262" s="4"/>
      <c r="BP262" s="8"/>
      <c r="BQ262" s="4"/>
      <c r="BR262" s="8"/>
      <c r="BS262" s="7"/>
      <c r="BT262" s="7"/>
      <c r="BU262" s="2" t="s">
        <v>2052</v>
      </c>
      <c r="BV262" s="2" t="s">
        <v>227</v>
      </c>
      <c r="BW262" s="2" t="s">
        <v>227</v>
      </c>
      <c r="BX262" s="2" t="s">
        <v>235</v>
      </c>
      <c r="BY262" s="2" t="s">
        <v>236</v>
      </c>
      <c r="BZ262" s="2" t="s">
        <v>224</v>
      </c>
      <c r="CA262" s="2" t="s">
        <v>237</v>
      </c>
      <c r="CB262" s="2" t="s">
        <v>2053</v>
      </c>
      <c r="CC262" s="2" t="s">
        <v>239</v>
      </c>
      <c r="CD262" s="2" t="s">
        <v>227</v>
      </c>
      <c r="CE262" s="4">
        <v>109</v>
      </c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>
        <v>50</v>
      </c>
      <c r="DS262" s="4"/>
      <c r="DT262" s="4">
        <v>100</v>
      </c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>
        <v>90</v>
      </c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>
        <v>100</v>
      </c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>
        <v>50</v>
      </c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>
        <v>80</v>
      </c>
      <c r="GR262" s="4"/>
      <c r="GS262" s="4"/>
      <c r="GT262" s="4"/>
      <c r="GU262" s="4"/>
      <c r="GV262" s="4"/>
      <c r="GW262" s="4"/>
      <c r="GX262" s="4">
        <v>70</v>
      </c>
    </row>
    <row r="263">
      <c r="A263" s="2" t="s">
        <v>2054</v>
      </c>
      <c r="B263" s="2" t="s">
        <v>278</v>
      </c>
      <c r="C263" s="2" t="s">
        <v>1299</v>
      </c>
      <c r="D263" s="2" t="s">
        <v>280</v>
      </c>
      <c r="E263" s="2" t="s">
        <v>281</v>
      </c>
      <c r="F263" s="2" t="s">
        <v>2048</v>
      </c>
      <c r="G263" s="2" t="s">
        <v>2048</v>
      </c>
      <c r="H263" s="2" t="s">
        <v>2048</v>
      </c>
      <c r="I263" s="2" t="s">
        <v>2049</v>
      </c>
      <c r="J263" s="2" t="s">
        <v>241</v>
      </c>
      <c r="K263" s="2" t="s">
        <v>2055</v>
      </c>
      <c r="L263" s="3">
        <v>20.16</v>
      </c>
      <c r="M263" s="3">
        <v>21.17</v>
      </c>
      <c r="N263" s="3">
        <v>41.99</v>
      </c>
      <c r="O263" s="2" t="s">
        <v>224</v>
      </c>
      <c r="P263" s="2" t="s">
        <v>225</v>
      </c>
      <c r="Q263" s="2" t="s">
        <v>226</v>
      </c>
      <c r="R263" s="2" t="s">
        <v>227</v>
      </c>
      <c r="S263" s="2" t="s">
        <v>2056</v>
      </c>
      <c r="T263" s="2" t="s">
        <v>1897</v>
      </c>
      <c r="U263" s="2" t="s">
        <v>674</v>
      </c>
      <c r="V263" s="2" t="s">
        <v>230</v>
      </c>
      <c r="W263" s="2" t="s">
        <v>231</v>
      </c>
      <c r="X263" s="2" t="s">
        <v>227</v>
      </c>
      <c r="Y263" s="2" t="s">
        <v>232</v>
      </c>
      <c r="Z263" s="4"/>
      <c r="AA263" s="4">
        <f>=ROUNDDOWN({0},0)</f>
      </c>
      <c r="AB263" s="5">
        <v>13</v>
      </c>
      <c r="AC263" s="2" t="s">
        <v>1266</v>
      </c>
      <c r="AD263" s="4">
        <v>80</v>
      </c>
      <c r="AE263" s="4">
        <v>690</v>
      </c>
      <c r="AF263" s="6">
        <v>67</v>
      </c>
      <c r="AG263" s="6"/>
      <c r="AH263" s="7">
        <v>0.129</v>
      </c>
      <c r="AI263" s="4"/>
      <c r="AJ263" s="4">
        <f>=ROUNDDOWN({0},0)</f>
      </c>
      <c r="AK263" s="5"/>
      <c r="AL263" s="2" t="s">
        <v>227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227</v>
      </c>
      <c r="AW263" s="8" t="s">
        <v>227</v>
      </c>
      <c r="AX263" s="4" t="s">
        <v>227</v>
      </c>
      <c r="AY263" s="8" t="s">
        <v>227</v>
      </c>
      <c r="AZ263" s="7" t="s">
        <v>227</v>
      </c>
      <c r="BA263" s="7" t="s">
        <v>227</v>
      </c>
      <c r="BB263" s="7"/>
      <c r="BC263" s="4" t="s">
        <v>227</v>
      </c>
      <c r="BD263" s="8" t="s">
        <v>227</v>
      </c>
      <c r="BE263" s="4" t="s">
        <v>227</v>
      </c>
      <c r="BF263" s="8" t="s">
        <v>227</v>
      </c>
      <c r="BG263" s="7" t="s">
        <v>227</v>
      </c>
      <c r="BH263" s="7" t="s">
        <v>227</v>
      </c>
      <c r="BI263" s="7"/>
      <c r="BJ263" s="4">
        <v>77</v>
      </c>
      <c r="BK263" s="8">
        <v>1638.12</v>
      </c>
      <c r="BL263" s="2" t="s">
        <v>2057</v>
      </c>
      <c r="BM263" s="7"/>
      <c r="BN263" s="7"/>
      <c r="BO263" s="4"/>
      <c r="BP263" s="8"/>
      <c r="BQ263" s="4"/>
      <c r="BR263" s="8"/>
      <c r="BS263" s="7"/>
      <c r="BT263" s="7"/>
      <c r="BU263" s="2" t="s">
        <v>2058</v>
      </c>
      <c r="BV263" s="2" t="s">
        <v>227</v>
      </c>
      <c r="BW263" s="2" t="s">
        <v>227</v>
      </c>
      <c r="BX263" s="2" t="s">
        <v>235</v>
      </c>
      <c r="BY263" s="2" t="s">
        <v>236</v>
      </c>
      <c r="BZ263" s="2" t="s">
        <v>224</v>
      </c>
      <c r="CA263" s="2" t="s">
        <v>237</v>
      </c>
      <c r="CB263" s="2" t="s">
        <v>2059</v>
      </c>
      <c r="CC263" s="2" t="s">
        <v>239</v>
      </c>
      <c r="CD263" s="2" t="s">
        <v>227</v>
      </c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>
        <v>80</v>
      </c>
      <c r="DS263" s="4"/>
      <c r="DT263" s="4">
        <v>140</v>
      </c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>
        <v>90</v>
      </c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>
        <v>40</v>
      </c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>
        <v>220</v>
      </c>
      <c r="GR263" s="4"/>
      <c r="GS263" s="4"/>
      <c r="GT263" s="4"/>
      <c r="GU263" s="4"/>
      <c r="GV263" s="4"/>
      <c r="GW263" s="4"/>
      <c r="GX263" s="4">
        <v>120</v>
      </c>
    </row>
    <row r="264">
      <c r="A264" s="2" t="s">
        <v>2060</v>
      </c>
      <c r="B264" s="2" t="s">
        <v>278</v>
      </c>
      <c r="C264" s="2" t="s">
        <v>1299</v>
      </c>
      <c r="D264" s="2" t="s">
        <v>280</v>
      </c>
      <c r="E264" s="2" t="s">
        <v>281</v>
      </c>
      <c r="F264" s="2" t="s">
        <v>2048</v>
      </c>
      <c r="G264" s="2" t="s">
        <v>2048</v>
      </c>
      <c r="H264" s="2" t="s">
        <v>2048</v>
      </c>
      <c r="I264" s="2" t="s">
        <v>2049</v>
      </c>
      <c r="J264" s="2" t="s">
        <v>247</v>
      </c>
      <c r="K264" s="2" t="s">
        <v>2055</v>
      </c>
      <c r="L264" s="3">
        <v>21.6</v>
      </c>
      <c r="M264" s="3">
        <v>22.68</v>
      </c>
      <c r="N264" s="3">
        <v>44.99</v>
      </c>
      <c r="O264" s="2" t="s">
        <v>224</v>
      </c>
      <c r="P264" s="2" t="s">
        <v>225</v>
      </c>
      <c r="Q264" s="2" t="s">
        <v>226</v>
      </c>
      <c r="R264" s="2" t="s">
        <v>227</v>
      </c>
      <c r="S264" s="2" t="s">
        <v>2056</v>
      </c>
      <c r="T264" s="2" t="s">
        <v>1897</v>
      </c>
      <c r="U264" s="2" t="s">
        <v>287</v>
      </c>
      <c r="V264" s="2" t="s">
        <v>230</v>
      </c>
      <c r="W264" s="2" t="s">
        <v>231</v>
      </c>
      <c r="X264" s="2" t="s">
        <v>227</v>
      </c>
      <c r="Y264" s="2" t="s">
        <v>232</v>
      </c>
      <c r="Z264" s="4">
        <v>177</v>
      </c>
      <c r="AA264" s="4">
        <f>=ROUNDDOWN(9.83333333333333,0)</f>
      </c>
      <c r="AB264" s="5">
        <v>18</v>
      </c>
      <c r="AC264" s="2" t="s">
        <v>1266</v>
      </c>
      <c r="AD264" s="4">
        <v>80</v>
      </c>
      <c r="AE264" s="4">
        <v>560</v>
      </c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227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227</v>
      </c>
      <c r="AW264" s="8" t="s">
        <v>227</v>
      </c>
      <c r="AX264" s="4" t="s">
        <v>227</v>
      </c>
      <c r="AY264" s="8" t="s">
        <v>227</v>
      </c>
      <c r="AZ264" s="7" t="s">
        <v>227</v>
      </c>
      <c r="BA264" s="7" t="s">
        <v>227</v>
      </c>
      <c r="BB264" s="7"/>
      <c r="BC264" s="4" t="s">
        <v>227</v>
      </c>
      <c r="BD264" s="8" t="s">
        <v>227</v>
      </c>
      <c r="BE264" s="4" t="s">
        <v>227</v>
      </c>
      <c r="BF264" s="8" t="s">
        <v>227</v>
      </c>
      <c r="BG264" s="7" t="s">
        <v>227</v>
      </c>
      <c r="BH264" s="7" t="s">
        <v>227</v>
      </c>
      <c r="BI264" s="7"/>
      <c r="BJ264" s="4">
        <v>89</v>
      </c>
      <c r="BK264" s="8">
        <v>2040.89</v>
      </c>
      <c r="BL264" s="2" t="s">
        <v>2061</v>
      </c>
      <c r="BM264" s="7"/>
      <c r="BN264" s="7"/>
      <c r="BO264" s="4"/>
      <c r="BP264" s="8"/>
      <c r="BQ264" s="4"/>
      <c r="BR264" s="8"/>
      <c r="BS264" s="7"/>
      <c r="BT264" s="7"/>
      <c r="BU264" s="2" t="s">
        <v>2062</v>
      </c>
      <c r="BV264" s="2" t="s">
        <v>227</v>
      </c>
      <c r="BW264" s="2" t="s">
        <v>227</v>
      </c>
      <c r="BX264" s="2" t="s">
        <v>235</v>
      </c>
      <c r="BY264" s="2" t="s">
        <v>236</v>
      </c>
      <c r="BZ264" s="2" t="s">
        <v>224</v>
      </c>
      <c r="CA264" s="2" t="s">
        <v>237</v>
      </c>
      <c r="CB264" s="2" t="s">
        <v>2053</v>
      </c>
      <c r="CC264" s="2" t="s">
        <v>239</v>
      </c>
      <c r="CD264" s="2" t="s">
        <v>227</v>
      </c>
      <c r="CE264" s="4">
        <v>177</v>
      </c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>
        <v>80</v>
      </c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>
        <v>170</v>
      </c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>
        <v>100</v>
      </c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>
        <v>90</v>
      </c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>
        <v>50</v>
      </c>
      <c r="GR264" s="4"/>
      <c r="GS264" s="4"/>
      <c r="GT264" s="4"/>
      <c r="GU264" s="4"/>
      <c r="GV264" s="4"/>
      <c r="GW264" s="4"/>
      <c r="GX264" s="4">
        <v>70</v>
      </c>
    </row>
    <row r="265">
      <c r="A265" s="2" t="s">
        <v>2063</v>
      </c>
      <c r="B265" s="2" t="s">
        <v>278</v>
      </c>
      <c r="C265" s="2" t="s">
        <v>1299</v>
      </c>
      <c r="D265" s="2" t="s">
        <v>280</v>
      </c>
      <c r="E265" s="2" t="s">
        <v>281</v>
      </c>
      <c r="F265" s="2" t="s">
        <v>2048</v>
      </c>
      <c r="G265" s="2" t="s">
        <v>2048</v>
      </c>
      <c r="H265" s="2" t="s">
        <v>2048</v>
      </c>
      <c r="I265" s="2" t="s">
        <v>2049</v>
      </c>
      <c r="J265" s="2" t="s">
        <v>252</v>
      </c>
      <c r="K265" s="2" t="s">
        <v>2055</v>
      </c>
      <c r="L265" s="3">
        <v>24.5</v>
      </c>
      <c r="M265" s="3">
        <v>25.72</v>
      </c>
      <c r="N265" s="3">
        <v>49.99</v>
      </c>
      <c r="O265" s="2" t="s">
        <v>224</v>
      </c>
      <c r="P265" s="2" t="s">
        <v>225</v>
      </c>
      <c r="Q265" s="2" t="s">
        <v>226</v>
      </c>
      <c r="R265" s="2" t="s">
        <v>227</v>
      </c>
      <c r="S265" s="2" t="s">
        <v>2056</v>
      </c>
      <c r="T265" s="2" t="s">
        <v>1897</v>
      </c>
      <c r="U265" s="2" t="s">
        <v>287</v>
      </c>
      <c r="V265" s="2" t="s">
        <v>230</v>
      </c>
      <c r="W265" s="2" t="s">
        <v>231</v>
      </c>
      <c r="X265" s="2" t="s">
        <v>227</v>
      </c>
      <c r="Y265" s="2" t="s">
        <v>232</v>
      </c>
      <c r="Z265" s="4">
        <v>192</v>
      </c>
      <c r="AA265" s="4">
        <f>=ROUNDDOWN(13.7142857142857,0)</f>
      </c>
      <c r="AB265" s="5">
        <v>14</v>
      </c>
      <c r="AC265" s="2" t="s">
        <v>1266</v>
      </c>
      <c r="AD265" s="4">
        <v>90</v>
      </c>
      <c r="AE265" s="4">
        <v>570</v>
      </c>
      <c r="AF265" s="6">
        <v>67</v>
      </c>
      <c r="AG265" s="6"/>
      <c r="AH265" s="7">
        <v>1</v>
      </c>
      <c r="AI265" s="4"/>
      <c r="AJ265" s="4">
        <f>=ROUNDDOWN({0},0)</f>
      </c>
      <c r="AK265" s="5"/>
      <c r="AL265" s="2" t="s">
        <v>227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227</v>
      </c>
      <c r="AW265" s="8" t="s">
        <v>227</v>
      </c>
      <c r="AX265" s="4" t="s">
        <v>227</v>
      </c>
      <c r="AY265" s="8" t="s">
        <v>227</v>
      </c>
      <c r="AZ265" s="7" t="s">
        <v>227</v>
      </c>
      <c r="BA265" s="7" t="s">
        <v>227</v>
      </c>
      <c r="BB265" s="7"/>
      <c r="BC265" s="4" t="s">
        <v>227</v>
      </c>
      <c r="BD265" s="8" t="s">
        <v>227</v>
      </c>
      <c r="BE265" s="4" t="s">
        <v>227</v>
      </c>
      <c r="BF265" s="8" t="s">
        <v>227</v>
      </c>
      <c r="BG265" s="7" t="s">
        <v>227</v>
      </c>
      <c r="BH265" s="7" t="s">
        <v>227</v>
      </c>
      <c r="BI265" s="7"/>
      <c r="BJ265" s="4">
        <v>59</v>
      </c>
      <c r="BK265" s="8">
        <v>1522.92</v>
      </c>
      <c r="BL265" s="2" t="s">
        <v>2064</v>
      </c>
      <c r="BM265" s="7"/>
      <c r="BN265" s="7"/>
      <c r="BO265" s="4"/>
      <c r="BP265" s="8"/>
      <c r="BQ265" s="4"/>
      <c r="BR265" s="8"/>
      <c r="BS265" s="7"/>
      <c r="BT265" s="7"/>
      <c r="BU265" s="2" t="s">
        <v>2065</v>
      </c>
      <c r="BV265" s="2" t="s">
        <v>227</v>
      </c>
      <c r="BW265" s="2" t="s">
        <v>227</v>
      </c>
      <c r="BX265" s="2" t="s">
        <v>235</v>
      </c>
      <c r="BY265" s="2" t="s">
        <v>236</v>
      </c>
      <c r="BZ265" s="2" t="s">
        <v>224</v>
      </c>
      <c r="CA265" s="2" t="s">
        <v>237</v>
      </c>
      <c r="CB265" s="2" t="s">
        <v>2066</v>
      </c>
      <c r="CC265" s="2" t="s">
        <v>239</v>
      </c>
      <c r="CD265" s="2" t="s">
        <v>227</v>
      </c>
      <c r="CE265" s="4">
        <v>192</v>
      </c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>
        <v>90</v>
      </c>
      <c r="DS265" s="4"/>
      <c r="DT265" s="4">
        <v>110</v>
      </c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>
        <v>90</v>
      </c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>
        <v>40</v>
      </c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>
        <v>180</v>
      </c>
      <c r="GR265" s="4"/>
      <c r="GS265" s="4"/>
      <c r="GT265" s="4"/>
      <c r="GU265" s="4"/>
      <c r="GV265" s="4"/>
      <c r="GW265" s="4"/>
      <c r="GX265" s="4">
        <v>60</v>
      </c>
    </row>
    <row r="266">
      <c r="A266" s="2" t="s">
        <v>2067</v>
      </c>
      <c r="B266" s="2" t="s">
        <v>278</v>
      </c>
      <c r="C266" s="2" t="s">
        <v>1299</v>
      </c>
      <c r="D266" s="2" t="s">
        <v>280</v>
      </c>
      <c r="E266" s="2" t="s">
        <v>281</v>
      </c>
      <c r="F266" s="2" t="s">
        <v>2048</v>
      </c>
      <c r="G266" s="2" t="s">
        <v>2048</v>
      </c>
      <c r="H266" s="2" t="s">
        <v>2048</v>
      </c>
      <c r="I266" s="2" t="s">
        <v>2049</v>
      </c>
      <c r="J266" s="2" t="s">
        <v>241</v>
      </c>
      <c r="K266" s="2" t="s">
        <v>2068</v>
      </c>
      <c r="L266" s="3">
        <v>20.16</v>
      </c>
      <c r="M266" s="3">
        <v>21.17</v>
      </c>
      <c r="N266" s="3">
        <v>41.99</v>
      </c>
      <c r="O266" s="2" t="s">
        <v>224</v>
      </c>
      <c r="P266" s="2" t="s">
        <v>225</v>
      </c>
      <c r="Q266" s="2" t="s">
        <v>226</v>
      </c>
      <c r="R266" s="2" t="s">
        <v>227</v>
      </c>
      <c r="S266" s="2" t="s">
        <v>2069</v>
      </c>
      <c r="T266" s="2" t="s">
        <v>1897</v>
      </c>
      <c r="U266" s="2" t="s">
        <v>674</v>
      </c>
      <c r="V266" s="2" t="s">
        <v>230</v>
      </c>
      <c r="W266" s="2" t="s">
        <v>231</v>
      </c>
      <c r="X266" s="2" t="s">
        <v>227</v>
      </c>
      <c r="Y266" s="2" t="s">
        <v>232</v>
      </c>
      <c r="Z266" s="4">
        <v>318</v>
      </c>
      <c r="AA266" s="4">
        <f>=ROUNDDOWN(35.3333333333333,0)</f>
      </c>
      <c r="AB266" s="5">
        <v>9</v>
      </c>
      <c r="AC266" s="2" t="s">
        <v>1266</v>
      </c>
      <c r="AD266" s="4">
        <v>50</v>
      </c>
      <c r="AE266" s="4">
        <v>200</v>
      </c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227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227</v>
      </c>
      <c r="BD266" s="8" t="s">
        <v>227</v>
      </c>
      <c r="BE266" s="4" t="s">
        <v>227</v>
      </c>
      <c r="BF266" s="8" t="s">
        <v>227</v>
      </c>
      <c r="BG266" s="7" t="s">
        <v>227</v>
      </c>
      <c r="BH266" s="7" t="s">
        <v>227</v>
      </c>
      <c r="BI266" s="7"/>
      <c r="BJ266" s="4">
        <v>118</v>
      </c>
      <c r="BK266" s="8">
        <v>2516.2</v>
      </c>
      <c r="BL266" s="2" t="s">
        <v>2057</v>
      </c>
      <c r="BM266" s="7"/>
      <c r="BN266" s="7"/>
      <c r="BO266" s="4"/>
      <c r="BP266" s="8"/>
      <c r="BQ266" s="4"/>
      <c r="BR266" s="8"/>
      <c r="BS266" s="7"/>
      <c r="BT266" s="7"/>
      <c r="BU266" s="2" t="s">
        <v>2070</v>
      </c>
      <c r="BV266" s="2" t="s">
        <v>227</v>
      </c>
      <c r="BW266" s="2" t="s">
        <v>227</v>
      </c>
      <c r="BX266" s="2" t="s">
        <v>235</v>
      </c>
      <c r="BY266" s="2" t="s">
        <v>236</v>
      </c>
      <c r="BZ266" s="2" t="s">
        <v>224</v>
      </c>
      <c r="CA266" s="2" t="s">
        <v>237</v>
      </c>
      <c r="CB266" s="2" t="s">
        <v>742</v>
      </c>
      <c r="CC266" s="2" t="s">
        <v>239</v>
      </c>
      <c r="CD266" s="2" t="s">
        <v>227</v>
      </c>
      <c r="CE266" s="4">
        <v>318</v>
      </c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>
        <v>50</v>
      </c>
      <c r="DS266" s="4"/>
      <c r="DT266" s="4">
        <v>150</v>
      </c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</row>
    <row r="267">
      <c r="A267" s="2" t="s">
        <v>2071</v>
      </c>
      <c r="B267" s="2" t="s">
        <v>278</v>
      </c>
      <c r="C267" s="2" t="s">
        <v>1299</v>
      </c>
      <c r="D267" s="2" t="s">
        <v>280</v>
      </c>
      <c r="E267" s="2" t="s">
        <v>281</v>
      </c>
      <c r="F267" s="2" t="s">
        <v>2048</v>
      </c>
      <c r="G267" s="2" t="s">
        <v>2048</v>
      </c>
      <c r="H267" s="2" t="s">
        <v>2048</v>
      </c>
      <c r="I267" s="2" t="s">
        <v>2049</v>
      </c>
      <c r="J267" s="2" t="s">
        <v>222</v>
      </c>
      <c r="K267" s="2" t="s">
        <v>610</v>
      </c>
      <c r="L267" s="3">
        <v>18.8</v>
      </c>
      <c r="M267" s="3">
        <v>19.74</v>
      </c>
      <c r="N267" s="3">
        <v>39.99</v>
      </c>
      <c r="O267" s="2" t="s">
        <v>224</v>
      </c>
      <c r="P267" s="2" t="s">
        <v>225</v>
      </c>
      <c r="Q267" s="2" t="s">
        <v>226</v>
      </c>
      <c r="R267" s="2" t="s">
        <v>227</v>
      </c>
      <c r="S267" s="2" t="s">
        <v>2072</v>
      </c>
      <c r="T267" s="2" t="s">
        <v>1897</v>
      </c>
      <c r="U267" s="2" t="s">
        <v>674</v>
      </c>
      <c r="V267" s="2" t="s">
        <v>230</v>
      </c>
      <c r="W267" s="2" t="s">
        <v>231</v>
      </c>
      <c r="X267" s="2" t="s">
        <v>227</v>
      </c>
      <c r="Y267" s="2" t="s">
        <v>2073</v>
      </c>
      <c r="Z267" s="4">
        <v>69</v>
      </c>
      <c r="AA267" s="4">
        <f>=ROUNDDOWN(3.13636363636364,0)</f>
      </c>
      <c r="AB267" s="5">
        <v>22</v>
      </c>
      <c r="AC267" s="2" t="s">
        <v>1266</v>
      </c>
      <c r="AD267" s="4">
        <v>70</v>
      </c>
      <c r="AE267" s="4">
        <v>740</v>
      </c>
      <c r="AF267" s="6">
        <v>67</v>
      </c>
      <c r="AG267" s="6"/>
      <c r="AH267" s="7">
        <v>0.9677</v>
      </c>
      <c r="AI267" s="4"/>
      <c r="AJ267" s="4">
        <f>=ROUNDDOWN({0},0)</f>
      </c>
      <c r="AK267" s="5"/>
      <c r="AL267" s="2" t="s">
        <v>227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227</v>
      </c>
      <c r="AW267" s="8" t="s">
        <v>227</v>
      </c>
      <c r="AX267" s="4" t="s">
        <v>227</v>
      </c>
      <c r="AY267" s="8" t="s">
        <v>227</v>
      </c>
      <c r="AZ267" s="7" t="s">
        <v>227</v>
      </c>
      <c r="BA267" s="7" t="s">
        <v>227</v>
      </c>
      <c r="BB267" s="7"/>
      <c r="BC267" s="4" t="s">
        <v>227</v>
      </c>
      <c r="BD267" s="8" t="s">
        <v>227</v>
      </c>
      <c r="BE267" s="4" t="s">
        <v>227</v>
      </c>
      <c r="BF267" s="8" t="s">
        <v>227</v>
      </c>
      <c r="BG267" s="7" t="s">
        <v>227</v>
      </c>
      <c r="BH267" s="7" t="s">
        <v>227</v>
      </c>
      <c r="BI267" s="7"/>
      <c r="BJ267" s="4">
        <v>82</v>
      </c>
      <c r="BK267" s="8">
        <v>1618.33</v>
      </c>
      <c r="BL267" s="2" t="s">
        <v>631</v>
      </c>
      <c r="BM267" s="7"/>
      <c r="BN267" s="7"/>
      <c r="BO267" s="4"/>
      <c r="BP267" s="8"/>
      <c r="BQ267" s="4"/>
      <c r="BR267" s="8"/>
      <c r="BS267" s="7"/>
      <c r="BT267" s="7"/>
      <c r="BU267" s="2" t="s">
        <v>2074</v>
      </c>
      <c r="BV267" s="2" t="s">
        <v>227</v>
      </c>
      <c r="BW267" s="2" t="s">
        <v>227</v>
      </c>
      <c r="BX267" s="2" t="s">
        <v>235</v>
      </c>
      <c r="BY267" s="2" t="s">
        <v>236</v>
      </c>
      <c r="BZ267" s="2" t="s">
        <v>224</v>
      </c>
      <c r="CA267" s="2" t="s">
        <v>2075</v>
      </c>
      <c r="CB267" s="2" t="s">
        <v>2076</v>
      </c>
      <c r="CC267" s="2" t="s">
        <v>239</v>
      </c>
      <c r="CD267" s="2" t="s">
        <v>227</v>
      </c>
      <c r="CE267" s="4">
        <v>69</v>
      </c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>
        <v>70</v>
      </c>
      <c r="DS267" s="4"/>
      <c r="DT267" s="4">
        <v>80</v>
      </c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>
        <v>60</v>
      </c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>
        <v>350</v>
      </c>
      <c r="GR267" s="4"/>
      <c r="GS267" s="4"/>
      <c r="GT267" s="4"/>
      <c r="GU267" s="4"/>
      <c r="GV267" s="4"/>
      <c r="GW267" s="4"/>
      <c r="GX267" s="4">
        <v>180</v>
      </c>
    </row>
    <row r="268">
      <c r="A268" s="2" t="s">
        <v>2077</v>
      </c>
      <c r="B268" s="2" t="s">
        <v>278</v>
      </c>
      <c r="C268" s="2" t="s">
        <v>1299</v>
      </c>
      <c r="D268" s="2" t="s">
        <v>280</v>
      </c>
      <c r="E268" s="2" t="s">
        <v>281</v>
      </c>
      <c r="F268" s="2" t="s">
        <v>2048</v>
      </c>
      <c r="G268" s="2" t="s">
        <v>2048</v>
      </c>
      <c r="H268" s="2" t="s">
        <v>2048</v>
      </c>
      <c r="I268" s="2" t="s">
        <v>2049</v>
      </c>
      <c r="J268" s="2" t="s">
        <v>247</v>
      </c>
      <c r="K268" s="2" t="s">
        <v>610</v>
      </c>
      <c r="L268" s="3">
        <v>21.6</v>
      </c>
      <c r="M268" s="3">
        <v>22.68</v>
      </c>
      <c r="N268" s="3">
        <v>44.99</v>
      </c>
      <c r="O268" s="2" t="s">
        <v>224</v>
      </c>
      <c r="P268" s="2" t="s">
        <v>225</v>
      </c>
      <c r="Q268" s="2" t="s">
        <v>226</v>
      </c>
      <c r="R268" s="2" t="s">
        <v>227</v>
      </c>
      <c r="S268" s="2" t="s">
        <v>2072</v>
      </c>
      <c r="T268" s="2" t="s">
        <v>1897</v>
      </c>
      <c r="U268" s="2" t="s">
        <v>287</v>
      </c>
      <c r="V268" s="2" t="s">
        <v>230</v>
      </c>
      <c r="W268" s="2" t="s">
        <v>231</v>
      </c>
      <c r="X268" s="2" t="s">
        <v>227</v>
      </c>
      <c r="Y268" s="2" t="s">
        <v>2073</v>
      </c>
      <c r="Z268" s="4">
        <v>72</v>
      </c>
      <c r="AA268" s="4">
        <f>=ROUNDDOWN(4.23529411764706,0)</f>
      </c>
      <c r="AB268" s="5">
        <v>17</v>
      </c>
      <c r="AC268" s="2" t="s">
        <v>1266</v>
      </c>
      <c r="AD268" s="4">
        <v>90</v>
      </c>
      <c r="AE268" s="4">
        <v>630</v>
      </c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227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227</v>
      </c>
      <c r="AW268" s="8" t="s">
        <v>227</v>
      </c>
      <c r="AX268" s="4" t="s">
        <v>227</v>
      </c>
      <c r="AY268" s="8" t="s">
        <v>227</v>
      </c>
      <c r="AZ268" s="7" t="s">
        <v>227</v>
      </c>
      <c r="BA268" s="7" t="s">
        <v>227</v>
      </c>
      <c r="BB268" s="7"/>
      <c r="BC268" s="4" t="s">
        <v>227</v>
      </c>
      <c r="BD268" s="8" t="s">
        <v>227</v>
      </c>
      <c r="BE268" s="4" t="s">
        <v>227</v>
      </c>
      <c r="BF268" s="8" t="s">
        <v>227</v>
      </c>
      <c r="BG268" s="7" t="s">
        <v>227</v>
      </c>
      <c r="BH268" s="7" t="s">
        <v>227</v>
      </c>
      <c r="BI268" s="7"/>
      <c r="BJ268" s="4">
        <v>82</v>
      </c>
      <c r="BK268" s="8">
        <v>1872.57</v>
      </c>
      <c r="BL268" s="2" t="s">
        <v>2078</v>
      </c>
      <c r="BM268" s="7"/>
      <c r="BN268" s="7"/>
      <c r="BO268" s="4"/>
      <c r="BP268" s="8"/>
      <c r="BQ268" s="4"/>
      <c r="BR268" s="8"/>
      <c r="BS268" s="7"/>
      <c r="BT268" s="7"/>
      <c r="BU268" s="2" t="s">
        <v>2079</v>
      </c>
      <c r="BV268" s="2" t="s">
        <v>227</v>
      </c>
      <c r="BW268" s="2" t="s">
        <v>227</v>
      </c>
      <c r="BX268" s="2" t="s">
        <v>235</v>
      </c>
      <c r="BY268" s="2" t="s">
        <v>236</v>
      </c>
      <c r="BZ268" s="2" t="s">
        <v>224</v>
      </c>
      <c r="CA268" s="2" t="s">
        <v>2075</v>
      </c>
      <c r="CB268" s="2" t="s">
        <v>2080</v>
      </c>
      <c r="CC268" s="2" t="s">
        <v>239</v>
      </c>
      <c r="CD268" s="2" t="s">
        <v>227</v>
      </c>
      <c r="CE268" s="4">
        <v>72</v>
      </c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>
        <v>90</v>
      </c>
      <c r="DS268" s="4"/>
      <c r="DT268" s="4">
        <v>50</v>
      </c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>
        <v>140</v>
      </c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>
        <v>250</v>
      </c>
      <c r="GR268" s="4"/>
      <c r="GS268" s="4"/>
      <c r="GT268" s="4"/>
      <c r="GU268" s="4"/>
      <c r="GV268" s="4"/>
      <c r="GW268" s="4"/>
      <c r="GX268" s="4">
        <v>100</v>
      </c>
    </row>
    <row r="269">
      <c r="A269" s="2" t="s">
        <v>2081</v>
      </c>
      <c r="B269" s="2" t="s">
        <v>278</v>
      </c>
      <c r="C269" s="2" t="s">
        <v>1299</v>
      </c>
      <c r="D269" s="2" t="s">
        <v>280</v>
      </c>
      <c r="E269" s="2" t="s">
        <v>281</v>
      </c>
      <c r="F269" s="2" t="s">
        <v>2048</v>
      </c>
      <c r="G269" s="2" t="s">
        <v>2048</v>
      </c>
      <c r="H269" s="2" t="s">
        <v>2048</v>
      </c>
      <c r="I269" s="2" t="s">
        <v>2049</v>
      </c>
      <c r="J269" s="2" t="s">
        <v>257</v>
      </c>
      <c r="K269" s="2" t="s">
        <v>610</v>
      </c>
      <c r="L269" s="3">
        <v>26.95</v>
      </c>
      <c r="M269" s="3">
        <v>28.3</v>
      </c>
      <c r="N269" s="3">
        <v>54.99</v>
      </c>
      <c r="O269" s="2" t="s">
        <v>224</v>
      </c>
      <c r="P269" s="2" t="s">
        <v>225</v>
      </c>
      <c r="Q269" s="2" t="s">
        <v>226</v>
      </c>
      <c r="R269" s="2" t="s">
        <v>227</v>
      </c>
      <c r="S269" s="2" t="s">
        <v>2072</v>
      </c>
      <c r="T269" s="2" t="s">
        <v>1897</v>
      </c>
      <c r="U269" s="2" t="s">
        <v>287</v>
      </c>
      <c r="V269" s="2" t="s">
        <v>230</v>
      </c>
      <c r="W269" s="2" t="s">
        <v>231</v>
      </c>
      <c r="X269" s="2" t="s">
        <v>227</v>
      </c>
      <c r="Y269" s="2" t="s">
        <v>595</v>
      </c>
      <c r="Z269" s="4">
        <v>327</v>
      </c>
      <c r="AA269" s="4">
        <f>=ROUNDDOWN(20.4375,0)</f>
      </c>
      <c r="AB269" s="5">
        <v>16</v>
      </c>
      <c r="AC269" s="2" t="s">
        <v>2082</v>
      </c>
      <c r="AD269" s="4">
        <v>30</v>
      </c>
      <c r="AE269" s="4">
        <v>330</v>
      </c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227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227</v>
      </c>
      <c r="AW269" s="8" t="s">
        <v>227</v>
      </c>
      <c r="AX269" s="4" t="s">
        <v>227</v>
      </c>
      <c r="AY269" s="8" t="s">
        <v>227</v>
      </c>
      <c r="AZ269" s="7" t="s">
        <v>227</v>
      </c>
      <c r="BA269" s="7" t="s">
        <v>227</v>
      </c>
      <c r="BB269" s="7"/>
      <c r="BC269" s="4" t="s">
        <v>227</v>
      </c>
      <c r="BD269" s="8" t="s">
        <v>227</v>
      </c>
      <c r="BE269" s="4" t="s">
        <v>227</v>
      </c>
      <c r="BF269" s="8" t="s">
        <v>227</v>
      </c>
      <c r="BG269" s="7" t="s">
        <v>227</v>
      </c>
      <c r="BH269" s="7" t="s">
        <v>227</v>
      </c>
      <c r="BI269" s="7"/>
      <c r="BJ269" s="4">
        <v>59</v>
      </c>
      <c r="BK269" s="8">
        <v>1727.9</v>
      </c>
      <c r="BL269" s="2" t="s">
        <v>2083</v>
      </c>
      <c r="BM269" s="7"/>
      <c r="BN269" s="7"/>
      <c r="BO269" s="4"/>
      <c r="BP269" s="8"/>
      <c r="BQ269" s="4"/>
      <c r="BR269" s="8"/>
      <c r="BS269" s="7"/>
      <c r="BT269" s="7"/>
      <c r="BU269" s="2" t="s">
        <v>2084</v>
      </c>
      <c r="BV269" s="2" t="s">
        <v>227</v>
      </c>
      <c r="BW269" s="2" t="s">
        <v>227</v>
      </c>
      <c r="BX269" s="2" t="s">
        <v>235</v>
      </c>
      <c r="BY269" s="2" t="s">
        <v>236</v>
      </c>
      <c r="BZ269" s="2" t="s">
        <v>224</v>
      </c>
      <c r="CA269" s="2" t="s">
        <v>2075</v>
      </c>
      <c r="CB269" s="2" t="s">
        <v>2085</v>
      </c>
      <c r="CC269" s="2" t="s">
        <v>239</v>
      </c>
      <c r="CD269" s="2" t="s">
        <v>227</v>
      </c>
      <c r="CE269" s="4">
        <v>327</v>
      </c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>
        <v>30</v>
      </c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>
        <v>70</v>
      </c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>
        <v>150</v>
      </c>
      <c r="GR269" s="4"/>
      <c r="GS269" s="4"/>
      <c r="GT269" s="4"/>
      <c r="GU269" s="4"/>
      <c r="GV269" s="4"/>
      <c r="GW269" s="4"/>
      <c r="GX269" s="4">
        <v>80</v>
      </c>
    </row>
    <row r="270">
      <c r="A270" s="2" t="s">
        <v>2086</v>
      </c>
      <c r="B270" s="2" t="s">
        <v>278</v>
      </c>
      <c r="C270" s="2" t="s">
        <v>1299</v>
      </c>
      <c r="D270" s="2" t="s">
        <v>280</v>
      </c>
      <c r="E270" s="2" t="s">
        <v>281</v>
      </c>
      <c r="F270" s="2" t="s">
        <v>2048</v>
      </c>
      <c r="G270" s="2" t="s">
        <v>2048</v>
      </c>
      <c r="H270" s="2" t="s">
        <v>2048</v>
      </c>
      <c r="I270" s="2" t="s">
        <v>2049</v>
      </c>
      <c r="J270" s="2" t="s">
        <v>222</v>
      </c>
      <c r="K270" s="2" t="s">
        <v>264</v>
      </c>
      <c r="L270" s="3">
        <v>18.8</v>
      </c>
      <c r="M270" s="3">
        <v>19.74</v>
      </c>
      <c r="N270" s="3">
        <v>39.99</v>
      </c>
      <c r="O270" s="2" t="s">
        <v>224</v>
      </c>
      <c r="P270" s="2" t="s">
        <v>225</v>
      </c>
      <c r="Q270" s="2" t="s">
        <v>226</v>
      </c>
      <c r="R270" s="2" t="s">
        <v>227</v>
      </c>
      <c r="S270" s="2" t="s">
        <v>2087</v>
      </c>
      <c r="T270" s="2" t="s">
        <v>1897</v>
      </c>
      <c r="U270" s="2" t="s">
        <v>674</v>
      </c>
      <c r="V270" s="2" t="s">
        <v>230</v>
      </c>
      <c r="W270" s="2" t="s">
        <v>231</v>
      </c>
      <c r="X270" s="2" t="s">
        <v>227</v>
      </c>
      <c r="Y270" s="2" t="s">
        <v>232</v>
      </c>
      <c r="Z270" s="4">
        <v>47</v>
      </c>
      <c r="AA270" s="4">
        <f>=ROUNDDOWN(2.47368421052632,0)</f>
      </c>
      <c r="AB270" s="5">
        <v>19</v>
      </c>
      <c r="AC270" s="2" t="s">
        <v>1266</v>
      </c>
      <c r="AD270" s="4">
        <v>120</v>
      </c>
      <c r="AE270" s="4">
        <v>940</v>
      </c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227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227</v>
      </c>
      <c r="AW270" s="8" t="s">
        <v>227</v>
      </c>
      <c r="AX270" s="4" t="s">
        <v>227</v>
      </c>
      <c r="AY270" s="8" t="s">
        <v>227</v>
      </c>
      <c r="AZ270" s="7" t="s">
        <v>227</v>
      </c>
      <c r="BA270" s="7" t="s">
        <v>227</v>
      </c>
      <c r="BB270" s="7"/>
      <c r="BC270" s="4" t="s">
        <v>227</v>
      </c>
      <c r="BD270" s="8" t="s">
        <v>227</v>
      </c>
      <c r="BE270" s="4" t="s">
        <v>227</v>
      </c>
      <c r="BF270" s="8" t="s">
        <v>227</v>
      </c>
      <c r="BG270" s="7" t="s">
        <v>227</v>
      </c>
      <c r="BH270" s="7" t="s">
        <v>227</v>
      </c>
      <c r="BI270" s="7"/>
      <c r="BJ270" s="4">
        <v>64</v>
      </c>
      <c r="BK270" s="8">
        <v>1328.58</v>
      </c>
      <c r="BL270" s="2" t="s">
        <v>2088</v>
      </c>
      <c r="BM270" s="7"/>
      <c r="BN270" s="7"/>
      <c r="BO270" s="4"/>
      <c r="BP270" s="8"/>
      <c r="BQ270" s="4"/>
      <c r="BR270" s="8"/>
      <c r="BS270" s="7"/>
      <c r="BT270" s="7"/>
      <c r="BU270" s="2" t="s">
        <v>2089</v>
      </c>
      <c r="BV270" s="2" t="s">
        <v>227</v>
      </c>
      <c r="BW270" s="2" t="s">
        <v>227</v>
      </c>
      <c r="BX270" s="2" t="s">
        <v>235</v>
      </c>
      <c r="BY270" s="2" t="s">
        <v>236</v>
      </c>
      <c r="BZ270" s="2" t="s">
        <v>224</v>
      </c>
      <c r="CA270" s="2" t="s">
        <v>237</v>
      </c>
      <c r="CB270" s="2" t="s">
        <v>2090</v>
      </c>
      <c r="CC270" s="2" t="s">
        <v>239</v>
      </c>
      <c r="CD270" s="2" t="s">
        <v>227</v>
      </c>
      <c r="CE270" s="4">
        <v>47</v>
      </c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>
        <v>120</v>
      </c>
      <c r="DS270" s="4"/>
      <c r="DT270" s="4">
        <v>140</v>
      </c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>
        <v>140</v>
      </c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>
        <v>60</v>
      </c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>
        <v>20</v>
      </c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>
        <v>200</v>
      </c>
      <c r="GR270" s="4"/>
      <c r="GS270" s="4"/>
      <c r="GT270" s="4"/>
      <c r="GU270" s="4"/>
      <c r="GV270" s="4"/>
      <c r="GW270" s="4"/>
      <c r="GX270" s="4">
        <v>260</v>
      </c>
    </row>
    <row r="271">
      <c r="A271" s="2" t="s">
        <v>2091</v>
      </c>
      <c r="B271" s="2" t="s">
        <v>278</v>
      </c>
      <c r="C271" s="2" t="s">
        <v>1299</v>
      </c>
      <c r="D271" s="2" t="s">
        <v>280</v>
      </c>
      <c r="E271" s="2" t="s">
        <v>281</v>
      </c>
      <c r="F271" s="2" t="s">
        <v>2048</v>
      </c>
      <c r="G271" s="2" t="s">
        <v>2048</v>
      </c>
      <c r="H271" s="2" t="s">
        <v>2048</v>
      </c>
      <c r="I271" s="2" t="s">
        <v>2049</v>
      </c>
      <c r="J271" s="2" t="s">
        <v>247</v>
      </c>
      <c r="K271" s="2" t="s">
        <v>264</v>
      </c>
      <c r="L271" s="3">
        <v>21.6</v>
      </c>
      <c r="M271" s="3">
        <v>22.68</v>
      </c>
      <c r="N271" s="3">
        <v>44.99</v>
      </c>
      <c r="O271" s="2" t="s">
        <v>224</v>
      </c>
      <c r="P271" s="2" t="s">
        <v>225</v>
      </c>
      <c r="Q271" s="2" t="s">
        <v>226</v>
      </c>
      <c r="R271" s="2" t="s">
        <v>227</v>
      </c>
      <c r="S271" s="2" t="s">
        <v>2087</v>
      </c>
      <c r="T271" s="2" t="s">
        <v>1897</v>
      </c>
      <c r="U271" s="2" t="s">
        <v>287</v>
      </c>
      <c r="V271" s="2" t="s">
        <v>230</v>
      </c>
      <c r="W271" s="2" t="s">
        <v>231</v>
      </c>
      <c r="X271" s="2" t="s">
        <v>227</v>
      </c>
      <c r="Y271" s="2" t="s">
        <v>232</v>
      </c>
      <c r="Z271" s="4">
        <v>81</v>
      </c>
      <c r="AA271" s="4">
        <f>=ROUNDDOWN(11.4084507042254,0)</f>
      </c>
      <c r="AB271" s="5">
        <v>7.1</v>
      </c>
      <c r="AC271" s="2" t="s">
        <v>1266</v>
      </c>
      <c r="AD271" s="4">
        <v>80</v>
      </c>
      <c r="AE271" s="4">
        <v>570</v>
      </c>
      <c r="AF271" s="6">
        <v>67</v>
      </c>
      <c r="AG271" s="6"/>
      <c r="AH271" s="7">
        <v>1</v>
      </c>
      <c r="AI271" s="4"/>
      <c r="AJ271" s="4">
        <f>=ROUNDDOWN({0},0)</f>
      </c>
      <c r="AK271" s="5"/>
      <c r="AL271" s="2" t="s">
        <v>227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227</v>
      </c>
      <c r="AW271" s="8" t="s">
        <v>227</v>
      </c>
      <c r="AX271" s="4" t="s">
        <v>227</v>
      </c>
      <c r="AY271" s="8" t="s">
        <v>227</v>
      </c>
      <c r="AZ271" s="7" t="s">
        <v>227</v>
      </c>
      <c r="BA271" s="7" t="s">
        <v>227</v>
      </c>
      <c r="BB271" s="7"/>
      <c r="BC271" s="4" t="s">
        <v>227</v>
      </c>
      <c r="BD271" s="8" t="s">
        <v>227</v>
      </c>
      <c r="BE271" s="4" t="s">
        <v>227</v>
      </c>
      <c r="BF271" s="8" t="s">
        <v>227</v>
      </c>
      <c r="BG271" s="7" t="s">
        <v>227</v>
      </c>
      <c r="BH271" s="7" t="s">
        <v>227</v>
      </c>
      <c r="BI271" s="7"/>
      <c r="BJ271" s="4">
        <v>36</v>
      </c>
      <c r="BK271" s="8">
        <v>831.42</v>
      </c>
      <c r="BL271" s="2" t="s">
        <v>2092</v>
      </c>
      <c r="BM271" s="7"/>
      <c r="BN271" s="7"/>
      <c r="BO271" s="4"/>
      <c r="BP271" s="8"/>
      <c r="BQ271" s="4"/>
      <c r="BR271" s="8"/>
      <c r="BS271" s="7"/>
      <c r="BT271" s="7"/>
      <c r="BU271" s="2" t="s">
        <v>2093</v>
      </c>
      <c r="BV271" s="2" t="s">
        <v>227</v>
      </c>
      <c r="BW271" s="2" t="s">
        <v>227</v>
      </c>
      <c r="BX271" s="2" t="s">
        <v>235</v>
      </c>
      <c r="BY271" s="2" t="s">
        <v>236</v>
      </c>
      <c r="BZ271" s="2" t="s">
        <v>224</v>
      </c>
      <c r="CA271" s="2" t="s">
        <v>237</v>
      </c>
      <c r="CB271" s="2" t="s">
        <v>2053</v>
      </c>
      <c r="CC271" s="2" t="s">
        <v>239</v>
      </c>
      <c r="CD271" s="2" t="s">
        <v>227</v>
      </c>
      <c r="CE271" s="4">
        <v>81</v>
      </c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>
        <v>80</v>
      </c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>
        <v>90</v>
      </c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>
        <v>60</v>
      </c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>
        <v>40</v>
      </c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>
        <v>200</v>
      </c>
      <c r="GR271" s="4"/>
      <c r="GS271" s="4"/>
      <c r="GT271" s="4"/>
      <c r="GU271" s="4"/>
      <c r="GV271" s="4"/>
      <c r="GW271" s="4"/>
      <c r="GX271" s="4">
        <v>100</v>
      </c>
    </row>
    <row r="272">
      <c r="A272" s="2" t="s">
        <v>2094</v>
      </c>
      <c r="B272" s="2" t="s">
        <v>278</v>
      </c>
      <c r="C272" s="2" t="s">
        <v>1299</v>
      </c>
      <c r="D272" s="2" t="s">
        <v>280</v>
      </c>
      <c r="E272" s="2" t="s">
        <v>281</v>
      </c>
      <c r="F272" s="2" t="s">
        <v>2048</v>
      </c>
      <c r="G272" s="2" t="s">
        <v>2048</v>
      </c>
      <c r="H272" s="2" t="s">
        <v>2048</v>
      </c>
      <c r="I272" s="2" t="s">
        <v>2049</v>
      </c>
      <c r="J272" s="2" t="s">
        <v>252</v>
      </c>
      <c r="K272" s="2" t="s">
        <v>264</v>
      </c>
      <c r="L272" s="3">
        <v>24.5</v>
      </c>
      <c r="M272" s="3">
        <v>25.72</v>
      </c>
      <c r="N272" s="3">
        <v>49.99</v>
      </c>
      <c r="O272" s="2" t="s">
        <v>224</v>
      </c>
      <c r="P272" s="2" t="s">
        <v>225</v>
      </c>
      <c r="Q272" s="2" t="s">
        <v>226</v>
      </c>
      <c r="R272" s="2" t="s">
        <v>227</v>
      </c>
      <c r="S272" s="2" t="s">
        <v>2087</v>
      </c>
      <c r="T272" s="2" t="s">
        <v>1897</v>
      </c>
      <c r="U272" s="2" t="s">
        <v>287</v>
      </c>
      <c r="V272" s="2" t="s">
        <v>230</v>
      </c>
      <c r="W272" s="2" t="s">
        <v>231</v>
      </c>
      <c r="X272" s="2" t="s">
        <v>227</v>
      </c>
      <c r="Y272" s="2" t="s">
        <v>232</v>
      </c>
      <c r="Z272" s="4">
        <v>152</v>
      </c>
      <c r="AA272" s="4">
        <f>=ROUNDDOWN(6.90909090909091,0)</f>
      </c>
      <c r="AB272" s="5">
        <v>22</v>
      </c>
      <c r="AC272" s="2" t="s">
        <v>1266</v>
      </c>
      <c r="AD272" s="4">
        <v>20</v>
      </c>
      <c r="AE272" s="4">
        <v>980</v>
      </c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227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227</v>
      </c>
      <c r="AW272" s="8" t="s">
        <v>227</v>
      </c>
      <c r="AX272" s="4" t="s">
        <v>227</v>
      </c>
      <c r="AY272" s="8" t="s">
        <v>227</v>
      </c>
      <c r="AZ272" s="7" t="s">
        <v>227</v>
      </c>
      <c r="BA272" s="7" t="s">
        <v>227</v>
      </c>
      <c r="BB272" s="7"/>
      <c r="BC272" s="4" t="s">
        <v>227</v>
      </c>
      <c r="BD272" s="8" t="s">
        <v>227</v>
      </c>
      <c r="BE272" s="4" t="s">
        <v>227</v>
      </c>
      <c r="BF272" s="8" t="s">
        <v>227</v>
      </c>
      <c r="BG272" s="7" t="s">
        <v>227</v>
      </c>
      <c r="BH272" s="7" t="s">
        <v>227</v>
      </c>
      <c r="BI272" s="7"/>
      <c r="BJ272" s="4">
        <v>106</v>
      </c>
      <c r="BK272" s="8">
        <v>2723.36</v>
      </c>
      <c r="BL272" s="2" t="s">
        <v>1568</v>
      </c>
      <c r="BM272" s="7"/>
      <c r="BN272" s="7"/>
      <c r="BO272" s="4"/>
      <c r="BP272" s="8"/>
      <c r="BQ272" s="4"/>
      <c r="BR272" s="8"/>
      <c r="BS272" s="7"/>
      <c r="BT272" s="7"/>
      <c r="BU272" s="2" t="s">
        <v>2095</v>
      </c>
      <c r="BV272" s="2" t="s">
        <v>227</v>
      </c>
      <c r="BW272" s="2" t="s">
        <v>227</v>
      </c>
      <c r="BX272" s="2" t="s">
        <v>235</v>
      </c>
      <c r="BY272" s="2" t="s">
        <v>236</v>
      </c>
      <c r="BZ272" s="2" t="s">
        <v>224</v>
      </c>
      <c r="CA272" s="2" t="s">
        <v>237</v>
      </c>
      <c r="CB272" s="2" t="s">
        <v>2066</v>
      </c>
      <c r="CC272" s="2" t="s">
        <v>239</v>
      </c>
      <c r="CD272" s="2" t="s">
        <v>227</v>
      </c>
      <c r="CE272" s="4">
        <v>152</v>
      </c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>
        <v>20</v>
      </c>
      <c r="DS272" s="4"/>
      <c r="DT272" s="4">
        <v>40</v>
      </c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>
        <v>120</v>
      </c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>
        <v>120</v>
      </c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>
        <v>60</v>
      </c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>
        <v>420</v>
      </c>
      <c r="GR272" s="4"/>
      <c r="GS272" s="4"/>
      <c r="GT272" s="4"/>
      <c r="GU272" s="4"/>
      <c r="GV272" s="4"/>
      <c r="GW272" s="4"/>
      <c r="GX272" s="4">
        <v>200</v>
      </c>
    </row>
    <row r="273">
      <c r="A273" s="2" t="s">
        <v>2096</v>
      </c>
      <c r="B273" s="2" t="s">
        <v>278</v>
      </c>
      <c r="C273" s="2" t="s">
        <v>698</v>
      </c>
      <c r="D273" s="2" t="s">
        <v>280</v>
      </c>
      <c r="E273" s="2" t="s">
        <v>281</v>
      </c>
      <c r="F273" s="2" t="s">
        <v>2097</v>
      </c>
      <c r="G273" s="2" t="s">
        <v>2097</v>
      </c>
      <c r="H273" s="2" t="s">
        <v>2097</v>
      </c>
      <c r="I273" s="2" t="s">
        <v>283</v>
      </c>
      <c r="J273" s="2" t="s">
        <v>222</v>
      </c>
      <c r="K273" s="2" t="s">
        <v>2098</v>
      </c>
      <c r="L273" s="3">
        <v>19.8</v>
      </c>
      <c r="M273" s="3">
        <v>20.79</v>
      </c>
      <c r="N273" s="3">
        <v>44.99</v>
      </c>
      <c r="O273" s="2" t="s">
        <v>224</v>
      </c>
      <c r="P273" s="2" t="s">
        <v>225</v>
      </c>
      <c r="Q273" s="2" t="s">
        <v>226</v>
      </c>
      <c r="R273" s="2" t="s">
        <v>227</v>
      </c>
      <c r="S273" s="2" t="s">
        <v>2099</v>
      </c>
      <c r="T273" s="2" t="s">
        <v>2100</v>
      </c>
      <c r="U273" s="2" t="s">
        <v>674</v>
      </c>
      <c r="V273" s="2" t="s">
        <v>2101</v>
      </c>
      <c r="W273" s="2" t="s">
        <v>705</v>
      </c>
      <c r="X273" s="2" t="s">
        <v>231</v>
      </c>
      <c r="Y273" s="2" t="s">
        <v>2102</v>
      </c>
      <c r="Z273" s="4">
        <v>444</v>
      </c>
      <c r="AA273" s="4">
        <f>=ROUNDDOWN(49.3333333333333,0)</f>
      </c>
      <c r="AB273" s="5">
        <v>9</v>
      </c>
      <c r="AC273" s="2" t="s">
        <v>179</v>
      </c>
      <c r="AD273" s="4">
        <v>101</v>
      </c>
      <c r="AE273" s="4">
        <v>101</v>
      </c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227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227</v>
      </c>
      <c r="AW273" s="8" t="s">
        <v>227</v>
      </c>
      <c r="AX273" s="4" t="s">
        <v>227</v>
      </c>
      <c r="AY273" s="8" t="s">
        <v>227</v>
      </c>
      <c r="AZ273" s="7" t="s">
        <v>227</v>
      </c>
      <c r="BA273" s="7" t="s">
        <v>227</v>
      </c>
      <c r="BB273" s="7"/>
      <c r="BC273" s="4" t="s">
        <v>227</v>
      </c>
      <c r="BD273" s="8" t="s">
        <v>227</v>
      </c>
      <c r="BE273" s="4" t="s">
        <v>227</v>
      </c>
      <c r="BF273" s="8" t="s">
        <v>227</v>
      </c>
      <c r="BG273" s="7" t="s">
        <v>227</v>
      </c>
      <c r="BH273" s="7" t="s">
        <v>227</v>
      </c>
      <c r="BI273" s="7"/>
      <c r="BJ273" s="4">
        <v>1</v>
      </c>
      <c r="BK273" s="8">
        <v>20.13</v>
      </c>
      <c r="BL273" s="2" t="s">
        <v>1739</v>
      </c>
      <c r="BM273" s="7"/>
      <c r="BN273" s="7"/>
      <c r="BO273" s="4"/>
      <c r="BP273" s="8"/>
      <c r="BQ273" s="4"/>
      <c r="BR273" s="8"/>
      <c r="BS273" s="7"/>
      <c r="BT273" s="7"/>
      <c r="BU273" s="2" t="s">
        <v>2103</v>
      </c>
      <c r="BV273" s="2" t="s">
        <v>227</v>
      </c>
      <c r="BW273" s="2" t="s">
        <v>227</v>
      </c>
      <c r="BX273" s="2" t="s">
        <v>2104</v>
      </c>
      <c r="BY273" s="2" t="s">
        <v>236</v>
      </c>
      <c r="BZ273" s="2" t="s">
        <v>224</v>
      </c>
      <c r="CA273" s="2" t="s">
        <v>369</v>
      </c>
      <c r="CB273" s="2" t="s">
        <v>490</v>
      </c>
      <c r="CC273" s="2" t="s">
        <v>239</v>
      </c>
      <c r="CD273" s="2" t="s">
        <v>227</v>
      </c>
      <c r="CE273" s="4">
        <v>444</v>
      </c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>
        <v>101</v>
      </c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  <c r="GU273" s="4"/>
      <c r="GV273" s="4"/>
      <c r="GW273" s="4"/>
      <c r="GX273" s="4"/>
    </row>
    <row r="274">
      <c r="A274" s="2" t="s">
        <v>2105</v>
      </c>
      <c r="B274" s="2" t="s">
        <v>278</v>
      </c>
      <c r="C274" s="2" t="s">
        <v>698</v>
      </c>
      <c r="D274" s="2" t="s">
        <v>280</v>
      </c>
      <c r="E274" s="2" t="s">
        <v>281</v>
      </c>
      <c r="F274" s="2" t="s">
        <v>2097</v>
      </c>
      <c r="G274" s="2" t="s">
        <v>2097</v>
      </c>
      <c r="H274" s="2" t="s">
        <v>2097</v>
      </c>
      <c r="I274" s="2" t="s">
        <v>283</v>
      </c>
      <c r="J274" s="2" t="s">
        <v>384</v>
      </c>
      <c r="K274" s="2" t="s">
        <v>2098</v>
      </c>
      <c r="L274" s="3">
        <v>28.98</v>
      </c>
      <c r="M274" s="3">
        <v>30.43</v>
      </c>
      <c r="N274" s="3">
        <v>64.99</v>
      </c>
      <c r="O274" s="2" t="s">
        <v>224</v>
      </c>
      <c r="P274" s="2" t="s">
        <v>225</v>
      </c>
      <c r="Q274" s="2" t="s">
        <v>226</v>
      </c>
      <c r="R274" s="2" t="s">
        <v>227</v>
      </c>
      <c r="S274" s="2" t="s">
        <v>2099</v>
      </c>
      <c r="T274" s="2" t="s">
        <v>2100</v>
      </c>
      <c r="U274" s="2" t="s">
        <v>287</v>
      </c>
      <c r="V274" s="2" t="s">
        <v>2101</v>
      </c>
      <c r="W274" s="2" t="s">
        <v>705</v>
      </c>
      <c r="X274" s="2" t="s">
        <v>231</v>
      </c>
      <c r="Y274" s="2" t="s">
        <v>2102</v>
      </c>
      <c r="Z274" s="4">
        <v>162</v>
      </c>
      <c r="AA274" s="4">
        <f>=ROUNDDOWN(14.7272727272727,0)</f>
      </c>
      <c r="AB274" s="5">
        <v>11</v>
      </c>
      <c r="AC274" s="2" t="s">
        <v>2106</v>
      </c>
      <c r="AD274" s="4">
        <v>65</v>
      </c>
      <c r="AE274" s="4">
        <v>265</v>
      </c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227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227</v>
      </c>
      <c r="AW274" s="8" t="s">
        <v>227</v>
      </c>
      <c r="AX274" s="4" t="s">
        <v>227</v>
      </c>
      <c r="AY274" s="8" t="s">
        <v>227</v>
      </c>
      <c r="AZ274" s="7" t="s">
        <v>227</v>
      </c>
      <c r="BA274" s="7" t="s">
        <v>227</v>
      </c>
      <c r="BB274" s="7"/>
      <c r="BC274" s="4" t="s">
        <v>227</v>
      </c>
      <c r="BD274" s="8" t="s">
        <v>227</v>
      </c>
      <c r="BE274" s="4" t="s">
        <v>227</v>
      </c>
      <c r="BF274" s="8" t="s">
        <v>227</v>
      </c>
      <c r="BG274" s="7" t="s">
        <v>227</v>
      </c>
      <c r="BH274" s="7" t="s">
        <v>227</v>
      </c>
      <c r="BI274" s="7"/>
      <c r="BJ274" s="4">
        <v>20</v>
      </c>
      <c r="BK274" s="8">
        <v>671.57</v>
      </c>
      <c r="BL274" s="2" t="s">
        <v>2107</v>
      </c>
      <c r="BM274" s="7"/>
      <c r="BN274" s="7"/>
      <c r="BO274" s="4"/>
      <c r="BP274" s="8"/>
      <c r="BQ274" s="4"/>
      <c r="BR274" s="8"/>
      <c r="BS274" s="7"/>
      <c r="BT274" s="7"/>
      <c r="BU274" s="2" t="s">
        <v>2108</v>
      </c>
      <c r="BV274" s="2" t="s">
        <v>227</v>
      </c>
      <c r="BW274" s="2" t="s">
        <v>227</v>
      </c>
      <c r="BX274" s="2" t="s">
        <v>2104</v>
      </c>
      <c r="BY274" s="2" t="s">
        <v>236</v>
      </c>
      <c r="BZ274" s="2" t="s">
        <v>224</v>
      </c>
      <c r="CA274" s="2" t="s">
        <v>369</v>
      </c>
      <c r="CB274" s="2" t="s">
        <v>370</v>
      </c>
      <c r="CC274" s="2" t="s">
        <v>239</v>
      </c>
      <c r="CD274" s="2" t="s">
        <v>227</v>
      </c>
      <c r="CE274" s="4">
        <v>162</v>
      </c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>
        <v>65</v>
      </c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>
        <v>200</v>
      </c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  <c r="GU274" s="4"/>
      <c r="GV274" s="4"/>
      <c r="GW274" s="4"/>
      <c r="GX274" s="4"/>
    </row>
    <row r="275">
      <c r="A275" s="2" t="s">
        <v>2109</v>
      </c>
      <c r="B275" s="2" t="s">
        <v>278</v>
      </c>
      <c r="C275" s="2" t="s">
        <v>698</v>
      </c>
      <c r="D275" s="2" t="s">
        <v>280</v>
      </c>
      <c r="E275" s="2" t="s">
        <v>281</v>
      </c>
      <c r="F275" s="2" t="s">
        <v>2097</v>
      </c>
      <c r="G275" s="2" t="s">
        <v>2097</v>
      </c>
      <c r="H275" s="2" t="s">
        <v>2097</v>
      </c>
      <c r="I275" s="2" t="s">
        <v>283</v>
      </c>
      <c r="J275" s="2" t="s">
        <v>384</v>
      </c>
      <c r="K275" s="2" t="s">
        <v>2110</v>
      </c>
      <c r="L275" s="3">
        <v>28.98</v>
      </c>
      <c r="M275" s="3">
        <v>30.43</v>
      </c>
      <c r="N275" s="3">
        <v>64.99</v>
      </c>
      <c r="O275" s="2" t="s">
        <v>224</v>
      </c>
      <c r="P275" s="2" t="s">
        <v>225</v>
      </c>
      <c r="Q275" s="2" t="s">
        <v>226</v>
      </c>
      <c r="R275" s="2" t="s">
        <v>227</v>
      </c>
      <c r="S275" s="2" t="s">
        <v>2111</v>
      </c>
      <c r="T275" s="2" t="s">
        <v>2100</v>
      </c>
      <c r="U275" s="2" t="s">
        <v>227</v>
      </c>
      <c r="V275" s="2" t="s">
        <v>782</v>
      </c>
      <c r="W275" s="2" t="s">
        <v>705</v>
      </c>
      <c r="X275" s="2" t="s">
        <v>231</v>
      </c>
      <c r="Y275" s="2" t="s">
        <v>2112</v>
      </c>
      <c r="Z275" s="4">
        <v>194</v>
      </c>
      <c r="AA275" s="4">
        <f>=ROUNDDOWN(27.7142857142857,0)</f>
      </c>
      <c r="AB275" s="5">
        <v>7</v>
      </c>
      <c r="AC275" s="2" t="s">
        <v>2106</v>
      </c>
      <c r="AD275" s="4">
        <v>69</v>
      </c>
      <c r="AE275" s="4">
        <v>164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227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 t="s">
        <v>227</v>
      </c>
      <c r="BD275" s="8" t="s">
        <v>227</v>
      </c>
      <c r="BE275" s="4" t="s">
        <v>227</v>
      </c>
      <c r="BF275" s="8" t="s">
        <v>227</v>
      </c>
      <c r="BG275" s="7" t="s">
        <v>227</v>
      </c>
      <c r="BH275" s="7" t="s">
        <v>227</v>
      </c>
      <c r="BI275" s="7"/>
      <c r="BJ275" s="4">
        <v>22</v>
      </c>
      <c r="BK275" s="8">
        <v>735.68</v>
      </c>
      <c r="BL275" s="2" t="s">
        <v>2113</v>
      </c>
      <c r="BM275" s="7"/>
      <c r="BN275" s="7"/>
      <c r="BO275" s="4"/>
      <c r="BP275" s="8"/>
      <c r="BQ275" s="4"/>
      <c r="BR275" s="8"/>
      <c r="BS275" s="7"/>
      <c r="BT275" s="7"/>
      <c r="BU275" s="2" t="s">
        <v>2114</v>
      </c>
      <c r="BV275" s="2" t="s">
        <v>227</v>
      </c>
      <c r="BW275" s="2" t="s">
        <v>227</v>
      </c>
      <c r="BX275" s="2" t="s">
        <v>2104</v>
      </c>
      <c r="BY275" s="2" t="s">
        <v>236</v>
      </c>
      <c r="BZ275" s="2" t="s">
        <v>224</v>
      </c>
      <c r="CA275" s="2" t="s">
        <v>2115</v>
      </c>
      <c r="CB275" s="2" t="s">
        <v>2116</v>
      </c>
      <c r="CC275" s="2" t="s">
        <v>239</v>
      </c>
      <c r="CD275" s="2" t="s">
        <v>227</v>
      </c>
      <c r="CE275" s="4">
        <v>194</v>
      </c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>
        <v>69</v>
      </c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>
        <v>95</v>
      </c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  <c r="GT275" s="4"/>
      <c r="GU275" s="4"/>
      <c r="GV275" s="4"/>
      <c r="GW275" s="4"/>
      <c r="GX275" s="4"/>
    </row>
    <row r="276">
      <c r="A276" s="2" t="s">
        <v>2117</v>
      </c>
      <c r="B276" s="2" t="s">
        <v>278</v>
      </c>
      <c r="C276" s="2" t="s">
        <v>698</v>
      </c>
      <c r="D276" s="2" t="s">
        <v>280</v>
      </c>
      <c r="E276" s="2" t="s">
        <v>281</v>
      </c>
      <c r="F276" s="2" t="s">
        <v>2097</v>
      </c>
      <c r="G276" s="2" t="s">
        <v>2097</v>
      </c>
      <c r="H276" s="2" t="s">
        <v>2097</v>
      </c>
      <c r="I276" s="2" t="s">
        <v>283</v>
      </c>
      <c r="J276" s="2" t="s">
        <v>257</v>
      </c>
      <c r="K276" s="2" t="s">
        <v>2118</v>
      </c>
      <c r="L276" s="3">
        <v>28.98</v>
      </c>
      <c r="M276" s="3">
        <v>30.43</v>
      </c>
      <c r="N276" s="3">
        <v>64.99</v>
      </c>
      <c r="O276" s="2" t="s">
        <v>224</v>
      </c>
      <c r="P276" s="2" t="s">
        <v>225</v>
      </c>
      <c r="Q276" s="2" t="s">
        <v>226</v>
      </c>
      <c r="R276" s="2" t="s">
        <v>227</v>
      </c>
      <c r="S276" s="2" t="s">
        <v>2119</v>
      </c>
      <c r="T276" s="2" t="s">
        <v>2100</v>
      </c>
      <c r="U276" s="2" t="s">
        <v>287</v>
      </c>
      <c r="V276" s="2" t="s">
        <v>2101</v>
      </c>
      <c r="W276" s="2" t="s">
        <v>705</v>
      </c>
      <c r="X276" s="2" t="s">
        <v>231</v>
      </c>
      <c r="Y276" s="2" t="s">
        <v>2120</v>
      </c>
      <c r="Z276" s="4">
        <v>45</v>
      </c>
      <c r="AA276" s="4">
        <f>=ROUNDDOWN(3,0)</f>
      </c>
      <c r="AB276" s="5">
        <v>15</v>
      </c>
      <c r="AC276" s="2" t="s">
        <v>583</v>
      </c>
      <c r="AD276" s="4">
        <v>173</v>
      </c>
      <c r="AE276" s="4">
        <v>513</v>
      </c>
      <c r="AF276" s="6">
        <v>70</v>
      </c>
      <c r="AG276" s="6"/>
      <c r="AH276" s="7">
        <v>1</v>
      </c>
      <c r="AI276" s="4"/>
      <c r="AJ276" s="4">
        <f>=ROUNDDOWN({0},0)</f>
      </c>
      <c r="AK276" s="5"/>
      <c r="AL276" s="2" t="s">
        <v>227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227</v>
      </c>
      <c r="AW276" s="8" t="s">
        <v>227</v>
      </c>
      <c r="AX276" s="4" t="s">
        <v>227</v>
      </c>
      <c r="AY276" s="8" t="s">
        <v>227</v>
      </c>
      <c r="AZ276" s="7" t="s">
        <v>227</v>
      </c>
      <c r="BA276" s="7" t="s">
        <v>227</v>
      </c>
      <c r="BB276" s="7"/>
      <c r="BC276" s="4" t="s">
        <v>227</v>
      </c>
      <c r="BD276" s="8" t="s">
        <v>227</v>
      </c>
      <c r="BE276" s="4" t="s">
        <v>227</v>
      </c>
      <c r="BF276" s="8" t="s">
        <v>227</v>
      </c>
      <c r="BG276" s="7" t="s">
        <v>227</v>
      </c>
      <c r="BH276" s="7" t="s">
        <v>227</v>
      </c>
      <c r="BI276" s="7"/>
      <c r="BJ276" s="4">
        <v>48</v>
      </c>
      <c r="BK276" s="8">
        <v>1726.37</v>
      </c>
      <c r="BL276" s="2" t="s">
        <v>2121</v>
      </c>
      <c r="BM276" s="7"/>
      <c r="BN276" s="7"/>
      <c r="BO276" s="4"/>
      <c r="BP276" s="8"/>
      <c r="BQ276" s="4"/>
      <c r="BR276" s="8"/>
      <c r="BS276" s="7"/>
      <c r="BT276" s="7"/>
      <c r="BU276" s="2" t="s">
        <v>2122</v>
      </c>
      <c r="BV276" s="2" t="s">
        <v>227</v>
      </c>
      <c r="BW276" s="2" t="s">
        <v>227</v>
      </c>
      <c r="BX276" s="2" t="s">
        <v>2104</v>
      </c>
      <c r="BY276" s="2" t="s">
        <v>236</v>
      </c>
      <c r="BZ276" s="2" t="s">
        <v>224</v>
      </c>
      <c r="CA276" s="2" t="s">
        <v>1075</v>
      </c>
      <c r="CB276" s="2" t="s">
        <v>2123</v>
      </c>
      <c r="CC276" s="2" t="s">
        <v>239</v>
      </c>
      <c r="CD276" s="2" t="s">
        <v>227</v>
      </c>
      <c r="CE276" s="4">
        <v>45</v>
      </c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>
        <v>173</v>
      </c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>
        <v>106</v>
      </c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>
        <v>234</v>
      </c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  <c r="GW276" s="4"/>
      <c r="GX276" s="4"/>
    </row>
    <row r="277">
      <c r="A277" s="2" t="s">
        <v>2124</v>
      </c>
      <c r="B277" s="2" t="s">
        <v>278</v>
      </c>
      <c r="C277" s="2" t="s">
        <v>698</v>
      </c>
      <c r="D277" s="2" t="s">
        <v>280</v>
      </c>
      <c r="E277" s="2" t="s">
        <v>281</v>
      </c>
      <c r="F277" s="2" t="s">
        <v>2097</v>
      </c>
      <c r="G277" s="2" t="s">
        <v>2097</v>
      </c>
      <c r="H277" s="2" t="s">
        <v>2097</v>
      </c>
      <c r="I277" s="2" t="s">
        <v>283</v>
      </c>
      <c r="J277" s="2" t="s">
        <v>384</v>
      </c>
      <c r="K277" s="2" t="s">
        <v>2118</v>
      </c>
      <c r="L277" s="3">
        <v>28.98</v>
      </c>
      <c r="M277" s="3">
        <v>30.43</v>
      </c>
      <c r="N277" s="3">
        <v>64.99</v>
      </c>
      <c r="O277" s="2" t="s">
        <v>224</v>
      </c>
      <c r="P277" s="2" t="s">
        <v>225</v>
      </c>
      <c r="Q277" s="2" t="s">
        <v>226</v>
      </c>
      <c r="R277" s="2" t="s">
        <v>227</v>
      </c>
      <c r="S277" s="2" t="s">
        <v>2125</v>
      </c>
      <c r="T277" s="2" t="s">
        <v>2100</v>
      </c>
      <c r="U277" s="2" t="s">
        <v>287</v>
      </c>
      <c r="V277" s="2" t="s">
        <v>2101</v>
      </c>
      <c r="W277" s="2" t="s">
        <v>705</v>
      </c>
      <c r="X277" s="2" t="s">
        <v>231</v>
      </c>
      <c r="Y277" s="2" t="s">
        <v>2120</v>
      </c>
      <c r="Z277" s="4">
        <v>60</v>
      </c>
      <c r="AA277" s="4">
        <f>=ROUNDDOWN(7.5,0)</f>
      </c>
      <c r="AB277" s="5">
        <v>8</v>
      </c>
      <c r="AC277" s="2" t="s">
        <v>583</v>
      </c>
      <c r="AD277" s="4">
        <v>131</v>
      </c>
      <c r="AE277" s="4">
        <v>280</v>
      </c>
      <c r="AF277" s="6">
        <v>70</v>
      </c>
      <c r="AG277" s="6"/>
      <c r="AH277" s="7">
        <v>1</v>
      </c>
      <c r="AI277" s="4"/>
      <c r="AJ277" s="4">
        <f>=ROUNDDOWN({0},0)</f>
      </c>
      <c r="AK277" s="5"/>
      <c r="AL277" s="2" t="s">
        <v>227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227</v>
      </c>
      <c r="AW277" s="8" t="s">
        <v>227</v>
      </c>
      <c r="AX277" s="4" t="s">
        <v>227</v>
      </c>
      <c r="AY277" s="8" t="s">
        <v>227</v>
      </c>
      <c r="AZ277" s="7" t="s">
        <v>227</v>
      </c>
      <c r="BA277" s="7" t="s">
        <v>227</v>
      </c>
      <c r="BB277" s="7"/>
      <c r="BC277" s="4" t="s">
        <v>227</v>
      </c>
      <c r="BD277" s="8" t="s">
        <v>227</v>
      </c>
      <c r="BE277" s="4" t="s">
        <v>227</v>
      </c>
      <c r="BF277" s="8" t="s">
        <v>227</v>
      </c>
      <c r="BG277" s="7" t="s">
        <v>227</v>
      </c>
      <c r="BH277" s="7" t="s">
        <v>227</v>
      </c>
      <c r="BI277" s="7"/>
      <c r="BJ277" s="4">
        <v>14</v>
      </c>
      <c r="BK277" s="8">
        <v>509.46</v>
      </c>
      <c r="BL277" s="2" t="s">
        <v>2126</v>
      </c>
      <c r="BM277" s="7"/>
      <c r="BN277" s="7"/>
      <c r="BO277" s="4"/>
      <c r="BP277" s="8"/>
      <c r="BQ277" s="4"/>
      <c r="BR277" s="8"/>
      <c r="BS277" s="7"/>
      <c r="BT277" s="7"/>
      <c r="BU277" s="2" t="s">
        <v>2127</v>
      </c>
      <c r="BV277" s="2" t="s">
        <v>227</v>
      </c>
      <c r="BW277" s="2" t="s">
        <v>227</v>
      </c>
      <c r="BX277" s="2" t="s">
        <v>2104</v>
      </c>
      <c r="BY277" s="2" t="s">
        <v>236</v>
      </c>
      <c r="BZ277" s="2" t="s">
        <v>224</v>
      </c>
      <c r="CA277" s="2" t="s">
        <v>1075</v>
      </c>
      <c r="CB277" s="2" t="s">
        <v>2128</v>
      </c>
      <c r="CC277" s="2" t="s">
        <v>239</v>
      </c>
      <c r="CD277" s="2" t="s">
        <v>227</v>
      </c>
      <c r="CE277" s="4">
        <v>60</v>
      </c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>
        <v>131</v>
      </c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>
        <v>69</v>
      </c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>
        <v>80</v>
      </c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  <c r="GU277" s="4"/>
      <c r="GV277" s="4"/>
      <c r="GW277" s="4"/>
      <c r="GX277" s="4"/>
    </row>
    <row r="278">
      <c r="A278" s="2" t="s">
        <v>2129</v>
      </c>
      <c r="B278" s="2" t="s">
        <v>278</v>
      </c>
      <c r="C278" s="2" t="s">
        <v>698</v>
      </c>
      <c r="D278" s="2" t="s">
        <v>280</v>
      </c>
      <c r="E278" s="2" t="s">
        <v>281</v>
      </c>
      <c r="F278" s="2" t="s">
        <v>2097</v>
      </c>
      <c r="G278" s="2" t="s">
        <v>2097</v>
      </c>
      <c r="H278" s="2" t="s">
        <v>2097</v>
      </c>
      <c r="I278" s="2" t="s">
        <v>283</v>
      </c>
      <c r="J278" s="2" t="s">
        <v>257</v>
      </c>
      <c r="K278" s="2" t="s">
        <v>2130</v>
      </c>
      <c r="L278" s="3">
        <v>28.98</v>
      </c>
      <c r="M278" s="3">
        <v>30.43</v>
      </c>
      <c r="N278" s="3">
        <v>64.99</v>
      </c>
      <c r="O278" s="2" t="s">
        <v>224</v>
      </c>
      <c r="P278" s="2" t="s">
        <v>225</v>
      </c>
      <c r="Q278" s="2" t="s">
        <v>226</v>
      </c>
      <c r="R278" s="2" t="s">
        <v>227</v>
      </c>
      <c r="S278" s="2" t="s">
        <v>2131</v>
      </c>
      <c r="T278" s="2" t="s">
        <v>2100</v>
      </c>
      <c r="U278" s="2" t="s">
        <v>227</v>
      </c>
      <c r="V278" s="2" t="s">
        <v>2101</v>
      </c>
      <c r="W278" s="2" t="s">
        <v>705</v>
      </c>
      <c r="X278" s="2" t="s">
        <v>231</v>
      </c>
      <c r="Y278" s="2" t="s">
        <v>2112</v>
      </c>
      <c r="Z278" s="4">
        <v>233</v>
      </c>
      <c r="AA278" s="4">
        <f>=ROUNDDOWN(15.5333333333333,0)</f>
      </c>
      <c r="AB278" s="5">
        <v>15</v>
      </c>
      <c r="AC278" s="2" t="s">
        <v>1596</v>
      </c>
      <c r="AD278" s="4">
        <v>86</v>
      </c>
      <c r="AE278" s="4">
        <v>213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227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227</v>
      </c>
      <c r="AW278" s="8" t="s">
        <v>227</v>
      </c>
      <c r="AX278" s="4" t="s">
        <v>227</v>
      </c>
      <c r="AY278" s="8" t="s">
        <v>227</v>
      </c>
      <c r="AZ278" s="7" t="s">
        <v>227</v>
      </c>
      <c r="BA278" s="7" t="s">
        <v>227</v>
      </c>
      <c r="BB278" s="7"/>
      <c r="BC278" s="4" t="s">
        <v>227</v>
      </c>
      <c r="BD278" s="8" t="s">
        <v>227</v>
      </c>
      <c r="BE278" s="4" t="s">
        <v>227</v>
      </c>
      <c r="BF278" s="8" t="s">
        <v>227</v>
      </c>
      <c r="BG278" s="7" t="s">
        <v>227</v>
      </c>
      <c r="BH278" s="7" t="s">
        <v>227</v>
      </c>
      <c r="BI278" s="7"/>
      <c r="BJ278" s="4">
        <v>19</v>
      </c>
      <c r="BK278" s="8">
        <v>659.57</v>
      </c>
      <c r="BL278" s="2" t="s">
        <v>2132</v>
      </c>
      <c r="BM278" s="7"/>
      <c r="BN278" s="7"/>
      <c r="BO278" s="4"/>
      <c r="BP278" s="8"/>
      <c r="BQ278" s="4"/>
      <c r="BR278" s="8"/>
      <c r="BS278" s="7"/>
      <c r="BT278" s="7"/>
      <c r="BU278" s="2" t="s">
        <v>2133</v>
      </c>
      <c r="BV278" s="2" t="s">
        <v>227</v>
      </c>
      <c r="BW278" s="2" t="s">
        <v>227</v>
      </c>
      <c r="BX278" s="2" t="s">
        <v>2104</v>
      </c>
      <c r="BY278" s="2" t="s">
        <v>236</v>
      </c>
      <c r="BZ278" s="2" t="s">
        <v>224</v>
      </c>
      <c r="CA278" s="2" t="s">
        <v>2115</v>
      </c>
      <c r="CB278" s="2" t="s">
        <v>2134</v>
      </c>
      <c r="CC278" s="2" t="s">
        <v>239</v>
      </c>
      <c r="CD278" s="2" t="s">
        <v>227</v>
      </c>
      <c r="CE278" s="4">
        <v>233</v>
      </c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>
        <v>86</v>
      </c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>
        <v>127</v>
      </c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  <c r="GT278" s="4"/>
      <c r="GU278" s="4"/>
      <c r="GV278" s="4"/>
      <c r="GW278" s="4"/>
      <c r="GX278" s="4"/>
    </row>
    <row r="279">
      <c r="A279" s="2" t="s">
        <v>2135</v>
      </c>
      <c r="B279" s="2" t="s">
        <v>278</v>
      </c>
      <c r="C279" s="2" t="s">
        <v>698</v>
      </c>
      <c r="D279" s="2" t="s">
        <v>280</v>
      </c>
      <c r="E279" s="2" t="s">
        <v>281</v>
      </c>
      <c r="F279" s="2" t="s">
        <v>2097</v>
      </c>
      <c r="G279" s="2" t="s">
        <v>2097</v>
      </c>
      <c r="H279" s="2" t="s">
        <v>2097</v>
      </c>
      <c r="I279" s="2" t="s">
        <v>283</v>
      </c>
      <c r="J279" s="2" t="s">
        <v>384</v>
      </c>
      <c r="K279" s="2" t="s">
        <v>2130</v>
      </c>
      <c r="L279" s="3">
        <v>28.98</v>
      </c>
      <c r="M279" s="3">
        <v>30.43</v>
      </c>
      <c r="N279" s="3">
        <v>64.99</v>
      </c>
      <c r="O279" s="2" t="s">
        <v>224</v>
      </c>
      <c r="P279" s="2" t="s">
        <v>225</v>
      </c>
      <c r="Q279" s="2" t="s">
        <v>226</v>
      </c>
      <c r="R279" s="2" t="s">
        <v>227</v>
      </c>
      <c r="S279" s="2" t="s">
        <v>2131</v>
      </c>
      <c r="T279" s="2" t="s">
        <v>2100</v>
      </c>
      <c r="U279" s="2" t="s">
        <v>227</v>
      </c>
      <c r="V279" s="2" t="s">
        <v>2101</v>
      </c>
      <c r="W279" s="2" t="s">
        <v>705</v>
      </c>
      <c r="X279" s="2" t="s">
        <v>231</v>
      </c>
      <c r="Y279" s="2" t="s">
        <v>2112</v>
      </c>
      <c r="Z279" s="4">
        <v>173</v>
      </c>
      <c r="AA279" s="4">
        <f>=ROUNDDOWN(19.2222222222222,0)</f>
      </c>
      <c r="AB279" s="5">
        <v>9</v>
      </c>
      <c r="AC279" s="2" t="s">
        <v>1596</v>
      </c>
      <c r="AD279" s="4">
        <v>68</v>
      </c>
      <c r="AE279" s="4">
        <v>171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227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227</v>
      </c>
      <c r="AW279" s="8" t="s">
        <v>227</v>
      </c>
      <c r="AX279" s="4" t="s">
        <v>227</v>
      </c>
      <c r="AY279" s="8" t="s">
        <v>227</v>
      </c>
      <c r="AZ279" s="7" t="s">
        <v>227</v>
      </c>
      <c r="BA279" s="7" t="s">
        <v>227</v>
      </c>
      <c r="BB279" s="7"/>
      <c r="BC279" s="4" t="s">
        <v>227</v>
      </c>
      <c r="BD279" s="8" t="s">
        <v>227</v>
      </c>
      <c r="BE279" s="4" t="s">
        <v>227</v>
      </c>
      <c r="BF279" s="8" t="s">
        <v>227</v>
      </c>
      <c r="BG279" s="7" t="s">
        <v>227</v>
      </c>
      <c r="BH279" s="7" t="s">
        <v>227</v>
      </c>
      <c r="BI279" s="7"/>
      <c r="BJ279" s="4">
        <v>11</v>
      </c>
      <c r="BK279" s="8">
        <v>385.83</v>
      </c>
      <c r="BL279" s="2" t="s">
        <v>2136</v>
      </c>
      <c r="BM279" s="7"/>
      <c r="BN279" s="7"/>
      <c r="BO279" s="4"/>
      <c r="BP279" s="8"/>
      <c r="BQ279" s="4"/>
      <c r="BR279" s="8"/>
      <c r="BS279" s="7"/>
      <c r="BT279" s="7"/>
      <c r="BU279" s="2" t="s">
        <v>2137</v>
      </c>
      <c r="BV279" s="2" t="s">
        <v>227</v>
      </c>
      <c r="BW279" s="2" t="s">
        <v>227</v>
      </c>
      <c r="BX279" s="2" t="s">
        <v>2104</v>
      </c>
      <c r="BY279" s="2" t="s">
        <v>236</v>
      </c>
      <c r="BZ279" s="2" t="s">
        <v>224</v>
      </c>
      <c r="CA279" s="2" t="s">
        <v>2115</v>
      </c>
      <c r="CB279" s="2" t="s">
        <v>2138</v>
      </c>
      <c r="CC279" s="2" t="s">
        <v>239</v>
      </c>
      <c r="CD279" s="2" t="s">
        <v>227</v>
      </c>
      <c r="CE279" s="4">
        <v>173</v>
      </c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>
        <v>68</v>
      </c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>
        <v>103</v>
      </c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  <c r="GT279" s="4"/>
      <c r="GU279" s="4"/>
      <c r="GV279" s="4"/>
      <c r="GW279" s="4"/>
      <c r="GX279" s="4"/>
    </row>
    <row r="280">
      <c r="A280" s="2" t="s">
        <v>2139</v>
      </c>
      <c r="B280" s="2" t="s">
        <v>278</v>
      </c>
      <c r="C280" s="2" t="s">
        <v>698</v>
      </c>
      <c r="D280" s="2" t="s">
        <v>280</v>
      </c>
      <c r="E280" s="2" t="s">
        <v>281</v>
      </c>
      <c r="F280" s="2" t="s">
        <v>2097</v>
      </c>
      <c r="G280" s="2" t="s">
        <v>2097</v>
      </c>
      <c r="H280" s="2" t="s">
        <v>2097</v>
      </c>
      <c r="I280" s="2" t="s">
        <v>283</v>
      </c>
      <c r="J280" s="2" t="s">
        <v>384</v>
      </c>
      <c r="K280" s="2" t="s">
        <v>2140</v>
      </c>
      <c r="L280" s="3">
        <v>28.98</v>
      </c>
      <c r="M280" s="3">
        <v>30.43</v>
      </c>
      <c r="N280" s="3">
        <v>64.99</v>
      </c>
      <c r="O280" s="2" t="s">
        <v>224</v>
      </c>
      <c r="P280" s="2" t="s">
        <v>225</v>
      </c>
      <c r="Q280" s="2" t="s">
        <v>226</v>
      </c>
      <c r="R280" s="2" t="s">
        <v>227</v>
      </c>
      <c r="S280" s="2" t="s">
        <v>2141</v>
      </c>
      <c r="T280" s="2" t="s">
        <v>2100</v>
      </c>
      <c r="U280" s="2" t="s">
        <v>227</v>
      </c>
      <c r="V280" s="2" t="s">
        <v>782</v>
      </c>
      <c r="W280" s="2" t="s">
        <v>705</v>
      </c>
      <c r="X280" s="2" t="s">
        <v>231</v>
      </c>
      <c r="Y280" s="2" t="s">
        <v>232</v>
      </c>
      <c r="Z280" s="4">
        <v>63</v>
      </c>
      <c r="AA280" s="4">
        <f>=ROUNDDOWN(7,0)</f>
      </c>
      <c r="AB280" s="5">
        <v>9</v>
      </c>
      <c r="AC280" s="2" t="s">
        <v>583</v>
      </c>
      <c r="AD280" s="4">
        <v>170</v>
      </c>
      <c r="AE280" s="4">
        <v>366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227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227</v>
      </c>
      <c r="BD280" s="8" t="s">
        <v>227</v>
      </c>
      <c r="BE280" s="4" t="s">
        <v>227</v>
      </c>
      <c r="BF280" s="8" t="s">
        <v>227</v>
      </c>
      <c r="BG280" s="7" t="s">
        <v>227</v>
      </c>
      <c r="BH280" s="7" t="s">
        <v>227</v>
      </c>
      <c r="BI280" s="7"/>
      <c r="BJ280" s="4">
        <v>23</v>
      </c>
      <c r="BK280" s="8">
        <v>782.96</v>
      </c>
      <c r="BL280" s="2" t="s">
        <v>2142</v>
      </c>
      <c r="BM280" s="7"/>
      <c r="BN280" s="7"/>
      <c r="BO280" s="4"/>
      <c r="BP280" s="8"/>
      <c r="BQ280" s="4"/>
      <c r="BR280" s="8"/>
      <c r="BS280" s="7"/>
      <c r="BT280" s="7"/>
      <c r="BU280" s="2" t="s">
        <v>2143</v>
      </c>
      <c r="BV280" s="2" t="s">
        <v>227</v>
      </c>
      <c r="BW280" s="2" t="s">
        <v>227</v>
      </c>
      <c r="BX280" s="2" t="s">
        <v>2104</v>
      </c>
      <c r="BY280" s="2" t="s">
        <v>236</v>
      </c>
      <c r="BZ280" s="2" t="s">
        <v>224</v>
      </c>
      <c r="CA280" s="2" t="s">
        <v>2144</v>
      </c>
      <c r="CB280" s="2" t="s">
        <v>2145</v>
      </c>
      <c r="CC280" s="2" t="s">
        <v>239</v>
      </c>
      <c r="CD280" s="2" t="s">
        <v>227</v>
      </c>
      <c r="CE280" s="4">
        <v>63</v>
      </c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>
        <v>170</v>
      </c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>
        <v>82</v>
      </c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>
        <v>114</v>
      </c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  <c r="GR280" s="4"/>
      <c r="GS280" s="4"/>
      <c r="GT280" s="4"/>
      <c r="GU280" s="4"/>
      <c r="GV280" s="4"/>
      <c r="GW280" s="4"/>
      <c r="GX280" s="4"/>
    </row>
    <row r="281">
      <c r="A281" s="2" t="s">
        <v>2146</v>
      </c>
      <c r="B281" s="2" t="s">
        <v>278</v>
      </c>
      <c r="C281" s="2" t="s">
        <v>698</v>
      </c>
      <c r="D281" s="2" t="s">
        <v>280</v>
      </c>
      <c r="E281" s="2" t="s">
        <v>281</v>
      </c>
      <c r="F281" s="2" t="s">
        <v>2097</v>
      </c>
      <c r="G281" s="2" t="s">
        <v>2097</v>
      </c>
      <c r="H281" s="2" t="s">
        <v>2097</v>
      </c>
      <c r="I281" s="2" t="s">
        <v>283</v>
      </c>
      <c r="J281" s="2" t="s">
        <v>257</v>
      </c>
      <c r="K281" s="2" t="s">
        <v>2147</v>
      </c>
      <c r="L281" s="3">
        <v>28.98</v>
      </c>
      <c r="M281" s="3">
        <v>30.43</v>
      </c>
      <c r="N281" s="3">
        <v>64.99</v>
      </c>
      <c r="O281" s="2" t="s">
        <v>224</v>
      </c>
      <c r="P281" s="2" t="s">
        <v>485</v>
      </c>
      <c r="Q281" s="2" t="s">
        <v>226</v>
      </c>
      <c r="R281" s="2" t="s">
        <v>227</v>
      </c>
      <c r="S281" s="2" t="s">
        <v>2148</v>
      </c>
      <c r="T281" s="2" t="s">
        <v>2100</v>
      </c>
      <c r="U281" s="2" t="s">
        <v>227</v>
      </c>
      <c r="V281" s="2" t="s">
        <v>782</v>
      </c>
      <c r="W281" s="2" t="s">
        <v>705</v>
      </c>
      <c r="X281" s="2" t="s">
        <v>231</v>
      </c>
      <c r="Y281" s="2" t="s">
        <v>232</v>
      </c>
      <c r="Z281" s="4">
        <v>49</v>
      </c>
      <c r="AA281" s="4">
        <f>=ROUNDDOWN(1.63333333333333,0)</f>
      </c>
      <c r="AB281" s="5">
        <v>30</v>
      </c>
      <c r="AC281" s="2" t="s">
        <v>583</v>
      </c>
      <c r="AD281" s="4">
        <v>533</v>
      </c>
      <c r="AE281" s="4">
        <v>1143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227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 t="s">
        <v>227</v>
      </c>
      <c r="BD281" s="8" t="s">
        <v>227</v>
      </c>
      <c r="BE281" s="4" t="s">
        <v>227</v>
      </c>
      <c r="BF281" s="8" t="s">
        <v>227</v>
      </c>
      <c r="BG281" s="7" t="s">
        <v>227</v>
      </c>
      <c r="BH281" s="7" t="s">
        <v>227</v>
      </c>
      <c r="BI281" s="7"/>
      <c r="BJ281" s="4">
        <v>86</v>
      </c>
      <c r="BK281" s="8">
        <v>2898.97</v>
      </c>
      <c r="BL281" s="2" t="s">
        <v>2149</v>
      </c>
      <c r="BM281" s="7"/>
      <c r="BN281" s="7"/>
      <c r="BO281" s="4"/>
      <c r="BP281" s="8"/>
      <c r="BQ281" s="4"/>
      <c r="BR281" s="8"/>
      <c r="BS281" s="7"/>
      <c r="BT281" s="7"/>
      <c r="BU281" s="2" t="s">
        <v>2150</v>
      </c>
      <c r="BV281" s="2" t="s">
        <v>227</v>
      </c>
      <c r="BW281" s="2" t="s">
        <v>227</v>
      </c>
      <c r="BX281" s="2" t="s">
        <v>2104</v>
      </c>
      <c r="BY281" s="2" t="s">
        <v>236</v>
      </c>
      <c r="BZ281" s="2" t="s">
        <v>224</v>
      </c>
      <c r="CA281" s="2" t="s">
        <v>2144</v>
      </c>
      <c r="CB281" s="2" t="s">
        <v>2151</v>
      </c>
      <c r="CC281" s="2" t="s">
        <v>239</v>
      </c>
      <c r="CD281" s="2" t="s">
        <v>227</v>
      </c>
      <c r="CE281" s="4">
        <v>49</v>
      </c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>
        <v>533</v>
      </c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>
        <v>256</v>
      </c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>
        <v>354</v>
      </c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  <c r="GR281" s="4"/>
      <c r="GS281" s="4"/>
      <c r="GT281" s="4"/>
      <c r="GU281" s="4"/>
      <c r="GV281" s="4"/>
      <c r="GW281" s="4"/>
      <c r="GX281" s="4"/>
    </row>
    <row r="282">
      <c r="A282" s="2" t="s">
        <v>2152</v>
      </c>
      <c r="B282" s="2" t="s">
        <v>278</v>
      </c>
      <c r="C282" s="2" t="s">
        <v>698</v>
      </c>
      <c r="D282" s="2" t="s">
        <v>280</v>
      </c>
      <c r="E282" s="2" t="s">
        <v>281</v>
      </c>
      <c r="F282" s="2" t="s">
        <v>2097</v>
      </c>
      <c r="G282" s="2" t="s">
        <v>2097</v>
      </c>
      <c r="H282" s="2" t="s">
        <v>2097</v>
      </c>
      <c r="I282" s="2" t="s">
        <v>283</v>
      </c>
      <c r="J282" s="2" t="s">
        <v>222</v>
      </c>
      <c r="K282" s="2" t="s">
        <v>2153</v>
      </c>
      <c r="L282" s="3">
        <v>19.8</v>
      </c>
      <c r="M282" s="3">
        <v>20.79</v>
      </c>
      <c r="N282" s="3">
        <v>44.99</v>
      </c>
      <c r="O282" s="2" t="s">
        <v>224</v>
      </c>
      <c r="P282" s="2" t="s">
        <v>225</v>
      </c>
      <c r="Q282" s="2" t="s">
        <v>226</v>
      </c>
      <c r="R282" s="2" t="s">
        <v>227</v>
      </c>
      <c r="S282" s="2" t="s">
        <v>2154</v>
      </c>
      <c r="T282" s="2" t="s">
        <v>2100</v>
      </c>
      <c r="U282" s="2" t="s">
        <v>674</v>
      </c>
      <c r="V282" s="2" t="s">
        <v>2101</v>
      </c>
      <c r="W282" s="2" t="s">
        <v>705</v>
      </c>
      <c r="X282" s="2" t="s">
        <v>231</v>
      </c>
      <c r="Y282" s="2" t="s">
        <v>2102</v>
      </c>
      <c r="Z282" s="4">
        <v>815</v>
      </c>
      <c r="AA282" s="4">
        <f>=ROUNDDOWN(29.1071428571429,0)</f>
      </c>
      <c r="AB282" s="5">
        <v>28</v>
      </c>
      <c r="AC282" s="2" t="s">
        <v>2106</v>
      </c>
      <c r="AD282" s="4">
        <v>233</v>
      </c>
      <c r="AE282" s="4">
        <v>546</v>
      </c>
      <c r="AF282" s="6">
        <v>74</v>
      </c>
      <c r="AG282" s="6"/>
      <c r="AH282" s="7">
        <v>1</v>
      </c>
      <c r="AI282" s="4"/>
      <c r="AJ282" s="4">
        <f>=ROUNDDOWN({0},0)</f>
      </c>
      <c r="AK282" s="5"/>
      <c r="AL282" s="2" t="s">
        <v>227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227</v>
      </c>
      <c r="AW282" s="8" t="s">
        <v>227</v>
      </c>
      <c r="AX282" s="4" t="s">
        <v>227</v>
      </c>
      <c r="AY282" s="8" t="s">
        <v>227</v>
      </c>
      <c r="AZ282" s="7" t="s">
        <v>227</v>
      </c>
      <c r="BA282" s="7" t="s">
        <v>227</v>
      </c>
      <c r="BB282" s="7"/>
      <c r="BC282" s="4" t="s">
        <v>227</v>
      </c>
      <c r="BD282" s="8" t="s">
        <v>227</v>
      </c>
      <c r="BE282" s="4" t="s">
        <v>227</v>
      </c>
      <c r="BF282" s="8" t="s">
        <v>227</v>
      </c>
      <c r="BG282" s="7" t="s">
        <v>227</v>
      </c>
      <c r="BH282" s="7" t="s">
        <v>227</v>
      </c>
      <c r="BI282" s="7"/>
      <c r="BJ282" s="4">
        <v>4</v>
      </c>
      <c r="BK282" s="8">
        <v>82.22</v>
      </c>
      <c r="BL282" s="2" t="s">
        <v>2155</v>
      </c>
      <c r="BM282" s="7"/>
      <c r="BN282" s="7"/>
      <c r="BO282" s="4"/>
      <c r="BP282" s="8"/>
      <c r="BQ282" s="4"/>
      <c r="BR282" s="8"/>
      <c r="BS282" s="7"/>
      <c r="BT282" s="7"/>
      <c r="BU282" s="2" t="s">
        <v>2156</v>
      </c>
      <c r="BV282" s="2" t="s">
        <v>227</v>
      </c>
      <c r="BW282" s="2" t="s">
        <v>227</v>
      </c>
      <c r="BX282" s="2" t="s">
        <v>2104</v>
      </c>
      <c r="BY282" s="2" t="s">
        <v>236</v>
      </c>
      <c r="BZ282" s="2" t="s">
        <v>224</v>
      </c>
      <c r="CA282" s="2" t="s">
        <v>369</v>
      </c>
      <c r="CB282" s="2" t="s">
        <v>490</v>
      </c>
      <c r="CC282" s="2" t="s">
        <v>239</v>
      </c>
      <c r="CD282" s="2" t="s">
        <v>227</v>
      </c>
      <c r="CE282" s="4">
        <v>815</v>
      </c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>
        <v>233</v>
      </c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>
        <v>313</v>
      </c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  <c r="GR282" s="4"/>
      <c r="GS282" s="4"/>
      <c r="GT282" s="4"/>
      <c r="GU282" s="4"/>
      <c r="GV282" s="4"/>
      <c r="GW282" s="4"/>
      <c r="GX282" s="4"/>
    </row>
    <row r="283">
      <c r="A283" s="2" t="s">
        <v>2157</v>
      </c>
      <c r="B283" s="2" t="s">
        <v>278</v>
      </c>
      <c r="C283" s="2" t="s">
        <v>698</v>
      </c>
      <c r="D283" s="2" t="s">
        <v>280</v>
      </c>
      <c r="E283" s="2" t="s">
        <v>281</v>
      </c>
      <c r="F283" s="2" t="s">
        <v>2097</v>
      </c>
      <c r="G283" s="2" t="s">
        <v>2097</v>
      </c>
      <c r="H283" s="2" t="s">
        <v>2097</v>
      </c>
      <c r="I283" s="2" t="s">
        <v>283</v>
      </c>
      <c r="J283" s="2" t="s">
        <v>247</v>
      </c>
      <c r="K283" s="2" t="s">
        <v>2153</v>
      </c>
      <c r="L283" s="3">
        <v>21.78</v>
      </c>
      <c r="M283" s="3">
        <v>22.87</v>
      </c>
      <c r="N283" s="3">
        <v>49.99</v>
      </c>
      <c r="O283" s="2" t="s">
        <v>224</v>
      </c>
      <c r="P283" s="2" t="s">
        <v>485</v>
      </c>
      <c r="Q283" s="2" t="s">
        <v>226</v>
      </c>
      <c r="R283" s="2" t="s">
        <v>227</v>
      </c>
      <c r="S283" s="2" t="s">
        <v>2154</v>
      </c>
      <c r="T283" s="2" t="s">
        <v>2100</v>
      </c>
      <c r="U283" s="2" t="s">
        <v>287</v>
      </c>
      <c r="V283" s="2" t="s">
        <v>2101</v>
      </c>
      <c r="W283" s="2" t="s">
        <v>705</v>
      </c>
      <c r="X283" s="2" t="s">
        <v>231</v>
      </c>
      <c r="Y283" s="2" t="s">
        <v>2102</v>
      </c>
      <c r="Z283" s="4">
        <v>1392</v>
      </c>
      <c r="AA283" s="4">
        <f>=ROUNDDOWN(26.7692307692308,0)</f>
      </c>
      <c r="AB283" s="5">
        <v>52</v>
      </c>
      <c r="AC283" s="2" t="s">
        <v>2106</v>
      </c>
      <c r="AD283" s="4">
        <v>430</v>
      </c>
      <c r="AE283" s="4">
        <v>1027</v>
      </c>
      <c r="AF283" s="6">
        <v>74</v>
      </c>
      <c r="AG283" s="6"/>
      <c r="AH283" s="7">
        <v>1</v>
      </c>
      <c r="AI283" s="4"/>
      <c r="AJ283" s="4">
        <f>=ROUNDDOWN({0},0)</f>
      </c>
      <c r="AK283" s="5"/>
      <c r="AL283" s="2" t="s">
        <v>227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227</v>
      </c>
      <c r="AW283" s="8" t="s">
        <v>227</v>
      </c>
      <c r="AX283" s="4" t="s">
        <v>227</v>
      </c>
      <c r="AY283" s="8" t="s">
        <v>227</v>
      </c>
      <c r="AZ283" s="7" t="s">
        <v>227</v>
      </c>
      <c r="BA283" s="7" t="s">
        <v>227</v>
      </c>
      <c r="BB283" s="7"/>
      <c r="BC283" s="4" t="s">
        <v>227</v>
      </c>
      <c r="BD283" s="8" t="s">
        <v>227</v>
      </c>
      <c r="BE283" s="4" t="s">
        <v>227</v>
      </c>
      <c r="BF283" s="8" t="s">
        <v>227</v>
      </c>
      <c r="BG283" s="7" t="s">
        <v>227</v>
      </c>
      <c r="BH283" s="7" t="s">
        <v>227</v>
      </c>
      <c r="BI283" s="7"/>
      <c r="BJ283" s="4">
        <v>26</v>
      </c>
      <c r="BK283" s="8">
        <v>666.28</v>
      </c>
      <c r="BL283" s="2" t="s">
        <v>2107</v>
      </c>
      <c r="BM283" s="7"/>
      <c r="BN283" s="7"/>
      <c r="BO283" s="4"/>
      <c r="BP283" s="8"/>
      <c r="BQ283" s="4"/>
      <c r="BR283" s="8"/>
      <c r="BS283" s="7"/>
      <c r="BT283" s="7"/>
      <c r="BU283" s="2" t="s">
        <v>2158</v>
      </c>
      <c r="BV283" s="2" t="s">
        <v>227</v>
      </c>
      <c r="BW283" s="2" t="s">
        <v>227</v>
      </c>
      <c r="BX283" s="2" t="s">
        <v>2104</v>
      </c>
      <c r="BY283" s="2" t="s">
        <v>236</v>
      </c>
      <c r="BZ283" s="2" t="s">
        <v>224</v>
      </c>
      <c r="CA283" s="2" t="s">
        <v>369</v>
      </c>
      <c r="CB283" s="2" t="s">
        <v>1749</v>
      </c>
      <c r="CC283" s="2" t="s">
        <v>239</v>
      </c>
      <c r="CD283" s="2" t="s">
        <v>227</v>
      </c>
      <c r="CE283" s="4">
        <v>1392</v>
      </c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>
        <v>430</v>
      </c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>
        <v>597</v>
      </c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  <c r="GT283" s="4"/>
      <c r="GU283" s="4"/>
      <c r="GV283" s="4"/>
      <c r="GW283" s="4"/>
      <c r="GX283" s="4"/>
    </row>
    <row r="284">
      <c r="A284" s="2" t="s">
        <v>2159</v>
      </c>
      <c r="B284" s="2" t="s">
        <v>278</v>
      </c>
      <c r="C284" s="2" t="s">
        <v>698</v>
      </c>
      <c r="D284" s="2" t="s">
        <v>280</v>
      </c>
      <c r="E284" s="2" t="s">
        <v>281</v>
      </c>
      <c r="F284" s="2" t="s">
        <v>2097</v>
      </c>
      <c r="G284" s="2" t="s">
        <v>2097</v>
      </c>
      <c r="H284" s="2" t="s">
        <v>2097</v>
      </c>
      <c r="I284" s="2" t="s">
        <v>283</v>
      </c>
      <c r="J284" s="2" t="s">
        <v>257</v>
      </c>
      <c r="K284" s="2" t="s">
        <v>2153</v>
      </c>
      <c r="L284" s="3">
        <v>28.98</v>
      </c>
      <c r="M284" s="3">
        <v>30.43</v>
      </c>
      <c r="N284" s="3">
        <v>64.99</v>
      </c>
      <c r="O284" s="2" t="s">
        <v>224</v>
      </c>
      <c r="P284" s="2" t="s">
        <v>485</v>
      </c>
      <c r="Q284" s="2" t="s">
        <v>226</v>
      </c>
      <c r="R284" s="2" t="s">
        <v>227</v>
      </c>
      <c r="S284" s="2" t="s">
        <v>2154</v>
      </c>
      <c r="T284" s="2" t="s">
        <v>2100</v>
      </c>
      <c r="U284" s="2" t="s">
        <v>287</v>
      </c>
      <c r="V284" s="2" t="s">
        <v>2101</v>
      </c>
      <c r="W284" s="2" t="s">
        <v>705</v>
      </c>
      <c r="X284" s="2" t="s">
        <v>231</v>
      </c>
      <c r="Y284" s="2" t="s">
        <v>2102</v>
      </c>
      <c r="Z284" s="4">
        <v>933</v>
      </c>
      <c r="AA284" s="4">
        <f>=ROUNDDOWN(35.8846153846154,0)</f>
      </c>
      <c r="AB284" s="5">
        <v>26</v>
      </c>
      <c r="AC284" s="2" t="s">
        <v>2106</v>
      </c>
      <c r="AD284" s="4">
        <v>290</v>
      </c>
      <c r="AE284" s="4">
        <v>694</v>
      </c>
      <c r="AF284" s="6">
        <v>74</v>
      </c>
      <c r="AG284" s="6"/>
      <c r="AH284" s="7">
        <v>1</v>
      </c>
      <c r="AI284" s="4"/>
      <c r="AJ284" s="4">
        <f>=ROUNDDOWN({0},0)</f>
      </c>
      <c r="AK284" s="5"/>
      <c r="AL284" s="2" t="s">
        <v>227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227</v>
      </c>
      <c r="AW284" s="8" t="s">
        <v>227</v>
      </c>
      <c r="AX284" s="4" t="s">
        <v>227</v>
      </c>
      <c r="AY284" s="8" t="s">
        <v>227</v>
      </c>
      <c r="AZ284" s="7" t="s">
        <v>227</v>
      </c>
      <c r="BA284" s="7" t="s">
        <v>227</v>
      </c>
      <c r="BB284" s="7"/>
      <c r="BC284" s="4" t="s">
        <v>227</v>
      </c>
      <c r="BD284" s="8" t="s">
        <v>227</v>
      </c>
      <c r="BE284" s="4" t="s">
        <v>227</v>
      </c>
      <c r="BF284" s="8" t="s">
        <v>227</v>
      </c>
      <c r="BG284" s="7" t="s">
        <v>227</v>
      </c>
      <c r="BH284" s="7" t="s">
        <v>227</v>
      </c>
      <c r="BI284" s="7"/>
      <c r="BJ284" s="4">
        <v>27</v>
      </c>
      <c r="BK284" s="8">
        <v>943.28</v>
      </c>
      <c r="BL284" s="2" t="s">
        <v>1485</v>
      </c>
      <c r="BM284" s="7"/>
      <c r="BN284" s="7"/>
      <c r="BO284" s="4"/>
      <c r="BP284" s="8"/>
      <c r="BQ284" s="4"/>
      <c r="BR284" s="8"/>
      <c r="BS284" s="7"/>
      <c r="BT284" s="7"/>
      <c r="BU284" s="2" t="s">
        <v>2160</v>
      </c>
      <c r="BV284" s="2" t="s">
        <v>227</v>
      </c>
      <c r="BW284" s="2" t="s">
        <v>227</v>
      </c>
      <c r="BX284" s="2" t="s">
        <v>2104</v>
      </c>
      <c r="BY284" s="2" t="s">
        <v>236</v>
      </c>
      <c r="BZ284" s="2" t="s">
        <v>224</v>
      </c>
      <c r="CA284" s="2" t="s">
        <v>369</v>
      </c>
      <c r="CB284" s="2" t="s">
        <v>1503</v>
      </c>
      <c r="CC284" s="2" t="s">
        <v>239</v>
      </c>
      <c r="CD284" s="2" t="s">
        <v>227</v>
      </c>
      <c r="CE284" s="4">
        <v>932</v>
      </c>
      <c r="CF284" s="4"/>
      <c r="CG284" s="4"/>
      <c r="CH284" s="4"/>
      <c r="CI284" s="4"/>
      <c r="CJ284" s="4"/>
      <c r="CK284" s="4">
        <v>1</v>
      </c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>
        <v>290</v>
      </c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>
        <v>404</v>
      </c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/>
      <c r="GS284" s="4"/>
      <c r="GT284" s="4"/>
      <c r="GU284" s="4"/>
      <c r="GV284" s="4"/>
      <c r="GW284" s="4"/>
      <c r="GX284" s="4"/>
    </row>
    <row r="285">
      <c r="A285" s="2" t="s">
        <v>2161</v>
      </c>
      <c r="B285" s="2" t="s">
        <v>278</v>
      </c>
      <c r="C285" s="2" t="s">
        <v>698</v>
      </c>
      <c r="D285" s="2" t="s">
        <v>280</v>
      </c>
      <c r="E285" s="2" t="s">
        <v>281</v>
      </c>
      <c r="F285" s="2" t="s">
        <v>2097</v>
      </c>
      <c r="G285" s="2" t="s">
        <v>2097</v>
      </c>
      <c r="H285" s="2" t="s">
        <v>2097</v>
      </c>
      <c r="I285" s="2" t="s">
        <v>283</v>
      </c>
      <c r="J285" s="2" t="s">
        <v>384</v>
      </c>
      <c r="K285" s="2" t="s">
        <v>2153</v>
      </c>
      <c r="L285" s="3">
        <v>28.98</v>
      </c>
      <c r="M285" s="3">
        <v>30.43</v>
      </c>
      <c r="N285" s="3">
        <v>64.99</v>
      </c>
      <c r="O285" s="2" t="s">
        <v>224</v>
      </c>
      <c r="P285" s="2" t="s">
        <v>225</v>
      </c>
      <c r="Q285" s="2" t="s">
        <v>226</v>
      </c>
      <c r="R285" s="2" t="s">
        <v>227</v>
      </c>
      <c r="S285" s="2" t="s">
        <v>2154</v>
      </c>
      <c r="T285" s="2" t="s">
        <v>2100</v>
      </c>
      <c r="U285" s="2" t="s">
        <v>287</v>
      </c>
      <c r="V285" s="2" t="s">
        <v>2101</v>
      </c>
      <c r="W285" s="2" t="s">
        <v>705</v>
      </c>
      <c r="X285" s="2" t="s">
        <v>231</v>
      </c>
      <c r="Y285" s="2" t="s">
        <v>2102</v>
      </c>
      <c r="Z285" s="4">
        <v>343</v>
      </c>
      <c r="AA285" s="4">
        <f>=ROUNDDOWN(26.3846153846154,0)</f>
      </c>
      <c r="AB285" s="5">
        <v>13</v>
      </c>
      <c r="AC285" s="2" t="s">
        <v>2106</v>
      </c>
      <c r="AD285" s="4">
        <v>108</v>
      </c>
      <c r="AE285" s="4">
        <v>263</v>
      </c>
      <c r="AF285" s="6">
        <v>74</v>
      </c>
      <c r="AG285" s="6"/>
      <c r="AH285" s="7">
        <v>1</v>
      </c>
      <c r="AI285" s="4"/>
      <c r="AJ285" s="4">
        <f>=ROUNDDOWN({0},0)</f>
      </c>
      <c r="AK285" s="5"/>
      <c r="AL285" s="2" t="s">
        <v>227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227</v>
      </c>
      <c r="AW285" s="8" t="s">
        <v>227</v>
      </c>
      <c r="AX285" s="4" t="s">
        <v>227</v>
      </c>
      <c r="AY285" s="8" t="s">
        <v>227</v>
      </c>
      <c r="AZ285" s="7" t="s">
        <v>227</v>
      </c>
      <c r="BA285" s="7" t="s">
        <v>227</v>
      </c>
      <c r="BB285" s="7"/>
      <c r="BC285" s="4" t="s">
        <v>227</v>
      </c>
      <c r="BD285" s="8" t="s">
        <v>227</v>
      </c>
      <c r="BE285" s="4" t="s">
        <v>227</v>
      </c>
      <c r="BF285" s="8" t="s">
        <v>227</v>
      </c>
      <c r="BG285" s="7" t="s">
        <v>227</v>
      </c>
      <c r="BH285" s="7" t="s">
        <v>227</v>
      </c>
      <c r="BI285" s="7"/>
      <c r="BJ285" s="4">
        <v>12</v>
      </c>
      <c r="BK285" s="8">
        <v>410.68</v>
      </c>
      <c r="BL285" s="2" t="s">
        <v>1485</v>
      </c>
      <c r="BM285" s="7"/>
      <c r="BN285" s="7"/>
      <c r="BO285" s="4"/>
      <c r="BP285" s="8"/>
      <c r="BQ285" s="4"/>
      <c r="BR285" s="8"/>
      <c r="BS285" s="7"/>
      <c r="BT285" s="7"/>
      <c r="BU285" s="2" t="s">
        <v>2162</v>
      </c>
      <c r="BV285" s="2" t="s">
        <v>227</v>
      </c>
      <c r="BW285" s="2" t="s">
        <v>227</v>
      </c>
      <c r="BX285" s="2" t="s">
        <v>2104</v>
      </c>
      <c r="BY285" s="2" t="s">
        <v>236</v>
      </c>
      <c r="BZ285" s="2" t="s">
        <v>224</v>
      </c>
      <c r="CA285" s="2" t="s">
        <v>369</v>
      </c>
      <c r="CB285" s="2" t="s">
        <v>1503</v>
      </c>
      <c r="CC285" s="2" t="s">
        <v>239</v>
      </c>
      <c r="CD285" s="2" t="s">
        <v>227</v>
      </c>
      <c r="CE285" s="4">
        <v>343</v>
      </c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>
        <v>108</v>
      </c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>
        <v>155</v>
      </c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  <c r="GU285" s="4"/>
      <c r="GV285" s="4"/>
      <c r="GW285" s="4"/>
      <c r="GX285" s="4"/>
    </row>
    <row r="286">
      <c r="A286" s="2" t="s">
        <v>2163</v>
      </c>
      <c r="B286" s="2" t="s">
        <v>278</v>
      </c>
      <c r="C286" s="2" t="s">
        <v>698</v>
      </c>
      <c r="D286" s="2" t="s">
        <v>280</v>
      </c>
      <c r="E286" s="2" t="s">
        <v>281</v>
      </c>
      <c r="F286" s="2" t="s">
        <v>2097</v>
      </c>
      <c r="G286" s="2" t="s">
        <v>2097</v>
      </c>
      <c r="H286" s="2" t="s">
        <v>2097</v>
      </c>
      <c r="I286" s="2" t="s">
        <v>283</v>
      </c>
      <c r="J286" s="2" t="s">
        <v>252</v>
      </c>
      <c r="K286" s="2" t="s">
        <v>2164</v>
      </c>
      <c r="L286" s="3">
        <v>24.3</v>
      </c>
      <c r="M286" s="3">
        <v>25.52</v>
      </c>
      <c r="N286" s="3">
        <v>54.99</v>
      </c>
      <c r="O286" s="2" t="s">
        <v>224</v>
      </c>
      <c r="P286" s="2" t="s">
        <v>225</v>
      </c>
      <c r="Q286" s="2" t="s">
        <v>226</v>
      </c>
      <c r="R286" s="2" t="s">
        <v>227</v>
      </c>
      <c r="S286" s="2" t="s">
        <v>2119</v>
      </c>
      <c r="T286" s="2" t="s">
        <v>2100</v>
      </c>
      <c r="U286" s="2" t="s">
        <v>287</v>
      </c>
      <c r="V286" s="2" t="s">
        <v>2101</v>
      </c>
      <c r="W286" s="2" t="s">
        <v>705</v>
      </c>
      <c r="X286" s="2" t="s">
        <v>231</v>
      </c>
      <c r="Y286" s="2" t="s">
        <v>2120</v>
      </c>
      <c r="Z286" s="4">
        <v>398</v>
      </c>
      <c r="AA286" s="4">
        <f>=ROUNDDOWN(19.9,0)</f>
      </c>
      <c r="AB286" s="5">
        <v>20</v>
      </c>
      <c r="AC286" s="2" t="s">
        <v>583</v>
      </c>
      <c r="AD286" s="4">
        <v>46</v>
      </c>
      <c r="AE286" s="4">
        <v>508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227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227</v>
      </c>
      <c r="AW286" s="8" t="s">
        <v>227</v>
      </c>
      <c r="AX286" s="4" t="s">
        <v>227</v>
      </c>
      <c r="AY286" s="8" t="s">
        <v>227</v>
      </c>
      <c r="AZ286" s="7" t="s">
        <v>227</v>
      </c>
      <c r="BA286" s="7" t="s">
        <v>227</v>
      </c>
      <c r="BB286" s="7"/>
      <c r="BC286" s="4" t="s">
        <v>227</v>
      </c>
      <c r="BD286" s="8" t="s">
        <v>227</v>
      </c>
      <c r="BE286" s="4" t="s">
        <v>227</v>
      </c>
      <c r="BF286" s="8" t="s">
        <v>227</v>
      </c>
      <c r="BG286" s="7" t="s">
        <v>227</v>
      </c>
      <c r="BH286" s="7" t="s">
        <v>227</v>
      </c>
      <c r="BI286" s="7"/>
      <c r="BJ286" s="4">
        <v>59</v>
      </c>
      <c r="BK286" s="8">
        <v>1722.16</v>
      </c>
      <c r="BL286" s="2" t="s">
        <v>2165</v>
      </c>
      <c r="BM286" s="7"/>
      <c r="BN286" s="7"/>
      <c r="BO286" s="4"/>
      <c r="BP286" s="8"/>
      <c r="BQ286" s="4"/>
      <c r="BR286" s="8"/>
      <c r="BS286" s="7"/>
      <c r="BT286" s="7"/>
      <c r="BU286" s="2" t="s">
        <v>2166</v>
      </c>
      <c r="BV286" s="2" t="s">
        <v>227</v>
      </c>
      <c r="BW286" s="2" t="s">
        <v>227</v>
      </c>
      <c r="BX286" s="2" t="s">
        <v>2104</v>
      </c>
      <c r="BY286" s="2" t="s">
        <v>236</v>
      </c>
      <c r="BZ286" s="2" t="s">
        <v>224</v>
      </c>
      <c r="CA286" s="2" t="s">
        <v>1075</v>
      </c>
      <c r="CB286" s="2" t="s">
        <v>2167</v>
      </c>
      <c r="CC286" s="2" t="s">
        <v>239</v>
      </c>
      <c r="CD286" s="2" t="s">
        <v>227</v>
      </c>
      <c r="CE286" s="4">
        <v>398</v>
      </c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>
        <v>46</v>
      </c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>
        <v>181</v>
      </c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>
        <v>281</v>
      </c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  <c r="GU286" s="4"/>
      <c r="GV286" s="4"/>
      <c r="GW286" s="4"/>
      <c r="GX286" s="4"/>
    </row>
    <row r="287">
      <c r="A287" s="2" t="s">
        <v>2168</v>
      </c>
      <c r="B287" s="2" t="s">
        <v>278</v>
      </c>
      <c r="C287" s="2" t="s">
        <v>698</v>
      </c>
      <c r="D287" s="2" t="s">
        <v>280</v>
      </c>
      <c r="E287" s="2" t="s">
        <v>281</v>
      </c>
      <c r="F287" s="2" t="s">
        <v>2097</v>
      </c>
      <c r="G287" s="2" t="s">
        <v>2097</v>
      </c>
      <c r="H287" s="2" t="s">
        <v>2097</v>
      </c>
      <c r="I287" s="2" t="s">
        <v>283</v>
      </c>
      <c r="J287" s="2" t="s">
        <v>384</v>
      </c>
      <c r="K287" s="2" t="s">
        <v>2164</v>
      </c>
      <c r="L287" s="3">
        <v>28.98</v>
      </c>
      <c r="M287" s="3">
        <v>30.43</v>
      </c>
      <c r="N287" s="3">
        <v>64.99</v>
      </c>
      <c r="O287" s="2" t="s">
        <v>224</v>
      </c>
      <c r="P287" s="2" t="s">
        <v>225</v>
      </c>
      <c r="Q287" s="2" t="s">
        <v>226</v>
      </c>
      <c r="R287" s="2" t="s">
        <v>227</v>
      </c>
      <c r="S287" s="2" t="s">
        <v>2119</v>
      </c>
      <c r="T287" s="2" t="s">
        <v>2100</v>
      </c>
      <c r="U287" s="2" t="s">
        <v>287</v>
      </c>
      <c r="V287" s="2" t="s">
        <v>2101</v>
      </c>
      <c r="W287" s="2" t="s">
        <v>705</v>
      </c>
      <c r="X287" s="2" t="s">
        <v>231</v>
      </c>
      <c r="Y287" s="2" t="s">
        <v>2120</v>
      </c>
      <c r="Z287" s="4">
        <v>168</v>
      </c>
      <c r="AA287" s="4">
        <f>=ROUNDDOWN(24,0)</f>
      </c>
      <c r="AB287" s="5">
        <v>7</v>
      </c>
      <c r="AC287" s="2" t="s">
        <v>2106</v>
      </c>
      <c r="AD287" s="4">
        <v>59</v>
      </c>
      <c r="AE287" s="4">
        <v>159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227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227</v>
      </c>
      <c r="AW287" s="8" t="s">
        <v>227</v>
      </c>
      <c r="AX287" s="4" t="s">
        <v>227</v>
      </c>
      <c r="AY287" s="8" t="s">
        <v>227</v>
      </c>
      <c r="AZ287" s="7" t="s">
        <v>227</v>
      </c>
      <c r="BA287" s="7" t="s">
        <v>227</v>
      </c>
      <c r="BB287" s="7"/>
      <c r="BC287" s="4" t="s">
        <v>227</v>
      </c>
      <c r="BD287" s="8" t="s">
        <v>227</v>
      </c>
      <c r="BE287" s="4" t="s">
        <v>227</v>
      </c>
      <c r="BF287" s="8" t="s">
        <v>227</v>
      </c>
      <c r="BG287" s="7" t="s">
        <v>227</v>
      </c>
      <c r="BH287" s="7" t="s">
        <v>227</v>
      </c>
      <c r="BI287" s="7"/>
      <c r="BJ287" s="4">
        <v>6</v>
      </c>
      <c r="BK287" s="8">
        <v>211.26</v>
      </c>
      <c r="BL287" s="2" t="s">
        <v>2165</v>
      </c>
      <c r="BM287" s="7"/>
      <c r="BN287" s="7"/>
      <c r="BO287" s="4"/>
      <c r="BP287" s="8"/>
      <c r="BQ287" s="4"/>
      <c r="BR287" s="8"/>
      <c r="BS287" s="7"/>
      <c r="BT287" s="7"/>
      <c r="BU287" s="2" t="s">
        <v>2169</v>
      </c>
      <c r="BV287" s="2" t="s">
        <v>227</v>
      </c>
      <c r="BW287" s="2" t="s">
        <v>227</v>
      </c>
      <c r="BX287" s="2" t="s">
        <v>2104</v>
      </c>
      <c r="BY287" s="2" t="s">
        <v>236</v>
      </c>
      <c r="BZ287" s="2" t="s">
        <v>224</v>
      </c>
      <c r="CA287" s="2" t="s">
        <v>2170</v>
      </c>
      <c r="CB287" s="2" t="s">
        <v>2171</v>
      </c>
      <c r="CC287" s="2" t="s">
        <v>239</v>
      </c>
      <c r="CD287" s="2" t="s">
        <v>227</v>
      </c>
      <c r="CE287" s="4">
        <v>168</v>
      </c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>
        <v>59</v>
      </c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>
        <v>100</v>
      </c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  <c r="GR287" s="4"/>
      <c r="GS287" s="4"/>
      <c r="GT287" s="4"/>
      <c r="GU287" s="4"/>
      <c r="GV287" s="4"/>
      <c r="GW287" s="4"/>
      <c r="GX287" s="4"/>
    </row>
    <row r="288">
      <c r="A288" s="2" t="s">
        <v>2172</v>
      </c>
      <c r="B288" s="2" t="s">
        <v>278</v>
      </c>
      <c r="C288" s="2" t="s">
        <v>698</v>
      </c>
      <c r="D288" s="2" t="s">
        <v>280</v>
      </c>
      <c r="E288" s="2" t="s">
        <v>281</v>
      </c>
      <c r="F288" s="2" t="s">
        <v>2097</v>
      </c>
      <c r="G288" s="2" t="s">
        <v>2097</v>
      </c>
      <c r="H288" s="2" t="s">
        <v>2097</v>
      </c>
      <c r="I288" s="2" t="s">
        <v>283</v>
      </c>
      <c r="J288" s="2" t="s">
        <v>252</v>
      </c>
      <c r="K288" s="2" t="s">
        <v>2173</v>
      </c>
      <c r="L288" s="3">
        <v>24.3</v>
      </c>
      <c r="M288" s="3">
        <v>25.52</v>
      </c>
      <c r="N288" s="3">
        <v>54.99</v>
      </c>
      <c r="O288" s="2" t="s">
        <v>224</v>
      </c>
      <c r="P288" s="2" t="s">
        <v>485</v>
      </c>
      <c r="Q288" s="2" t="s">
        <v>226</v>
      </c>
      <c r="R288" s="2" t="s">
        <v>227</v>
      </c>
      <c r="S288" s="2" t="s">
        <v>2174</v>
      </c>
      <c r="T288" s="2" t="s">
        <v>2100</v>
      </c>
      <c r="U288" s="2" t="s">
        <v>227</v>
      </c>
      <c r="V288" s="2" t="s">
        <v>782</v>
      </c>
      <c r="W288" s="2" t="s">
        <v>705</v>
      </c>
      <c r="X288" s="2" t="s">
        <v>231</v>
      </c>
      <c r="Y288" s="2" t="s">
        <v>2175</v>
      </c>
      <c r="Z288" s="4">
        <v>58</v>
      </c>
      <c r="AA288" s="4">
        <f>=ROUNDDOWN(1.41463414634146,0)</f>
      </c>
      <c r="AB288" s="5">
        <v>41</v>
      </c>
      <c r="AC288" s="2" t="s">
        <v>583</v>
      </c>
      <c r="AD288" s="4">
        <v>687</v>
      </c>
      <c r="AE288" s="4">
        <v>1611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227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227</v>
      </c>
      <c r="AW288" s="8" t="s">
        <v>227</v>
      </c>
      <c r="AX288" s="4" t="s">
        <v>227</v>
      </c>
      <c r="AY288" s="8" t="s">
        <v>227</v>
      </c>
      <c r="AZ288" s="7" t="s">
        <v>227</v>
      </c>
      <c r="BA288" s="7" t="s">
        <v>227</v>
      </c>
      <c r="BB288" s="7"/>
      <c r="BC288" s="4" t="s">
        <v>227</v>
      </c>
      <c r="BD288" s="8" t="s">
        <v>227</v>
      </c>
      <c r="BE288" s="4" t="s">
        <v>227</v>
      </c>
      <c r="BF288" s="8" t="s">
        <v>227</v>
      </c>
      <c r="BG288" s="7" t="s">
        <v>227</v>
      </c>
      <c r="BH288" s="7" t="s">
        <v>227</v>
      </c>
      <c r="BI288" s="7"/>
      <c r="BJ288" s="4">
        <v>164</v>
      </c>
      <c r="BK288" s="8">
        <v>4642.98</v>
      </c>
      <c r="BL288" s="2" t="s">
        <v>2176</v>
      </c>
      <c r="BM288" s="7"/>
      <c r="BN288" s="7"/>
      <c r="BO288" s="4"/>
      <c r="BP288" s="8"/>
      <c r="BQ288" s="4"/>
      <c r="BR288" s="8"/>
      <c r="BS288" s="7"/>
      <c r="BT288" s="7"/>
      <c r="BU288" s="2" t="s">
        <v>2177</v>
      </c>
      <c r="BV288" s="2" t="s">
        <v>227</v>
      </c>
      <c r="BW288" s="2" t="s">
        <v>227</v>
      </c>
      <c r="BX288" s="2" t="s">
        <v>2104</v>
      </c>
      <c r="BY288" s="2" t="s">
        <v>236</v>
      </c>
      <c r="BZ288" s="2" t="s">
        <v>224</v>
      </c>
      <c r="CA288" s="2" t="s">
        <v>2115</v>
      </c>
      <c r="CB288" s="2" t="s">
        <v>2178</v>
      </c>
      <c r="CC288" s="2" t="s">
        <v>239</v>
      </c>
      <c r="CD288" s="2" t="s">
        <v>227</v>
      </c>
      <c r="CE288" s="4">
        <v>58</v>
      </c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>
        <v>687</v>
      </c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>
        <v>411</v>
      </c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>
        <v>513</v>
      </c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  <c r="GW288" s="4"/>
      <c r="GX288" s="4"/>
    </row>
    <row r="289">
      <c r="A289" s="2" t="s">
        <v>2179</v>
      </c>
      <c r="B289" s="2" t="s">
        <v>278</v>
      </c>
      <c r="C289" s="2" t="s">
        <v>698</v>
      </c>
      <c r="D289" s="2" t="s">
        <v>280</v>
      </c>
      <c r="E289" s="2" t="s">
        <v>281</v>
      </c>
      <c r="F289" s="2" t="s">
        <v>2097</v>
      </c>
      <c r="G289" s="2" t="s">
        <v>2097</v>
      </c>
      <c r="H289" s="2" t="s">
        <v>2097</v>
      </c>
      <c r="I289" s="2" t="s">
        <v>283</v>
      </c>
      <c r="J289" s="2" t="s">
        <v>384</v>
      </c>
      <c r="K289" s="2" t="s">
        <v>2173</v>
      </c>
      <c r="L289" s="3">
        <v>28.98</v>
      </c>
      <c r="M289" s="3">
        <v>30.43</v>
      </c>
      <c r="N289" s="3">
        <v>64.99</v>
      </c>
      <c r="O289" s="2" t="s">
        <v>224</v>
      </c>
      <c r="P289" s="2" t="s">
        <v>225</v>
      </c>
      <c r="Q289" s="2" t="s">
        <v>226</v>
      </c>
      <c r="R289" s="2" t="s">
        <v>227</v>
      </c>
      <c r="S289" s="2" t="s">
        <v>2174</v>
      </c>
      <c r="T289" s="2" t="s">
        <v>2100</v>
      </c>
      <c r="U289" s="2" t="s">
        <v>227</v>
      </c>
      <c r="V289" s="2" t="s">
        <v>782</v>
      </c>
      <c r="W289" s="2" t="s">
        <v>705</v>
      </c>
      <c r="X289" s="2" t="s">
        <v>231</v>
      </c>
      <c r="Y289" s="2" t="s">
        <v>2175</v>
      </c>
      <c r="Z289" s="4">
        <v>54</v>
      </c>
      <c r="AA289" s="4">
        <f>=ROUNDDOWN(9,0)</f>
      </c>
      <c r="AB289" s="5"/>
      <c r="AC289" s="2" t="s">
        <v>583</v>
      </c>
      <c r="AD289" s="4">
        <v>113</v>
      </c>
      <c r="AE289" s="4">
        <v>262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227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227</v>
      </c>
      <c r="AW289" s="8" t="s">
        <v>227</v>
      </c>
      <c r="AX289" s="4" t="s">
        <v>227</v>
      </c>
      <c r="AY289" s="8" t="s">
        <v>227</v>
      </c>
      <c r="AZ289" s="7" t="s">
        <v>227</v>
      </c>
      <c r="BA289" s="7" t="s">
        <v>227</v>
      </c>
      <c r="BB289" s="7"/>
      <c r="BC289" s="4" t="s">
        <v>227</v>
      </c>
      <c r="BD289" s="8" t="s">
        <v>227</v>
      </c>
      <c r="BE289" s="4" t="s">
        <v>227</v>
      </c>
      <c r="BF289" s="8" t="s">
        <v>227</v>
      </c>
      <c r="BG289" s="7" t="s">
        <v>227</v>
      </c>
      <c r="BH289" s="7" t="s">
        <v>227</v>
      </c>
      <c r="BI289" s="7"/>
      <c r="BJ289" s="4">
        <v>7</v>
      </c>
      <c r="BK289" s="8">
        <v>232.97</v>
      </c>
      <c r="BL289" s="2" t="s">
        <v>2180</v>
      </c>
      <c r="BM289" s="7"/>
      <c r="BN289" s="7"/>
      <c r="BO289" s="4"/>
      <c r="BP289" s="8"/>
      <c r="BQ289" s="4"/>
      <c r="BR289" s="8"/>
      <c r="BS289" s="7"/>
      <c r="BT289" s="7"/>
      <c r="BU289" s="2" t="s">
        <v>2181</v>
      </c>
      <c r="BV289" s="2" t="s">
        <v>227</v>
      </c>
      <c r="BW289" s="2" t="s">
        <v>227</v>
      </c>
      <c r="BX289" s="2" t="s">
        <v>2104</v>
      </c>
      <c r="BY289" s="2" t="s">
        <v>236</v>
      </c>
      <c r="BZ289" s="2" t="s">
        <v>224</v>
      </c>
      <c r="CA289" s="2" t="s">
        <v>2115</v>
      </c>
      <c r="CB289" s="2" t="s">
        <v>2178</v>
      </c>
      <c r="CC289" s="2" t="s">
        <v>239</v>
      </c>
      <c r="CD289" s="2" t="s">
        <v>227</v>
      </c>
      <c r="CE289" s="4">
        <v>54</v>
      </c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>
        <v>113</v>
      </c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>
        <v>58</v>
      </c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>
        <v>91</v>
      </c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  <c r="GU289" s="4"/>
      <c r="GV289" s="4"/>
      <c r="GW289" s="4"/>
      <c r="GX289" s="4"/>
    </row>
    <row r="290">
      <c r="A290" s="2" t="s">
        <v>2182</v>
      </c>
      <c r="B290" s="2" t="s">
        <v>278</v>
      </c>
      <c r="C290" s="2" t="s">
        <v>698</v>
      </c>
      <c r="D290" s="2" t="s">
        <v>280</v>
      </c>
      <c r="E290" s="2" t="s">
        <v>281</v>
      </c>
      <c r="F290" s="2" t="s">
        <v>2097</v>
      </c>
      <c r="G290" s="2" t="s">
        <v>2097</v>
      </c>
      <c r="H290" s="2" t="s">
        <v>2097</v>
      </c>
      <c r="I290" s="2" t="s">
        <v>283</v>
      </c>
      <c r="J290" s="2" t="s">
        <v>384</v>
      </c>
      <c r="K290" s="2" t="s">
        <v>2183</v>
      </c>
      <c r="L290" s="3">
        <v>28.98</v>
      </c>
      <c r="M290" s="3">
        <v>30.43</v>
      </c>
      <c r="N290" s="3">
        <v>64.99</v>
      </c>
      <c r="O290" s="2" t="s">
        <v>224</v>
      </c>
      <c r="P290" s="2" t="s">
        <v>485</v>
      </c>
      <c r="Q290" s="2" t="s">
        <v>226</v>
      </c>
      <c r="R290" s="2" t="s">
        <v>227</v>
      </c>
      <c r="S290" s="2" t="s">
        <v>2184</v>
      </c>
      <c r="T290" s="2" t="s">
        <v>2100</v>
      </c>
      <c r="U290" s="2" t="s">
        <v>227</v>
      </c>
      <c r="V290" s="2" t="s">
        <v>782</v>
      </c>
      <c r="W290" s="2" t="s">
        <v>705</v>
      </c>
      <c r="X290" s="2" t="s">
        <v>231</v>
      </c>
      <c r="Y290" s="2" t="s">
        <v>2185</v>
      </c>
      <c r="Z290" s="4">
        <v>136</v>
      </c>
      <c r="AA290" s="4">
        <f>=ROUNDDOWN(8.5,0)</f>
      </c>
      <c r="AB290" s="5">
        <v>16</v>
      </c>
      <c r="AC290" s="2" t="s">
        <v>583</v>
      </c>
      <c r="AD290" s="4">
        <v>290</v>
      </c>
      <c r="AE290" s="4">
        <v>559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227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/>
      <c r="AW290" s="8"/>
      <c r="AX290" s="4"/>
      <c r="AY290" s="8"/>
      <c r="AZ290" s="7"/>
      <c r="BA290" s="7"/>
      <c r="BB290" s="7"/>
      <c r="BC290" s="4" t="s">
        <v>227</v>
      </c>
      <c r="BD290" s="8" t="s">
        <v>227</v>
      </c>
      <c r="BE290" s="4" t="s">
        <v>227</v>
      </c>
      <c r="BF290" s="8" t="s">
        <v>227</v>
      </c>
      <c r="BG290" s="7" t="s">
        <v>227</v>
      </c>
      <c r="BH290" s="7" t="s">
        <v>227</v>
      </c>
      <c r="BI290" s="7"/>
      <c r="BJ290" s="4">
        <v>14</v>
      </c>
      <c r="BK290" s="8">
        <v>481.61</v>
      </c>
      <c r="BL290" s="2" t="s">
        <v>2186</v>
      </c>
      <c r="BM290" s="7"/>
      <c r="BN290" s="7"/>
      <c r="BO290" s="4"/>
      <c r="BP290" s="8"/>
      <c r="BQ290" s="4"/>
      <c r="BR290" s="8"/>
      <c r="BS290" s="7"/>
      <c r="BT290" s="7"/>
      <c r="BU290" s="2" t="s">
        <v>2187</v>
      </c>
      <c r="BV290" s="2" t="s">
        <v>227</v>
      </c>
      <c r="BW290" s="2" t="s">
        <v>227</v>
      </c>
      <c r="BX290" s="2" t="s">
        <v>2104</v>
      </c>
      <c r="BY290" s="2" t="s">
        <v>236</v>
      </c>
      <c r="BZ290" s="2" t="s">
        <v>224</v>
      </c>
      <c r="CA290" s="2" t="s">
        <v>2144</v>
      </c>
      <c r="CB290" s="2" t="s">
        <v>2188</v>
      </c>
      <c r="CC290" s="2" t="s">
        <v>239</v>
      </c>
      <c r="CD290" s="2" t="s">
        <v>227</v>
      </c>
      <c r="CE290" s="4">
        <v>136</v>
      </c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>
        <v>290</v>
      </c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>
        <v>139</v>
      </c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>
        <v>130</v>
      </c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</row>
    <row r="291">
      <c r="A291" s="2" t="s">
        <v>2189</v>
      </c>
      <c r="B291" s="2" t="s">
        <v>278</v>
      </c>
      <c r="C291" s="2" t="s">
        <v>698</v>
      </c>
      <c r="D291" s="2" t="s">
        <v>280</v>
      </c>
      <c r="E291" s="2" t="s">
        <v>281</v>
      </c>
      <c r="F291" s="2" t="s">
        <v>2097</v>
      </c>
      <c r="G291" s="2" t="s">
        <v>2097</v>
      </c>
      <c r="H291" s="2" t="s">
        <v>2097</v>
      </c>
      <c r="I291" s="2" t="s">
        <v>283</v>
      </c>
      <c r="J291" s="2" t="s">
        <v>222</v>
      </c>
      <c r="K291" s="2" t="s">
        <v>2190</v>
      </c>
      <c r="L291" s="3">
        <v>19.8</v>
      </c>
      <c r="M291" s="3">
        <v>20.79</v>
      </c>
      <c r="N291" s="3">
        <v>44.99</v>
      </c>
      <c r="O291" s="2" t="s">
        <v>224</v>
      </c>
      <c r="P291" s="2" t="s">
        <v>225</v>
      </c>
      <c r="Q291" s="2" t="s">
        <v>226</v>
      </c>
      <c r="R291" s="2" t="s">
        <v>227</v>
      </c>
      <c r="S291" s="2" t="s">
        <v>2191</v>
      </c>
      <c r="T291" s="2" t="s">
        <v>2100</v>
      </c>
      <c r="U291" s="2" t="s">
        <v>227</v>
      </c>
      <c r="V291" s="2" t="s">
        <v>2101</v>
      </c>
      <c r="W291" s="2" t="s">
        <v>705</v>
      </c>
      <c r="X291" s="2" t="s">
        <v>231</v>
      </c>
      <c r="Y291" s="2" t="s">
        <v>2112</v>
      </c>
      <c r="Z291" s="4">
        <v>82</v>
      </c>
      <c r="AA291" s="4">
        <f>=ROUNDDOWN(5.85714285714286,0)</f>
      </c>
      <c r="AB291" s="5">
        <v>14</v>
      </c>
      <c r="AC291" s="2" t="s">
        <v>583</v>
      </c>
      <c r="AD291" s="4">
        <v>211</v>
      </c>
      <c r="AE291" s="4">
        <v>319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227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227</v>
      </c>
      <c r="AW291" s="8" t="s">
        <v>227</v>
      </c>
      <c r="AX291" s="4" t="s">
        <v>227</v>
      </c>
      <c r="AY291" s="8" t="s">
        <v>227</v>
      </c>
      <c r="AZ291" s="7" t="s">
        <v>227</v>
      </c>
      <c r="BA291" s="7" t="s">
        <v>227</v>
      </c>
      <c r="BB291" s="7"/>
      <c r="BC291" s="4" t="s">
        <v>227</v>
      </c>
      <c r="BD291" s="8" t="s">
        <v>227</v>
      </c>
      <c r="BE291" s="4" t="s">
        <v>227</v>
      </c>
      <c r="BF291" s="8" t="s">
        <v>227</v>
      </c>
      <c r="BG291" s="7" t="s">
        <v>227</v>
      </c>
      <c r="BH291" s="7" t="s">
        <v>227</v>
      </c>
      <c r="BI291" s="7"/>
      <c r="BJ291" s="4">
        <v>15</v>
      </c>
      <c r="BK291" s="8">
        <v>358.84</v>
      </c>
      <c r="BL291" s="2" t="s">
        <v>2192</v>
      </c>
      <c r="BM291" s="7"/>
      <c r="BN291" s="7"/>
      <c r="BO291" s="4"/>
      <c r="BP291" s="8"/>
      <c r="BQ291" s="4"/>
      <c r="BR291" s="8"/>
      <c r="BS291" s="7"/>
      <c r="BT291" s="7"/>
      <c r="BU291" s="2" t="s">
        <v>2193</v>
      </c>
      <c r="BV291" s="2" t="s">
        <v>227</v>
      </c>
      <c r="BW291" s="2" t="s">
        <v>227</v>
      </c>
      <c r="BX291" s="2" t="s">
        <v>2104</v>
      </c>
      <c r="BY291" s="2" t="s">
        <v>236</v>
      </c>
      <c r="BZ291" s="2" t="s">
        <v>224</v>
      </c>
      <c r="CA291" s="2" t="s">
        <v>2115</v>
      </c>
      <c r="CB291" s="2" t="s">
        <v>2194</v>
      </c>
      <c r="CC291" s="2" t="s">
        <v>239</v>
      </c>
      <c r="CD291" s="2" t="s">
        <v>227</v>
      </c>
      <c r="CE291" s="4">
        <v>82</v>
      </c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>
        <v>211</v>
      </c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>
        <v>78</v>
      </c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>
        <v>30</v>
      </c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  <c r="GW291" s="4"/>
      <c r="GX291" s="4"/>
    </row>
    <row r="292">
      <c r="A292" s="2" t="s">
        <v>2195</v>
      </c>
      <c r="B292" s="2" t="s">
        <v>278</v>
      </c>
      <c r="C292" s="2" t="s">
        <v>698</v>
      </c>
      <c r="D292" s="2" t="s">
        <v>280</v>
      </c>
      <c r="E292" s="2" t="s">
        <v>281</v>
      </c>
      <c r="F292" s="2" t="s">
        <v>2097</v>
      </c>
      <c r="G292" s="2" t="s">
        <v>2097</v>
      </c>
      <c r="H292" s="2" t="s">
        <v>2097</v>
      </c>
      <c r="I292" s="2" t="s">
        <v>283</v>
      </c>
      <c r="J292" s="2" t="s">
        <v>247</v>
      </c>
      <c r="K292" s="2" t="s">
        <v>2190</v>
      </c>
      <c r="L292" s="3">
        <v>21.78</v>
      </c>
      <c r="M292" s="3">
        <v>22.87</v>
      </c>
      <c r="N292" s="3">
        <v>49.99</v>
      </c>
      <c r="O292" s="2" t="s">
        <v>224</v>
      </c>
      <c r="P292" s="2" t="s">
        <v>225</v>
      </c>
      <c r="Q292" s="2" t="s">
        <v>226</v>
      </c>
      <c r="R292" s="2" t="s">
        <v>227</v>
      </c>
      <c r="S292" s="2" t="s">
        <v>2191</v>
      </c>
      <c r="T292" s="2" t="s">
        <v>2100</v>
      </c>
      <c r="U292" s="2" t="s">
        <v>227</v>
      </c>
      <c r="V292" s="2" t="s">
        <v>2101</v>
      </c>
      <c r="W292" s="2" t="s">
        <v>705</v>
      </c>
      <c r="X292" s="2" t="s">
        <v>231</v>
      </c>
      <c r="Y292" s="2" t="s">
        <v>2112</v>
      </c>
      <c r="Z292" s="4">
        <v>71</v>
      </c>
      <c r="AA292" s="4">
        <f>=ROUNDDOWN(5.07142857142857,0)</f>
      </c>
      <c r="AB292" s="5">
        <v>14</v>
      </c>
      <c r="AC292" s="2" t="s">
        <v>583</v>
      </c>
      <c r="AD292" s="4">
        <v>280</v>
      </c>
      <c r="AE292" s="4">
        <v>487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227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227</v>
      </c>
      <c r="AW292" s="8" t="s">
        <v>227</v>
      </c>
      <c r="AX292" s="4" t="s">
        <v>227</v>
      </c>
      <c r="AY292" s="8" t="s">
        <v>227</v>
      </c>
      <c r="AZ292" s="7" t="s">
        <v>227</v>
      </c>
      <c r="BA292" s="7" t="s">
        <v>227</v>
      </c>
      <c r="BB292" s="7"/>
      <c r="BC292" s="4" t="s">
        <v>227</v>
      </c>
      <c r="BD292" s="8" t="s">
        <v>227</v>
      </c>
      <c r="BE292" s="4" t="s">
        <v>227</v>
      </c>
      <c r="BF292" s="8" t="s">
        <v>227</v>
      </c>
      <c r="BG292" s="7" t="s">
        <v>227</v>
      </c>
      <c r="BH292" s="7" t="s">
        <v>227</v>
      </c>
      <c r="BI292" s="7"/>
      <c r="BJ292" s="4">
        <v>21</v>
      </c>
      <c r="BK292" s="8">
        <v>521.15</v>
      </c>
      <c r="BL292" s="2" t="s">
        <v>2196</v>
      </c>
      <c r="BM292" s="7"/>
      <c r="BN292" s="7"/>
      <c r="BO292" s="4"/>
      <c r="BP292" s="8"/>
      <c r="BQ292" s="4"/>
      <c r="BR292" s="8"/>
      <c r="BS292" s="7"/>
      <c r="BT292" s="7"/>
      <c r="BU292" s="2" t="s">
        <v>2197</v>
      </c>
      <c r="BV292" s="2" t="s">
        <v>227</v>
      </c>
      <c r="BW292" s="2" t="s">
        <v>227</v>
      </c>
      <c r="BX292" s="2" t="s">
        <v>2104</v>
      </c>
      <c r="BY292" s="2" t="s">
        <v>236</v>
      </c>
      <c r="BZ292" s="2" t="s">
        <v>224</v>
      </c>
      <c r="CA292" s="2" t="s">
        <v>2115</v>
      </c>
      <c r="CB292" s="2" t="s">
        <v>2194</v>
      </c>
      <c r="CC292" s="2" t="s">
        <v>239</v>
      </c>
      <c r="CD292" s="2" t="s">
        <v>227</v>
      </c>
      <c r="CE292" s="4">
        <v>71</v>
      </c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>
        <v>280</v>
      </c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>
        <v>107</v>
      </c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>
        <v>100</v>
      </c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/>
    </row>
    <row r="293">
      <c r="A293" s="2" t="s">
        <v>2198</v>
      </c>
      <c r="B293" s="2" t="s">
        <v>278</v>
      </c>
      <c r="C293" s="2" t="s">
        <v>698</v>
      </c>
      <c r="D293" s="2" t="s">
        <v>280</v>
      </c>
      <c r="E293" s="2" t="s">
        <v>281</v>
      </c>
      <c r="F293" s="2" t="s">
        <v>2097</v>
      </c>
      <c r="G293" s="2" t="s">
        <v>2097</v>
      </c>
      <c r="H293" s="2" t="s">
        <v>2097</v>
      </c>
      <c r="I293" s="2" t="s">
        <v>283</v>
      </c>
      <c r="J293" s="2" t="s">
        <v>252</v>
      </c>
      <c r="K293" s="2" t="s">
        <v>2190</v>
      </c>
      <c r="L293" s="3">
        <v>24.3</v>
      </c>
      <c r="M293" s="3">
        <v>25.52</v>
      </c>
      <c r="N293" s="3">
        <v>54.99</v>
      </c>
      <c r="O293" s="2" t="s">
        <v>224</v>
      </c>
      <c r="P293" s="2" t="s">
        <v>485</v>
      </c>
      <c r="Q293" s="2" t="s">
        <v>226</v>
      </c>
      <c r="R293" s="2" t="s">
        <v>227</v>
      </c>
      <c r="S293" s="2" t="s">
        <v>2199</v>
      </c>
      <c r="T293" s="2" t="s">
        <v>2100</v>
      </c>
      <c r="U293" s="2" t="s">
        <v>227</v>
      </c>
      <c r="V293" s="2" t="s">
        <v>2101</v>
      </c>
      <c r="W293" s="2" t="s">
        <v>705</v>
      </c>
      <c r="X293" s="2" t="s">
        <v>231</v>
      </c>
      <c r="Y293" s="2" t="s">
        <v>2112</v>
      </c>
      <c r="Z293" s="4">
        <v>23</v>
      </c>
      <c r="AA293" s="4">
        <f>=ROUNDDOWN(1.04545454545455,0)</f>
      </c>
      <c r="AB293" s="5">
        <v>22</v>
      </c>
      <c r="AC293" s="2" t="s">
        <v>583</v>
      </c>
      <c r="AD293" s="4">
        <v>370</v>
      </c>
      <c r="AE293" s="4">
        <v>873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227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227</v>
      </c>
      <c r="AW293" s="8" t="s">
        <v>227</v>
      </c>
      <c r="AX293" s="4" t="s">
        <v>227</v>
      </c>
      <c r="AY293" s="8" t="s">
        <v>227</v>
      </c>
      <c r="AZ293" s="7" t="s">
        <v>227</v>
      </c>
      <c r="BA293" s="7" t="s">
        <v>227</v>
      </c>
      <c r="BB293" s="7"/>
      <c r="BC293" s="4" t="s">
        <v>227</v>
      </c>
      <c r="BD293" s="8" t="s">
        <v>227</v>
      </c>
      <c r="BE293" s="4" t="s">
        <v>227</v>
      </c>
      <c r="BF293" s="8" t="s">
        <v>227</v>
      </c>
      <c r="BG293" s="7" t="s">
        <v>227</v>
      </c>
      <c r="BH293" s="7" t="s">
        <v>227</v>
      </c>
      <c r="BI293" s="7"/>
      <c r="BJ293" s="4">
        <v>65</v>
      </c>
      <c r="BK293" s="8">
        <v>1839.41</v>
      </c>
      <c r="BL293" s="2" t="s">
        <v>2200</v>
      </c>
      <c r="BM293" s="7"/>
      <c r="BN293" s="7"/>
      <c r="BO293" s="4"/>
      <c r="BP293" s="8"/>
      <c r="BQ293" s="4"/>
      <c r="BR293" s="8"/>
      <c r="BS293" s="7"/>
      <c r="BT293" s="7"/>
      <c r="BU293" s="2" t="s">
        <v>2201</v>
      </c>
      <c r="BV293" s="2" t="s">
        <v>227</v>
      </c>
      <c r="BW293" s="2" t="s">
        <v>227</v>
      </c>
      <c r="BX293" s="2" t="s">
        <v>2104</v>
      </c>
      <c r="BY293" s="2" t="s">
        <v>236</v>
      </c>
      <c r="BZ293" s="2" t="s">
        <v>224</v>
      </c>
      <c r="CA293" s="2" t="s">
        <v>2115</v>
      </c>
      <c r="CB293" s="2" t="s">
        <v>2202</v>
      </c>
      <c r="CC293" s="2" t="s">
        <v>239</v>
      </c>
      <c r="CD293" s="2" t="s">
        <v>227</v>
      </c>
      <c r="CE293" s="4">
        <v>23</v>
      </c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>
        <v>370</v>
      </c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>
        <v>203</v>
      </c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>
        <v>300</v>
      </c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</row>
    <row r="294">
      <c r="A294" s="2" t="s">
        <v>2203</v>
      </c>
      <c r="B294" s="2" t="s">
        <v>278</v>
      </c>
      <c r="C294" s="2" t="s">
        <v>698</v>
      </c>
      <c r="D294" s="2" t="s">
        <v>280</v>
      </c>
      <c r="E294" s="2" t="s">
        <v>281</v>
      </c>
      <c r="F294" s="2" t="s">
        <v>2097</v>
      </c>
      <c r="G294" s="2" t="s">
        <v>2097</v>
      </c>
      <c r="H294" s="2" t="s">
        <v>2097</v>
      </c>
      <c r="I294" s="2" t="s">
        <v>283</v>
      </c>
      <c r="J294" s="2" t="s">
        <v>257</v>
      </c>
      <c r="K294" s="2" t="s">
        <v>2190</v>
      </c>
      <c r="L294" s="3">
        <v>28.98</v>
      </c>
      <c r="M294" s="3">
        <v>30.43</v>
      </c>
      <c r="N294" s="3">
        <v>64.99</v>
      </c>
      <c r="O294" s="2" t="s">
        <v>224</v>
      </c>
      <c r="P294" s="2" t="s">
        <v>225</v>
      </c>
      <c r="Q294" s="2" t="s">
        <v>226</v>
      </c>
      <c r="R294" s="2" t="s">
        <v>227</v>
      </c>
      <c r="S294" s="2" t="s">
        <v>2199</v>
      </c>
      <c r="T294" s="2" t="s">
        <v>2100</v>
      </c>
      <c r="U294" s="2" t="s">
        <v>227</v>
      </c>
      <c r="V294" s="2" t="s">
        <v>2101</v>
      </c>
      <c r="W294" s="2" t="s">
        <v>705</v>
      </c>
      <c r="X294" s="2" t="s">
        <v>231</v>
      </c>
      <c r="Y294" s="2" t="s">
        <v>2112</v>
      </c>
      <c r="Z294" s="4">
        <v>67</v>
      </c>
      <c r="AA294" s="4">
        <f>=ROUNDDOWN(8.375,0)</f>
      </c>
      <c r="AB294" s="5">
        <v>8</v>
      </c>
      <c r="AC294" s="2" t="s">
        <v>583</v>
      </c>
      <c r="AD294" s="4">
        <v>165</v>
      </c>
      <c r="AE294" s="4">
        <v>328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227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227</v>
      </c>
      <c r="AW294" s="8" t="s">
        <v>227</v>
      </c>
      <c r="AX294" s="4" t="s">
        <v>227</v>
      </c>
      <c r="AY294" s="8" t="s">
        <v>227</v>
      </c>
      <c r="AZ294" s="7" t="s">
        <v>227</v>
      </c>
      <c r="BA294" s="7" t="s">
        <v>227</v>
      </c>
      <c r="BB294" s="7"/>
      <c r="BC294" s="4" t="s">
        <v>227</v>
      </c>
      <c r="BD294" s="8" t="s">
        <v>227</v>
      </c>
      <c r="BE294" s="4" t="s">
        <v>227</v>
      </c>
      <c r="BF294" s="8" t="s">
        <v>227</v>
      </c>
      <c r="BG294" s="7" t="s">
        <v>227</v>
      </c>
      <c r="BH294" s="7" t="s">
        <v>227</v>
      </c>
      <c r="BI294" s="7"/>
      <c r="BJ294" s="4">
        <v>16</v>
      </c>
      <c r="BK294" s="8">
        <v>540.03</v>
      </c>
      <c r="BL294" s="2" t="s">
        <v>1728</v>
      </c>
      <c r="BM294" s="7"/>
      <c r="BN294" s="7"/>
      <c r="BO294" s="4"/>
      <c r="BP294" s="8"/>
      <c r="BQ294" s="4"/>
      <c r="BR294" s="8"/>
      <c r="BS294" s="7"/>
      <c r="BT294" s="7"/>
      <c r="BU294" s="2" t="s">
        <v>2204</v>
      </c>
      <c r="BV294" s="2" t="s">
        <v>227</v>
      </c>
      <c r="BW294" s="2" t="s">
        <v>227</v>
      </c>
      <c r="BX294" s="2" t="s">
        <v>2104</v>
      </c>
      <c r="BY294" s="2" t="s">
        <v>236</v>
      </c>
      <c r="BZ294" s="2" t="s">
        <v>224</v>
      </c>
      <c r="CA294" s="2" t="s">
        <v>2115</v>
      </c>
      <c r="CB294" s="2" t="s">
        <v>2134</v>
      </c>
      <c r="CC294" s="2" t="s">
        <v>239</v>
      </c>
      <c r="CD294" s="2" t="s">
        <v>227</v>
      </c>
      <c r="CE294" s="4">
        <v>67</v>
      </c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>
        <v>165</v>
      </c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>
        <v>70</v>
      </c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>
        <v>93</v>
      </c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</row>
    <row r="295">
      <c r="A295" s="2" t="s">
        <v>2205</v>
      </c>
      <c r="B295" s="2" t="s">
        <v>278</v>
      </c>
      <c r="C295" s="2" t="s">
        <v>698</v>
      </c>
      <c r="D295" s="2" t="s">
        <v>280</v>
      </c>
      <c r="E295" s="2" t="s">
        <v>281</v>
      </c>
      <c r="F295" s="2" t="s">
        <v>2097</v>
      </c>
      <c r="G295" s="2" t="s">
        <v>2097</v>
      </c>
      <c r="H295" s="2" t="s">
        <v>2097</v>
      </c>
      <c r="I295" s="2" t="s">
        <v>283</v>
      </c>
      <c r="J295" s="2" t="s">
        <v>222</v>
      </c>
      <c r="K295" s="2" t="s">
        <v>2206</v>
      </c>
      <c r="L295" s="3">
        <v>19.8</v>
      </c>
      <c r="M295" s="3">
        <v>20.79</v>
      </c>
      <c r="N295" s="3">
        <v>44.99</v>
      </c>
      <c r="O295" s="2" t="s">
        <v>224</v>
      </c>
      <c r="P295" s="2" t="s">
        <v>225</v>
      </c>
      <c r="Q295" s="2" t="s">
        <v>226</v>
      </c>
      <c r="R295" s="2" t="s">
        <v>227</v>
      </c>
      <c r="S295" s="2" t="s">
        <v>2207</v>
      </c>
      <c r="T295" s="2" t="s">
        <v>2100</v>
      </c>
      <c r="U295" s="2" t="s">
        <v>227</v>
      </c>
      <c r="V295" s="2" t="s">
        <v>2101</v>
      </c>
      <c r="W295" s="2" t="s">
        <v>705</v>
      </c>
      <c r="X295" s="2" t="s">
        <v>231</v>
      </c>
      <c r="Y295" s="2" t="s">
        <v>2175</v>
      </c>
      <c r="Z295" s="4">
        <v>146</v>
      </c>
      <c r="AA295" s="4">
        <f>=ROUNDDOWN(24.3333333333333,0)</f>
      </c>
      <c r="AB295" s="5">
        <v>6</v>
      </c>
      <c r="AC295" s="2" t="s">
        <v>1596</v>
      </c>
      <c r="AD295" s="4">
        <v>59</v>
      </c>
      <c r="AE295" s="4">
        <v>139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227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227</v>
      </c>
      <c r="AW295" s="8" t="s">
        <v>227</v>
      </c>
      <c r="AX295" s="4" t="s">
        <v>227</v>
      </c>
      <c r="AY295" s="8" t="s">
        <v>227</v>
      </c>
      <c r="AZ295" s="7" t="s">
        <v>227</v>
      </c>
      <c r="BA295" s="7" t="s">
        <v>227</v>
      </c>
      <c r="BB295" s="7"/>
      <c r="BC295" s="4" t="s">
        <v>227</v>
      </c>
      <c r="BD295" s="8" t="s">
        <v>227</v>
      </c>
      <c r="BE295" s="4" t="s">
        <v>227</v>
      </c>
      <c r="BF295" s="8" t="s">
        <v>227</v>
      </c>
      <c r="BG295" s="7" t="s">
        <v>227</v>
      </c>
      <c r="BH295" s="7" t="s">
        <v>227</v>
      </c>
      <c r="BI295" s="7"/>
      <c r="BJ295" s="4">
        <v>26</v>
      </c>
      <c r="BK295" s="8">
        <v>620.91</v>
      </c>
      <c r="BL295" s="2" t="s">
        <v>2208</v>
      </c>
      <c r="BM295" s="7"/>
      <c r="BN295" s="7"/>
      <c r="BO295" s="4"/>
      <c r="BP295" s="8"/>
      <c r="BQ295" s="4"/>
      <c r="BR295" s="8"/>
      <c r="BS295" s="7"/>
      <c r="BT295" s="7"/>
      <c r="BU295" s="2" t="s">
        <v>2209</v>
      </c>
      <c r="BV295" s="2" t="s">
        <v>227</v>
      </c>
      <c r="BW295" s="2" t="s">
        <v>227</v>
      </c>
      <c r="BX295" s="2" t="s">
        <v>2104</v>
      </c>
      <c r="BY295" s="2" t="s">
        <v>236</v>
      </c>
      <c r="BZ295" s="2" t="s">
        <v>224</v>
      </c>
      <c r="CA295" s="2" t="s">
        <v>2115</v>
      </c>
      <c r="CB295" s="2" t="s">
        <v>2210</v>
      </c>
      <c r="CC295" s="2" t="s">
        <v>239</v>
      </c>
      <c r="CD295" s="2" t="s">
        <v>227</v>
      </c>
      <c r="CE295" s="4">
        <v>146</v>
      </c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>
        <v>59</v>
      </c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>
        <v>80</v>
      </c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  <c r="GW295" s="4"/>
      <c r="GX295" s="4"/>
    </row>
    <row r="296">
      <c r="A296" s="2" t="s">
        <v>2211</v>
      </c>
      <c r="B296" s="2" t="s">
        <v>278</v>
      </c>
      <c r="C296" s="2" t="s">
        <v>698</v>
      </c>
      <c r="D296" s="2" t="s">
        <v>280</v>
      </c>
      <c r="E296" s="2" t="s">
        <v>281</v>
      </c>
      <c r="F296" s="2" t="s">
        <v>2097</v>
      </c>
      <c r="G296" s="2" t="s">
        <v>2097</v>
      </c>
      <c r="H296" s="2" t="s">
        <v>2097</v>
      </c>
      <c r="I296" s="2" t="s">
        <v>283</v>
      </c>
      <c r="J296" s="2" t="s">
        <v>252</v>
      </c>
      <c r="K296" s="2" t="s">
        <v>2206</v>
      </c>
      <c r="L296" s="3">
        <v>24.3</v>
      </c>
      <c r="M296" s="3">
        <v>25.52</v>
      </c>
      <c r="N296" s="3">
        <v>54.99</v>
      </c>
      <c r="O296" s="2" t="s">
        <v>224</v>
      </c>
      <c r="P296" s="2" t="s">
        <v>225</v>
      </c>
      <c r="Q296" s="2" t="s">
        <v>226</v>
      </c>
      <c r="R296" s="2" t="s">
        <v>227</v>
      </c>
      <c r="S296" s="2" t="s">
        <v>2212</v>
      </c>
      <c r="T296" s="2" t="s">
        <v>2100</v>
      </c>
      <c r="U296" s="2" t="s">
        <v>227</v>
      </c>
      <c r="V296" s="2" t="s">
        <v>2101</v>
      </c>
      <c r="W296" s="2" t="s">
        <v>705</v>
      </c>
      <c r="X296" s="2" t="s">
        <v>231</v>
      </c>
      <c r="Y296" s="2" t="s">
        <v>2213</v>
      </c>
      <c r="Z296" s="4">
        <v>158</v>
      </c>
      <c r="AA296" s="4">
        <f>=ROUNDDOWN(14.3636363636364,0)</f>
      </c>
      <c r="AB296" s="5">
        <v>11</v>
      </c>
      <c r="AC296" s="2" t="s">
        <v>583</v>
      </c>
      <c r="AD296" s="4">
        <v>75</v>
      </c>
      <c r="AE296" s="4">
        <v>354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227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227</v>
      </c>
      <c r="AW296" s="8" t="s">
        <v>227</v>
      </c>
      <c r="AX296" s="4" t="s">
        <v>227</v>
      </c>
      <c r="AY296" s="8" t="s">
        <v>227</v>
      </c>
      <c r="AZ296" s="7" t="s">
        <v>227</v>
      </c>
      <c r="BA296" s="7" t="s">
        <v>227</v>
      </c>
      <c r="BB296" s="7"/>
      <c r="BC296" s="4" t="s">
        <v>227</v>
      </c>
      <c r="BD296" s="8" t="s">
        <v>227</v>
      </c>
      <c r="BE296" s="4" t="s">
        <v>227</v>
      </c>
      <c r="BF296" s="8" t="s">
        <v>227</v>
      </c>
      <c r="BG296" s="7" t="s">
        <v>227</v>
      </c>
      <c r="BH296" s="7" t="s">
        <v>227</v>
      </c>
      <c r="BI296" s="7"/>
      <c r="BJ296" s="4">
        <v>40</v>
      </c>
      <c r="BK296" s="8">
        <v>1171.24</v>
      </c>
      <c r="BL296" s="2" t="s">
        <v>2214</v>
      </c>
      <c r="BM296" s="7"/>
      <c r="BN296" s="7"/>
      <c r="BO296" s="4"/>
      <c r="BP296" s="8"/>
      <c r="BQ296" s="4"/>
      <c r="BR296" s="8"/>
      <c r="BS296" s="7"/>
      <c r="BT296" s="7"/>
      <c r="BU296" s="2" t="s">
        <v>2215</v>
      </c>
      <c r="BV296" s="2" t="s">
        <v>227</v>
      </c>
      <c r="BW296" s="2" t="s">
        <v>227</v>
      </c>
      <c r="BX296" s="2" t="s">
        <v>2104</v>
      </c>
      <c r="BY296" s="2" t="s">
        <v>236</v>
      </c>
      <c r="BZ296" s="2" t="s">
        <v>224</v>
      </c>
      <c r="CA296" s="2" t="s">
        <v>2115</v>
      </c>
      <c r="CB296" s="2" t="s">
        <v>2202</v>
      </c>
      <c r="CC296" s="2" t="s">
        <v>239</v>
      </c>
      <c r="CD296" s="2" t="s">
        <v>227</v>
      </c>
      <c r="CE296" s="4">
        <v>158</v>
      </c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>
        <v>75</v>
      </c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>
        <v>110</v>
      </c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>
        <v>169</v>
      </c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  <c r="GU296" s="4"/>
      <c r="GV296" s="4"/>
      <c r="GW296" s="4"/>
      <c r="GX296" s="4"/>
    </row>
    <row r="297">
      <c r="A297" s="2" t="s">
        <v>2216</v>
      </c>
      <c r="B297" s="2" t="s">
        <v>278</v>
      </c>
      <c r="C297" s="2" t="s">
        <v>698</v>
      </c>
      <c r="D297" s="2" t="s">
        <v>280</v>
      </c>
      <c r="E297" s="2" t="s">
        <v>281</v>
      </c>
      <c r="F297" s="2" t="s">
        <v>2097</v>
      </c>
      <c r="G297" s="2" t="s">
        <v>2097</v>
      </c>
      <c r="H297" s="2" t="s">
        <v>2097</v>
      </c>
      <c r="I297" s="2" t="s">
        <v>283</v>
      </c>
      <c r="J297" s="2" t="s">
        <v>384</v>
      </c>
      <c r="K297" s="2" t="s">
        <v>2206</v>
      </c>
      <c r="L297" s="3">
        <v>28.98</v>
      </c>
      <c r="M297" s="3">
        <v>30.43</v>
      </c>
      <c r="N297" s="3">
        <v>64.99</v>
      </c>
      <c r="O297" s="2" t="s">
        <v>224</v>
      </c>
      <c r="P297" s="2" t="s">
        <v>225</v>
      </c>
      <c r="Q297" s="2" t="s">
        <v>226</v>
      </c>
      <c r="R297" s="2" t="s">
        <v>227</v>
      </c>
      <c r="S297" s="2" t="s">
        <v>2212</v>
      </c>
      <c r="T297" s="2" t="s">
        <v>2100</v>
      </c>
      <c r="U297" s="2" t="s">
        <v>227</v>
      </c>
      <c r="V297" s="2" t="s">
        <v>2101</v>
      </c>
      <c r="W297" s="2" t="s">
        <v>705</v>
      </c>
      <c r="X297" s="2" t="s">
        <v>231</v>
      </c>
      <c r="Y297" s="2" t="s">
        <v>2213</v>
      </c>
      <c r="Z297" s="4">
        <v>493</v>
      </c>
      <c r="AA297" s="4">
        <f>=ROUNDDOWN(98.6,0)</f>
      </c>
      <c r="AB297" s="5">
        <v>5</v>
      </c>
      <c r="AC297" s="2" t="s">
        <v>227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227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227</v>
      </c>
      <c r="AW297" s="8" t="s">
        <v>227</v>
      </c>
      <c r="AX297" s="4" t="s">
        <v>227</v>
      </c>
      <c r="AY297" s="8" t="s">
        <v>227</v>
      </c>
      <c r="AZ297" s="7" t="s">
        <v>227</v>
      </c>
      <c r="BA297" s="7" t="s">
        <v>227</v>
      </c>
      <c r="BB297" s="7"/>
      <c r="BC297" s="4" t="s">
        <v>227</v>
      </c>
      <c r="BD297" s="8" t="s">
        <v>227</v>
      </c>
      <c r="BE297" s="4" t="s">
        <v>227</v>
      </c>
      <c r="BF297" s="8" t="s">
        <v>227</v>
      </c>
      <c r="BG297" s="7" t="s">
        <v>227</v>
      </c>
      <c r="BH297" s="7" t="s">
        <v>227</v>
      </c>
      <c r="BI297" s="7"/>
      <c r="BJ297" s="4">
        <v>11</v>
      </c>
      <c r="BK297" s="8">
        <v>380.4</v>
      </c>
      <c r="BL297" s="2" t="s">
        <v>2217</v>
      </c>
      <c r="BM297" s="7"/>
      <c r="BN297" s="7"/>
      <c r="BO297" s="4"/>
      <c r="BP297" s="8"/>
      <c r="BQ297" s="4"/>
      <c r="BR297" s="8"/>
      <c r="BS297" s="7"/>
      <c r="BT297" s="7"/>
      <c r="BU297" s="2" t="s">
        <v>2218</v>
      </c>
      <c r="BV297" s="2" t="s">
        <v>227</v>
      </c>
      <c r="BW297" s="2" t="s">
        <v>227</v>
      </c>
      <c r="BX297" s="2" t="s">
        <v>2104</v>
      </c>
      <c r="BY297" s="2" t="s">
        <v>236</v>
      </c>
      <c r="BZ297" s="2" t="s">
        <v>224</v>
      </c>
      <c r="CA297" s="2" t="s">
        <v>2115</v>
      </c>
      <c r="CB297" s="2" t="s">
        <v>2134</v>
      </c>
      <c r="CC297" s="2" t="s">
        <v>239</v>
      </c>
      <c r="CD297" s="2" t="s">
        <v>227</v>
      </c>
      <c r="CE297" s="4">
        <v>493</v>
      </c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  <c r="GU297" s="4"/>
      <c r="GV297" s="4"/>
      <c r="GW297" s="4"/>
      <c r="GX297" s="4"/>
    </row>
    <row r="298">
      <c r="A298" s="2" t="s">
        <v>2219</v>
      </c>
      <c r="B298" s="2" t="s">
        <v>1001</v>
      </c>
      <c r="C298" s="2" t="s">
        <v>1139</v>
      </c>
      <c r="D298" s="2" t="s">
        <v>1140</v>
      </c>
      <c r="E298" s="2" t="s">
        <v>1141</v>
      </c>
      <c r="F298" s="2" t="s">
        <v>2220</v>
      </c>
      <c r="G298" s="2" t="s">
        <v>2220</v>
      </c>
      <c r="H298" s="2" t="s">
        <v>2220</v>
      </c>
      <c r="I298" s="2" t="s">
        <v>2221</v>
      </c>
      <c r="J298" s="2" t="s">
        <v>548</v>
      </c>
      <c r="K298" s="2" t="s">
        <v>264</v>
      </c>
      <c r="L298" s="3">
        <v>62.74</v>
      </c>
      <c r="M298" s="3">
        <v>65.88</v>
      </c>
      <c r="N298" s="3">
        <v>134.99</v>
      </c>
      <c r="O298" s="2" t="s">
        <v>224</v>
      </c>
      <c r="P298" s="2" t="s">
        <v>225</v>
      </c>
      <c r="Q298" s="2" t="s">
        <v>226</v>
      </c>
      <c r="R298" s="2" t="s">
        <v>227</v>
      </c>
      <c r="S298" s="2" t="s">
        <v>227</v>
      </c>
      <c r="T298" s="2" t="s">
        <v>227</v>
      </c>
      <c r="U298" s="2" t="s">
        <v>1044</v>
      </c>
      <c r="V298" s="2" t="s">
        <v>566</v>
      </c>
      <c r="W298" s="2" t="s">
        <v>231</v>
      </c>
      <c r="X298" s="2" t="s">
        <v>227</v>
      </c>
      <c r="Y298" s="2" t="s">
        <v>2222</v>
      </c>
      <c r="Z298" s="4">
        <v>60</v>
      </c>
      <c r="AA298" s="4">
        <f>=ROUNDDOWN(30,0)</f>
      </c>
      <c r="AB298" s="5">
        <v>2</v>
      </c>
      <c r="AC298" s="2" t="s">
        <v>227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227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/>
      <c r="BD298" s="8"/>
      <c r="BE298" s="4"/>
      <c r="BF298" s="8"/>
      <c r="BG298" s="7"/>
      <c r="BH298" s="7"/>
      <c r="BI298" s="7"/>
      <c r="BJ298" s="4">
        <v>10</v>
      </c>
      <c r="BK298" s="8">
        <v>718.68</v>
      </c>
      <c r="BL298" s="2" t="s">
        <v>2223</v>
      </c>
      <c r="BM298" s="7"/>
      <c r="BN298" s="7"/>
      <c r="BO298" s="4"/>
      <c r="BP298" s="8"/>
      <c r="BQ298" s="4"/>
      <c r="BR298" s="8"/>
      <c r="BS298" s="7"/>
      <c r="BT298" s="7"/>
      <c r="BU298" s="2" t="s">
        <v>2224</v>
      </c>
      <c r="BV298" s="2" t="s">
        <v>227</v>
      </c>
      <c r="BW298" s="2" t="s">
        <v>227</v>
      </c>
      <c r="BX298" s="2" t="s">
        <v>235</v>
      </c>
      <c r="BY298" s="2" t="s">
        <v>236</v>
      </c>
      <c r="BZ298" s="2" t="s">
        <v>224</v>
      </c>
      <c r="CA298" s="2" t="s">
        <v>2225</v>
      </c>
      <c r="CB298" s="2" t="s">
        <v>2123</v>
      </c>
      <c r="CC298" s="2" t="s">
        <v>239</v>
      </c>
      <c r="CD298" s="2" t="s">
        <v>227</v>
      </c>
      <c r="CE298" s="4"/>
      <c r="CF298" s="4">
        <v>60</v>
      </c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  <c r="GR298" s="4"/>
      <c r="GS298" s="4"/>
      <c r="GT298" s="4"/>
      <c r="GU298" s="4"/>
      <c r="GV298" s="4"/>
      <c r="GW298" s="4"/>
      <c r="GX298" s="4"/>
    </row>
    <row r="299">
      <c r="A299" s="2" t="s">
        <v>2226</v>
      </c>
      <c r="B299" s="2" t="s">
        <v>278</v>
      </c>
      <c r="C299" s="2" t="s">
        <v>2227</v>
      </c>
      <c r="D299" s="2" t="s">
        <v>280</v>
      </c>
      <c r="E299" s="2" t="s">
        <v>281</v>
      </c>
      <c r="F299" s="2" t="s">
        <v>2228</v>
      </c>
      <c r="G299" s="2" t="s">
        <v>2228</v>
      </c>
      <c r="H299" s="2" t="s">
        <v>2228</v>
      </c>
      <c r="I299" s="2" t="s">
        <v>2229</v>
      </c>
      <c r="J299" s="2" t="s">
        <v>257</v>
      </c>
      <c r="K299" s="2" t="s">
        <v>2230</v>
      </c>
      <c r="L299" s="3">
        <v>27.39</v>
      </c>
      <c r="M299" s="3">
        <v>28.76</v>
      </c>
      <c r="N299" s="3">
        <v>62.99</v>
      </c>
      <c r="O299" s="2" t="s">
        <v>224</v>
      </c>
      <c r="P299" s="2" t="s">
        <v>225</v>
      </c>
      <c r="Q299" s="2" t="s">
        <v>226</v>
      </c>
      <c r="R299" s="2" t="s">
        <v>227</v>
      </c>
      <c r="S299" s="2" t="s">
        <v>2231</v>
      </c>
      <c r="T299" s="2" t="s">
        <v>2100</v>
      </c>
      <c r="U299" s="2" t="s">
        <v>287</v>
      </c>
      <c r="V299" s="2" t="s">
        <v>2232</v>
      </c>
      <c r="W299" s="2" t="s">
        <v>231</v>
      </c>
      <c r="X299" s="2" t="s">
        <v>705</v>
      </c>
      <c r="Y299" s="2" t="s">
        <v>2233</v>
      </c>
      <c r="Z299" s="4">
        <v>509</v>
      </c>
      <c r="AA299" s="4">
        <f>=ROUNDDOWN(22.1304347826087,0)</f>
      </c>
      <c r="AB299" s="5">
        <v>23</v>
      </c>
      <c r="AC299" s="2" t="s">
        <v>2234</v>
      </c>
      <c r="AD299" s="4">
        <v>49</v>
      </c>
      <c r="AE299" s="4">
        <v>536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227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 t="s">
        <v>227</v>
      </c>
      <c r="BD299" s="8" t="s">
        <v>227</v>
      </c>
      <c r="BE299" s="4" t="s">
        <v>227</v>
      </c>
      <c r="BF299" s="8" t="s">
        <v>227</v>
      </c>
      <c r="BG299" s="7" t="s">
        <v>227</v>
      </c>
      <c r="BH299" s="7" t="s">
        <v>227</v>
      </c>
      <c r="BI299" s="7"/>
      <c r="BJ299" s="4">
        <v>51</v>
      </c>
      <c r="BK299" s="8">
        <v>1497.25</v>
      </c>
      <c r="BL299" s="2" t="s">
        <v>1568</v>
      </c>
      <c r="BM299" s="7"/>
      <c r="BN299" s="7"/>
      <c r="BO299" s="4"/>
      <c r="BP299" s="8"/>
      <c r="BQ299" s="4"/>
      <c r="BR299" s="8"/>
      <c r="BS299" s="7"/>
      <c r="BT299" s="7"/>
      <c r="BU299" s="2" t="s">
        <v>2235</v>
      </c>
      <c r="BV299" s="2" t="s">
        <v>227</v>
      </c>
      <c r="BW299" s="2" t="s">
        <v>227</v>
      </c>
      <c r="BX299" s="2" t="s">
        <v>235</v>
      </c>
      <c r="BY299" s="2" t="s">
        <v>236</v>
      </c>
      <c r="BZ299" s="2" t="s">
        <v>224</v>
      </c>
      <c r="CA299" s="2" t="s">
        <v>2236</v>
      </c>
      <c r="CB299" s="2" t="s">
        <v>2237</v>
      </c>
      <c r="CC299" s="2" t="s">
        <v>239</v>
      </c>
      <c r="CD299" s="2" t="s">
        <v>227</v>
      </c>
      <c r="CE299" s="4">
        <v>509</v>
      </c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>
        <v>49</v>
      </c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>
        <v>198</v>
      </c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>
        <v>289</v>
      </c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  <c r="GU299" s="4"/>
      <c r="GV299" s="4"/>
      <c r="GW299" s="4"/>
      <c r="GX299" s="4"/>
    </row>
    <row r="300">
      <c r="A300" s="2" t="s">
        <v>2238</v>
      </c>
      <c r="B300" s="2" t="s">
        <v>278</v>
      </c>
      <c r="C300" s="2" t="s">
        <v>2227</v>
      </c>
      <c r="D300" s="2" t="s">
        <v>280</v>
      </c>
      <c r="E300" s="2" t="s">
        <v>281</v>
      </c>
      <c r="F300" s="2" t="s">
        <v>2228</v>
      </c>
      <c r="G300" s="2" t="s">
        <v>2228</v>
      </c>
      <c r="H300" s="2" t="s">
        <v>2228</v>
      </c>
      <c r="I300" s="2" t="s">
        <v>2229</v>
      </c>
      <c r="J300" s="2" t="s">
        <v>241</v>
      </c>
      <c r="K300" s="2" t="s">
        <v>2239</v>
      </c>
      <c r="L300" s="3">
        <v>16.16</v>
      </c>
      <c r="M300" s="3">
        <v>16.97</v>
      </c>
      <c r="N300" s="3">
        <v>34.99</v>
      </c>
      <c r="O300" s="2" t="s">
        <v>224</v>
      </c>
      <c r="P300" s="2" t="s">
        <v>225</v>
      </c>
      <c r="Q300" s="2" t="s">
        <v>226</v>
      </c>
      <c r="R300" s="2" t="s">
        <v>227</v>
      </c>
      <c r="S300" s="2" t="s">
        <v>2240</v>
      </c>
      <c r="T300" s="2" t="s">
        <v>2100</v>
      </c>
      <c r="U300" s="2" t="s">
        <v>227</v>
      </c>
      <c r="V300" s="2" t="s">
        <v>2101</v>
      </c>
      <c r="W300" s="2" t="s">
        <v>231</v>
      </c>
      <c r="X300" s="2" t="s">
        <v>227</v>
      </c>
      <c r="Y300" s="2" t="s">
        <v>2175</v>
      </c>
      <c r="Z300" s="4">
        <v>34</v>
      </c>
      <c r="AA300" s="4">
        <f>=ROUNDDOWN(2.26666666666667,0)</f>
      </c>
      <c r="AB300" s="5">
        <v>15</v>
      </c>
      <c r="AC300" s="2" t="s">
        <v>583</v>
      </c>
      <c r="AD300" s="4">
        <v>295</v>
      </c>
      <c r="AE300" s="4">
        <v>595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227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227</v>
      </c>
      <c r="AW300" s="8" t="s">
        <v>227</v>
      </c>
      <c r="AX300" s="4" t="s">
        <v>227</v>
      </c>
      <c r="AY300" s="8" t="s">
        <v>227</v>
      </c>
      <c r="AZ300" s="7" t="s">
        <v>227</v>
      </c>
      <c r="BA300" s="7" t="s">
        <v>227</v>
      </c>
      <c r="BB300" s="7"/>
      <c r="BC300" s="4" t="s">
        <v>227</v>
      </c>
      <c r="BD300" s="8" t="s">
        <v>227</v>
      </c>
      <c r="BE300" s="4" t="s">
        <v>227</v>
      </c>
      <c r="BF300" s="8" t="s">
        <v>227</v>
      </c>
      <c r="BG300" s="7" t="s">
        <v>227</v>
      </c>
      <c r="BH300" s="7" t="s">
        <v>227</v>
      </c>
      <c r="BI300" s="7"/>
      <c r="BJ300" s="4">
        <v>61</v>
      </c>
      <c r="BK300" s="8">
        <v>1122.18</v>
      </c>
      <c r="BL300" s="2" t="s">
        <v>2241</v>
      </c>
      <c r="BM300" s="7"/>
      <c r="BN300" s="7"/>
      <c r="BO300" s="4"/>
      <c r="BP300" s="8"/>
      <c r="BQ300" s="4"/>
      <c r="BR300" s="8"/>
      <c r="BS300" s="7"/>
      <c r="BT300" s="7"/>
      <c r="BU300" s="2" t="s">
        <v>2242</v>
      </c>
      <c r="BV300" s="2" t="s">
        <v>227</v>
      </c>
      <c r="BW300" s="2" t="s">
        <v>227</v>
      </c>
      <c r="BX300" s="2" t="s">
        <v>235</v>
      </c>
      <c r="BY300" s="2" t="s">
        <v>236</v>
      </c>
      <c r="BZ300" s="2" t="s">
        <v>224</v>
      </c>
      <c r="CA300" s="2" t="s">
        <v>2243</v>
      </c>
      <c r="CB300" s="2" t="s">
        <v>2210</v>
      </c>
      <c r="CC300" s="2" t="s">
        <v>239</v>
      </c>
      <c r="CD300" s="2" t="s">
        <v>227</v>
      </c>
      <c r="CE300" s="4">
        <v>34</v>
      </c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>
        <v>295</v>
      </c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>
        <v>121</v>
      </c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>
        <v>179</v>
      </c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  <c r="GR300" s="4"/>
      <c r="GS300" s="4"/>
      <c r="GT300" s="4"/>
      <c r="GU300" s="4"/>
      <c r="GV300" s="4"/>
      <c r="GW300" s="4"/>
      <c r="GX300" s="4"/>
    </row>
    <row r="301">
      <c r="A301" s="2" t="s">
        <v>2244</v>
      </c>
      <c r="B301" s="2" t="s">
        <v>278</v>
      </c>
      <c r="C301" s="2" t="s">
        <v>2227</v>
      </c>
      <c r="D301" s="2" t="s">
        <v>280</v>
      </c>
      <c r="E301" s="2" t="s">
        <v>281</v>
      </c>
      <c r="F301" s="2" t="s">
        <v>2228</v>
      </c>
      <c r="G301" s="2" t="s">
        <v>2228</v>
      </c>
      <c r="H301" s="2" t="s">
        <v>2228</v>
      </c>
      <c r="I301" s="2" t="s">
        <v>2229</v>
      </c>
      <c r="J301" s="2" t="s">
        <v>247</v>
      </c>
      <c r="K301" s="2" t="s">
        <v>2239</v>
      </c>
      <c r="L301" s="3">
        <v>19.57</v>
      </c>
      <c r="M301" s="3">
        <v>20.55</v>
      </c>
      <c r="N301" s="3">
        <v>42.99</v>
      </c>
      <c r="O301" s="2" t="s">
        <v>224</v>
      </c>
      <c r="P301" s="2" t="s">
        <v>225</v>
      </c>
      <c r="Q301" s="2" t="s">
        <v>226</v>
      </c>
      <c r="R301" s="2" t="s">
        <v>227</v>
      </c>
      <c r="S301" s="2" t="s">
        <v>2240</v>
      </c>
      <c r="T301" s="2" t="s">
        <v>2100</v>
      </c>
      <c r="U301" s="2" t="s">
        <v>287</v>
      </c>
      <c r="V301" s="2" t="s">
        <v>2101</v>
      </c>
      <c r="W301" s="2" t="s">
        <v>231</v>
      </c>
      <c r="X301" s="2" t="s">
        <v>227</v>
      </c>
      <c r="Y301" s="2" t="s">
        <v>2175</v>
      </c>
      <c r="Z301" s="4">
        <v>154</v>
      </c>
      <c r="AA301" s="4">
        <f>=ROUNDDOWN(6.16,0)</f>
      </c>
      <c r="AB301" s="5">
        <v>25</v>
      </c>
      <c r="AC301" s="2" t="s">
        <v>583</v>
      </c>
      <c r="AD301" s="4">
        <v>478</v>
      </c>
      <c r="AE301" s="4">
        <v>969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227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227</v>
      </c>
      <c r="AW301" s="8" t="s">
        <v>227</v>
      </c>
      <c r="AX301" s="4" t="s">
        <v>227</v>
      </c>
      <c r="AY301" s="8" t="s">
        <v>227</v>
      </c>
      <c r="AZ301" s="7" t="s">
        <v>227</v>
      </c>
      <c r="BA301" s="7" t="s">
        <v>227</v>
      </c>
      <c r="BB301" s="7"/>
      <c r="BC301" s="4" t="s">
        <v>227</v>
      </c>
      <c r="BD301" s="8" t="s">
        <v>227</v>
      </c>
      <c r="BE301" s="4" t="s">
        <v>227</v>
      </c>
      <c r="BF301" s="8" t="s">
        <v>227</v>
      </c>
      <c r="BG301" s="7" t="s">
        <v>227</v>
      </c>
      <c r="BH301" s="7" t="s">
        <v>227</v>
      </c>
      <c r="BI301" s="7"/>
      <c r="BJ301" s="4">
        <v>23</v>
      </c>
      <c r="BK301" s="8">
        <v>490.83</v>
      </c>
      <c r="BL301" s="2" t="s">
        <v>2245</v>
      </c>
      <c r="BM301" s="7"/>
      <c r="BN301" s="7"/>
      <c r="BO301" s="4"/>
      <c r="BP301" s="8"/>
      <c r="BQ301" s="4"/>
      <c r="BR301" s="8"/>
      <c r="BS301" s="7"/>
      <c r="BT301" s="7"/>
      <c r="BU301" s="2" t="s">
        <v>2246</v>
      </c>
      <c r="BV301" s="2" t="s">
        <v>227</v>
      </c>
      <c r="BW301" s="2" t="s">
        <v>227</v>
      </c>
      <c r="BX301" s="2" t="s">
        <v>235</v>
      </c>
      <c r="BY301" s="2" t="s">
        <v>236</v>
      </c>
      <c r="BZ301" s="2" t="s">
        <v>224</v>
      </c>
      <c r="CA301" s="2" t="s">
        <v>2243</v>
      </c>
      <c r="CB301" s="2" t="s">
        <v>2247</v>
      </c>
      <c r="CC301" s="2" t="s">
        <v>239</v>
      </c>
      <c r="CD301" s="2" t="s">
        <v>227</v>
      </c>
      <c r="CE301" s="4">
        <v>154</v>
      </c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>
        <v>478</v>
      </c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>
        <v>206</v>
      </c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>
        <v>285</v>
      </c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/>
      <c r="GQ301" s="4"/>
      <c r="GR301" s="4"/>
      <c r="GS301" s="4"/>
      <c r="GT301" s="4"/>
      <c r="GU301" s="4"/>
      <c r="GV301" s="4"/>
      <c r="GW301" s="4"/>
      <c r="GX301" s="4"/>
    </row>
    <row r="302">
      <c r="A302" s="2" t="s">
        <v>2248</v>
      </c>
      <c r="B302" s="2" t="s">
        <v>278</v>
      </c>
      <c r="C302" s="2" t="s">
        <v>2227</v>
      </c>
      <c r="D302" s="2" t="s">
        <v>280</v>
      </c>
      <c r="E302" s="2" t="s">
        <v>281</v>
      </c>
      <c r="F302" s="2" t="s">
        <v>2228</v>
      </c>
      <c r="G302" s="2" t="s">
        <v>2228</v>
      </c>
      <c r="H302" s="2" t="s">
        <v>2228</v>
      </c>
      <c r="I302" s="2" t="s">
        <v>2229</v>
      </c>
      <c r="J302" s="2" t="s">
        <v>257</v>
      </c>
      <c r="K302" s="2" t="s">
        <v>2239</v>
      </c>
      <c r="L302" s="3">
        <v>27.39</v>
      </c>
      <c r="M302" s="3">
        <v>28.76</v>
      </c>
      <c r="N302" s="3">
        <v>62.99</v>
      </c>
      <c r="O302" s="2" t="s">
        <v>224</v>
      </c>
      <c r="P302" s="2" t="s">
        <v>225</v>
      </c>
      <c r="Q302" s="2" t="s">
        <v>226</v>
      </c>
      <c r="R302" s="2" t="s">
        <v>227</v>
      </c>
      <c r="S302" s="2" t="s">
        <v>2240</v>
      </c>
      <c r="T302" s="2" t="s">
        <v>2100</v>
      </c>
      <c r="U302" s="2" t="s">
        <v>287</v>
      </c>
      <c r="V302" s="2" t="s">
        <v>2101</v>
      </c>
      <c r="W302" s="2" t="s">
        <v>231</v>
      </c>
      <c r="X302" s="2" t="s">
        <v>227</v>
      </c>
      <c r="Y302" s="2" t="s">
        <v>2175</v>
      </c>
      <c r="Z302" s="4">
        <v>309</v>
      </c>
      <c r="AA302" s="4">
        <f>=ROUNDDOWN(22.0714285714286,0)</f>
      </c>
      <c r="AB302" s="5">
        <v>14</v>
      </c>
      <c r="AC302" s="2" t="s">
        <v>583</v>
      </c>
      <c r="AD302" s="4">
        <v>118</v>
      </c>
      <c r="AE302" s="4">
        <v>351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227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227</v>
      </c>
      <c r="AW302" s="8" t="s">
        <v>227</v>
      </c>
      <c r="AX302" s="4" t="s">
        <v>227</v>
      </c>
      <c r="AY302" s="8" t="s">
        <v>227</v>
      </c>
      <c r="AZ302" s="7" t="s">
        <v>227</v>
      </c>
      <c r="BA302" s="7" t="s">
        <v>227</v>
      </c>
      <c r="BB302" s="7"/>
      <c r="BC302" s="4" t="s">
        <v>227</v>
      </c>
      <c r="BD302" s="8" t="s">
        <v>227</v>
      </c>
      <c r="BE302" s="4" t="s">
        <v>227</v>
      </c>
      <c r="BF302" s="8" t="s">
        <v>227</v>
      </c>
      <c r="BG302" s="7" t="s">
        <v>227</v>
      </c>
      <c r="BH302" s="7" t="s">
        <v>227</v>
      </c>
      <c r="BI302" s="7"/>
      <c r="BJ302" s="4">
        <v>32</v>
      </c>
      <c r="BK302" s="8">
        <v>1032.6</v>
      </c>
      <c r="BL302" s="2" t="s">
        <v>2249</v>
      </c>
      <c r="BM302" s="7"/>
      <c r="BN302" s="7"/>
      <c r="BO302" s="4"/>
      <c r="BP302" s="8"/>
      <c r="BQ302" s="4"/>
      <c r="BR302" s="8"/>
      <c r="BS302" s="7"/>
      <c r="BT302" s="7"/>
      <c r="BU302" s="2" t="s">
        <v>2250</v>
      </c>
      <c r="BV302" s="2" t="s">
        <v>227</v>
      </c>
      <c r="BW302" s="2" t="s">
        <v>227</v>
      </c>
      <c r="BX302" s="2" t="s">
        <v>235</v>
      </c>
      <c r="BY302" s="2" t="s">
        <v>236</v>
      </c>
      <c r="BZ302" s="2" t="s">
        <v>224</v>
      </c>
      <c r="CA302" s="2" t="s">
        <v>2243</v>
      </c>
      <c r="CB302" s="2" t="s">
        <v>2251</v>
      </c>
      <c r="CC302" s="2" t="s">
        <v>239</v>
      </c>
      <c r="CD302" s="2" t="s">
        <v>227</v>
      </c>
      <c r="CE302" s="4">
        <v>309</v>
      </c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>
        <v>118</v>
      </c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>
        <v>133</v>
      </c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>
        <v>100</v>
      </c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  <c r="GR302" s="4"/>
      <c r="GS302" s="4"/>
      <c r="GT302" s="4"/>
      <c r="GU302" s="4"/>
      <c r="GV302" s="4"/>
      <c r="GW302" s="4"/>
      <c r="GX302" s="4"/>
    </row>
    <row r="303">
      <c r="A303" s="2" t="s">
        <v>2252</v>
      </c>
      <c r="B303" s="2" t="s">
        <v>278</v>
      </c>
      <c r="C303" s="2" t="s">
        <v>2227</v>
      </c>
      <c r="D303" s="2" t="s">
        <v>280</v>
      </c>
      <c r="E303" s="2" t="s">
        <v>281</v>
      </c>
      <c r="F303" s="2" t="s">
        <v>2228</v>
      </c>
      <c r="G303" s="2" t="s">
        <v>2228</v>
      </c>
      <c r="H303" s="2" t="s">
        <v>2228</v>
      </c>
      <c r="I303" s="2" t="s">
        <v>2229</v>
      </c>
      <c r="J303" s="2" t="s">
        <v>384</v>
      </c>
      <c r="K303" s="2" t="s">
        <v>2239</v>
      </c>
      <c r="L303" s="3">
        <v>27.39</v>
      </c>
      <c r="M303" s="3">
        <v>28.76</v>
      </c>
      <c r="N303" s="3">
        <v>62.99</v>
      </c>
      <c r="O303" s="2" t="s">
        <v>224</v>
      </c>
      <c r="P303" s="2" t="s">
        <v>225</v>
      </c>
      <c r="Q303" s="2" t="s">
        <v>226</v>
      </c>
      <c r="R303" s="2" t="s">
        <v>227</v>
      </c>
      <c r="S303" s="2" t="s">
        <v>2240</v>
      </c>
      <c r="T303" s="2" t="s">
        <v>2100</v>
      </c>
      <c r="U303" s="2" t="s">
        <v>227</v>
      </c>
      <c r="V303" s="2" t="s">
        <v>2101</v>
      </c>
      <c r="W303" s="2" t="s">
        <v>231</v>
      </c>
      <c r="X303" s="2" t="s">
        <v>227</v>
      </c>
      <c r="Y303" s="2" t="s">
        <v>2175</v>
      </c>
      <c r="Z303" s="4">
        <v>84</v>
      </c>
      <c r="AA303" s="4">
        <f>=ROUNDDOWN(8.4,0)</f>
      </c>
      <c r="AB303" s="5">
        <v>10</v>
      </c>
      <c r="AC303" s="2" t="s">
        <v>583</v>
      </c>
      <c r="AD303" s="4">
        <v>221</v>
      </c>
      <c r="AE303" s="4">
        <v>374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227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227</v>
      </c>
      <c r="AW303" s="8" t="s">
        <v>227</v>
      </c>
      <c r="AX303" s="4" t="s">
        <v>227</v>
      </c>
      <c r="AY303" s="8" t="s">
        <v>227</v>
      </c>
      <c r="AZ303" s="7" t="s">
        <v>227</v>
      </c>
      <c r="BA303" s="7" t="s">
        <v>227</v>
      </c>
      <c r="BB303" s="7"/>
      <c r="BC303" s="4" t="s">
        <v>227</v>
      </c>
      <c r="BD303" s="8" t="s">
        <v>227</v>
      </c>
      <c r="BE303" s="4" t="s">
        <v>227</v>
      </c>
      <c r="BF303" s="8" t="s">
        <v>227</v>
      </c>
      <c r="BG303" s="7" t="s">
        <v>227</v>
      </c>
      <c r="BH303" s="7" t="s">
        <v>227</v>
      </c>
      <c r="BI303" s="7"/>
      <c r="BJ303" s="4">
        <v>10</v>
      </c>
      <c r="BK303" s="8">
        <v>298.36</v>
      </c>
      <c r="BL303" s="2" t="s">
        <v>1485</v>
      </c>
      <c r="BM303" s="7"/>
      <c r="BN303" s="7"/>
      <c r="BO303" s="4"/>
      <c r="BP303" s="8"/>
      <c r="BQ303" s="4"/>
      <c r="BR303" s="8"/>
      <c r="BS303" s="7"/>
      <c r="BT303" s="7"/>
      <c r="BU303" s="2" t="s">
        <v>2253</v>
      </c>
      <c r="BV303" s="2" t="s">
        <v>227</v>
      </c>
      <c r="BW303" s="2" t="s">
        <v>227</v>
      </c>
      <c r="BX303" s="2" t="s">
        <v>235</v>
      </c>
      <c r="BY303" s="2" t="s">
        <v>236</v>
      </c>
      <c r="BZ303" s="2" t="s">
        <v>224</v>
      </c>
      <c r="CA303" s="2" t="s">
        <v>2243</v>
      </c>
      <c r="CB303" s="2" t="s">
        <v>2254</v>
      </c>
      <c r="CC303" s="2" t="s">
        <v>239</v>
      </c>
      <c r="CD303" s="2" t="s">
        <v>227</v>
      </c>
      <c r="CE303" s="4">
        <v>84</v>
      </c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>
        <v>221</v>
      </c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>
        <v>83</v>
      </c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>
        <v>70</v>
      </c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  <c r="GU303" s="4"/>
      <c r="GV303" s="4"/>
      <c r="GW303" s="4"/>
      <c r="GX303" s="4"/>
    </row>
    <row r="304">
      <c r="A304" s="2" t="s">
        <v>2255</v>
      </c>
      <c r="B304" s="2" t="s">
        <v>278</v>
      </c>
      <c r="C304" s="2" t="s">
        <v>2227</v>
      </c>
      <c r="D304" s="2" t="s">
        <v>280</v>
      </c>
      <c r="E304" s="2" t="s">
        <v>281</v>
      </c>
      <c r="F304" s="2" t="s">
        <v>2228</v>
      </c>
      <c r="G304" s="2" t="s">
        <v>2228</v>
      </c>
      <c r="H304" s="2" t="s">
        <v>2228</v>
      </c>
      <c r="I304" s="2" t="s">
        <v>2229</v>
      </c>
      <c r="J304" s="2" t="s">
        <v>222</v>
      </c>
      <c r="K304" s="2" t="s">
        <v>2256</v>
      </c>
      <c r="L304" s="3">
        <v>14.89</v>
      </c>
      <c r="M304" s="3">
        <v>15.63</v>
      </c>
      <c r="N304" s="3">
        <v>31.99</v>
      </c>
      <c r="O304" s="2" t="s">
        <v>224</v>
      </c>
      <c r="P304" s="2" t="s">
        <v>225</v>
      </c>
      <c r="Q304" s="2" t="s">
        <v>226</v>
      </c>
      <c r="R304" s="2" t="s">
        <v>227</v>
      </c>
      <c r="S304" s="2" t="s">
        <v>2257</v>
      </c>
      <c r="T304" s="2" t="s">
        <v>2100</v>
      </c>
      <c r="U304" s="2" t="s">
        <v>674</v>
      </c>
      <c r="V304" s="2" t="s">
        <v>906</v>
      </c>
      <c r="W304" s="2" t="s">
        <v>231</v>
      </c>
      <c r="X304" s="2" t="s">
        <v>581</v>
      </c>
      <c r="Y304" s="2" t="s">
        <v>1575</v>
      </c>
      <c r="Z304" s="4">
        <v>121</v>
      </c>
      <c r="AA304" s="4">
        <f>=ROUNDDOWN(3.66666666666667,0)</f>
      </c>
      <c r="AB304" s="5">
        <v>33</v>
      </c>
      <c r="AC304" s="2" t="s">
        <v>583</v>
      </c>
      <c r="AD304" s="4">
        <v>532</v>
      </c>
      <c r="AE304" s="4">
        <v>1232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227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227</v>
      </c>
      <c r="AW304" s="8" t="s">
        <v>227</v>
      </c>
      <c r="AX304" s="4" t="s">
        <v>227</v>
      </c>
      <c r="AY304" s="8" t="s">
        <v>227</v>
      </c>
      <c r="AZ304" s="7" t="s">
        <v>227</v>
      </c>
      <c r="BA304" s="7" t="s">
        <v>227</v>
      </c>
      <c r="BB304" s="7"/>
      <c r="BC304" s="4" t="s">
        <v>227</v>
      </c>
      <c r="BD304" s="8" t="s">
        <v>227</v>
      </c>
      <c r="BE304" s="4" t="s">
        <v>227</v>
      </c>
      <c r="BF304" s="8" t="s">
        <v>227</v>
      </c>
      <c r="BG304" s="7" t="s">
        <v>227</v>
      </c>
      <c r="BH304" s="7" t="s">
        <v>227</v>
      </c>
      <c r="BI304" s="7"/>
      <c r="BJ304" s="4">
        <v>82</v>
      </c>
      <c r="BK304" s="8">
        <v>1377.38</v>
      </c>
      <c r="BL304" s="2" t="s">
        <v>1485</v>
      </c>
      <c r="BM304" s="7"/>
      <c r="BN304" s="7"/>
      <c r="BO304" s="4"/>
      <c r="BP304" s="8"/>
      <c r="BQ304" s="4"/>
      <c r="BR304" s="8"/>
      <c r="BS304" s="7"/>
      <c r="BT304" s="7"/>
      <c r="BU304" s="2" t="s">
        <v>2258</v>
      </c>
      <c r="BV304" s="2" t="s">
        <v>227</v>
      </c>
      <c r="BW304" s="2" t="s">
        <v>227</v>
      </c>
      <c r="BX304" s="2" t="s">
        <v>235</v>
      </c>
      <c r="BY304" s="2" t="s">
        <v>236</v>
      </c>
      <c r="BZ304" s="2" t="s">
        <v>224</v>
      </c>
      <c r="CA304" s="2" t="s">
        <v>2259</v>
      </c>
      <c r="CB304" s="2" t="s">
        <v>2260</v>
      </c>
      <c r="CC304" s="2" t="s">
        <v>239</v>
      </c>
      <c r="CD304" s="2" t="s">
        <v>227</v>
      </c>
      <c r="CE304" s="4">
        <v>121</v>
      </c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>
        <v>532</v>
      </c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>
        <v>282</v>
      </c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>
        <v>418</v>
      </c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  <c r="GR304" s="4"/>
      <c r="GS304" s="4"/>
      <c r="GT304" s="4"/>
      <c r="GU304" s="4"/>
      <c r="GV304" s="4"/>
      <c r="GW304" s="4"/>
      <c r="GX304" s="4"/>
    </row>
    <row r="305">
      <c r="A305" s="2" t="s">
        <v>2261</v>
      </c>
      <c r="B305" s="2" t="s">
        <v>278</v>
      </c>
      <c r="C305" s="2" t="s">
        <v>2227</v>
      </c>
      <c r="D305" s="2" t="s">
        <v>280</v>
      </c>
      <c r="E305" s="2" t="s">
        <v>281</v>
      </c>
      <c r="F305" s="2" t="s">
        <v>2228</v>
      </c>
      <c r="G305" s="2" t="s">
        <v>2228</v>
      </c>
      <c r="H305" s="2" t="s">
        <v>2228</v>
      </c>
      <c r="I305" s="2" t="s">
        <v>2229</v>
      </c>
      <c r="J305" s="2" t="s">
        <v>241</v>
      </c>
      <c r="K305" s="2" t="s">
        <v>2256</v>
      </c>
      <c r="L305" s="3">
        <v>16.16</v>
      </c>
      <c r="M305" s="3">
        <v>16.97</v>
      </c>
      <c r="N305" s="3">
        <v>34.99</v>
      </c>
      <c r="O305" s="2" t="s">
        <v>224</v>
      </c>
      <c r="P305" s="2" t="s">
        <v>225</v>
      </c>
      <c r="Q305" s="2" t="s">
        <v>226</v>
      </c>
      <c r="R305" s="2" t="s">
        <v>227</v>
      </c>
      <c r="S305" s="2" t="s">
        <v>2257</v>
      </c>
      <c r="T305" s="2" t="s">
        <v>2100</v>
      </c>
      <c r="U305" s="2" t="s">
        <v>674</v>
      </c>
      <c r="V305" s="2" t="s">
        <v>906</v>
      </c>
      <c r="W305" s="2" t="s">
        <v>231</v>
      </c>
      <c r="X305" s="2" t="s">
        <v>581</v>
      </c>
      <c r="Y305" s="2" t="s">
        <v>1575</v>
      </c>
      <c r="Z305" s="4"/>
      <c r="AA305" s="4">
        <f>=ROUNDDOWN({0},0)</f>
      </c>
      <c r="AB305" s="5">
        <v>26</v>
      </c>
      <c r="AC305" s="2" t="s">
        <v>583</v>
      </c>
      <c r="AD305" s="4">
        <v>376</v>
      </c>
      <c r="AE305" s="4">
        <v>956</v>
      </c>
      <c r="AF305" s="6">
        <v>65</v>
      </c>
      <c r="AG305" s="6"/>
      <c r="AH305" s="7">
        <v>0.7419</v>
      </c>
      <c r="AI305" s="4"/>
      <c r="AJ305" s="4">
        <f>=ROUNDDOWN({0},0)</f>
      </c>
      <c r="AK305" s="5"/>
      <c r="AL305" s="2" t="s">
        <v>227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227</v>
      </c>
      <c r="AW305" s="8" t="s">
        <v>227</v>
      </c>
      <c r="AX305" s="4" t="s">
        <v>227</v>
      </c>
      <c r="AY305" s="8" t="s">
        <v>227</v>
      </c>
      <c r="AZ305" s="7" t="s">
        <v>227</v>
      </c>
      <c r="BA305" s="7" t="s">
        <v>227</v>
      </c>
      <c r="BB305" s="7"/>
      <c r="BC305" s="4" t="s">
        <v>227</v>
      </c>
      <c r="BD305" s="8" t="s">
        <v>227</v>
      </c>
      <c r="BE305" s="4" t="s">
        <v>227</v>
      </c>
      <c r="BF305" s="8" t="s">
        <v>227</v>
      </c>
      <c r="BG305" s="7" t="s">
        <v>227</v>
      </c>
      <c r="BH305" s="7" t="s">
        <v>227</v>
      </c>
      <c r="BI305" s="7"/>
      <c r="BJ305" s="4">
        <v>113</v>
      </c>
      <c r="BK305" s="8">
        <v>2056.56</v>
      </c>
      <c r="BL305" s="2" t="s">
        <v>772</v>
      </c>
      <c r="BM305" s="7"/>
      <c r="BN305" s="7"/>
      <c r="BO305" s="4"/>
      <c r="BP305" s="8"/>
      <c r="BQ305" s="4"/>
      <c r="BR305" s="8"/>
      <c r="BS305" s="7"/>
      <c r="BT305" s="7"/>
      <c r="BU305" s="2" t="s">
        <v>2262</v>
      </c>
      <c r="BV305" s="2" t="s">
        <v>227</v>
      </c>
      <c r="BW305" s="2" t="s">
        <v>227</v>
      </c>
      <c r="BX305" s="2" t="s">
        <v>235</v>
      </c>
      <c r="BY305" s="2" t="s">
        <v>236</v>
      </c>
      <c r="BZ305" s="2" t="s">
        <v>224</v>
      </c>
      <c r="CA305" s="2" t="s">
        <v>2259</v>
      </c>
      <c r="CB305" s="2" t="s">
        <v>2263</v>
      </c>
      <c r="CC305" s="2" t="s">
        <v>239</v>
      </c>
      <c r="CD305" s="2" t="s">
        <v>227</v>
      </c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>
        <v>376</v>
      </c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>
        <v>144</v>
      </c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>
        <v>345</v>
      </c>
      <c r="FF305" s="4"/>
      <c r="FG305" s="4"/>
      <c r="FH305" s="4"/>
      <c r="FI305" s="4"/>
      <c r="FJ305" s="4"/>
      <c r="FK305" s="4"/>
      <c r="FL305" s="4"/>
      <c r="FM305" s="4"/>
      <c r="FN305" s="4"/>
      <c r="FO305" s="4">
        <v>91</v>
      </c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  <c r="GW305" s="4"/>
      <c r="GX305" s="4"/>
    </row>
    <row r="306">
      <c r="A306" s="2" t="s">
        <v>2264</v>
      </c>
      <c r="B306" s="2" t="s">
        <v>278</v>
      </c>
      <c r="C306" s="2" t="s">
        <v>2227</v>
      </c>
      <c r="D306" s="2" t="s">
        <v>280</v>
      </c>
      <c r="E306" s="2" t="s">
        <v>281</v>
      </c>
      <c r="F306" s="2" t="s">
        <v>2228</v>
      </c>
      <c r="G306" s="2" t="s">
        <v>2228</v>
      </c>
      <c r="H306" s="2" t="s">
        <v>2228</v>
      </c>
      <c r="I306" s="2" t="s">
        <v>2229</v>
      </c>
      <c r="J306" s="2" t="s">
        <v>247</v>
      </c>
      <c r="K306" s="2" t="s">
        <v>2256</v>
      </c>
      <c r="L306" s="3">
        <v>19.57</v>
      </c>
      <c r="M306" s="3">
        <v>20.55</v>
      </c>
      <c r="N306" s="3">
        <v>42.99</v>
      </c>
      <c r="O306" s="2" t="s">
        <v>224</v>
      </c>
      <c r="P306" s="2" t="s">
        <v>485</v>
      </c>
      <c r="Q306" s="2" t="s">
        <v>226</v>
      </c>
      <c r="R306" s="2" t="s">
        <v>227</v>
      </c>
      <c r="S306" s="2" t="s">
        <v>2257</v>
      </c>
      <c r="T306" s="2" t="s">
        <v>2100</v>
      </c>
      <c r="U306" s="2" t="s">
        <v>287</v>
      </c>
      <c r="V306" s="2" t="s">
        <v>906</v>
      </c>
      <c r="W306" s="2" t="s">
        <v>231</v>
      </c>
      <c r="X306" s="2" t="s">
        <v>581</v>
      </c>
      <c r="Y306" s="2" t="s">
        <v>1575</v>
      </c>
      <c r="Z306" s="4">
        <v>229</v>
      </c>
      <c r="AA306" s="4">
        <f>=ROUNDDOWN(5.58536585365854,0)</f>
      </c>
      <c r="AB306" s="5">
        <v>41</v>
      </c>
      <c r="AC306" s="2" t="s">
        <v>583</v>
      </c>
      <c r="AD306" s="4">
        <v>785</v>
      </c>
      <c r="AE306" s="4">
        <v>1548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227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227</v>
      </c>
      <c r="AW306" s="8" t="s">
        <v>227</v>
      </c>
      <c r="AX306" s="4" t="s">
        <v>227</v>
      </c>
      <c r="AY306" s="8" t="s">
        <v>227</v>
      </c>
      <c r="AZ306" s="7" t="s">
        <v>227</v>
      </c>
      <c r="BA306" s="7" t="s">
        <v>227</v>
      </c>
      <c r="BB306" s="7"/>
      <c r="BC306" s="4" t="s">
        <v>227</v>
      </c>
      <c r="BD306" s="8" t="s">
        <v>227</v>
      </c>
      <c r="BE306" s="4" t="s">
        <v>227</v>
      </c>
      <c r="BF306" s="8" t="s">
        <v>227</v>
      </c>
      <c r="BG306" s="7" t="s">
        <v>227</v>
      </c>
      <c r="BH306" s="7" t="s">
        <v>227</v>
      </c>
      <c r="BI306" s="7"/>
      <c r="BJ306" s="4">
        <v>69</v>
      </c>
      <c r="BK306" s="8">
        <v>1455.59</v>
      </c>
      <c r="BL306" s="2" t="s">
        <v>2265</v>
      </c>
      <c r="BM306" s="7"/>
      <c r="BN306" s="7"/>
      <c r="BO306" s="4"/>
      <c r="BP306" s="8"/>
      <c r="BQ306" s="4"/>
      <c r="BR306" s="8"/>
      <c r="BS306" s="7"/>
      <c r="BT306" s="7"/>
      <c r="BU306" s="2" t="s">
        <v>2266</v>
      </c>
      <c r="BV306" s="2" t="s">
        <v>227</v>
      </c>
      <c r="BW306" s="2" t="s">
        <v>227</v>
      </c>
      <c r="BX306" s="2" t="s">
        <v>235</v>
      </c>
      <c r="BY306" s="2" t="s">
        <v>236</v>
      </c>
      <c r="BZ306" s="2" t="s">
        <v>224</v>
      </c>
      <c r="CA306" s="2" t="s">
        <v>2259</v>
      </c>
      <c r="CB306" s="2" t="s">
        <v>1228</v>
      </c>
      <c r="CC306" s="2" t="s">
        <v>239</v>
      </c>
      <c r="CD306" s="2" t="s">
        <v>227</v>
      </c>
      <c r="CE306" s="4">
        <v>229</v>
      </c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>
        <v>785</v>
      </c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>
        <v>323</v>
      </c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>
        <v>440</v>
      </c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  <c r="GU306" s="4"/>
      <c r="GV306" s="4"/>
      <c r="GW306" s="4"/>
      <c r="GX306" s="4"/>
    </row>
    <row r="307">
      <c r="A307" s="2" t="s">
        <v>2267</v>
      </c>
      <c r="B307" s="2" t="s">
        <v>278</v>
      </c>
      <c r="C307" s="2" t="s">
        <v>2227</v>
      </c>
      <c r="D307" s="2" t="s">
        <v>280</v>
      </c>
      <c r="E307" s="2" t="s">
        <v>281</v>
      </c>
      <c r="F307" s="2" t="s">
        <v>2228</v>
      </c>
      <c r="G307" s="2" t="s">
        <v>2228</v>
      </c>
      <c r="H307" s="2" t="s">
        <v>2228</v>
      </c>
      <c r="I307" s="2" t="s">
        <v>2229</v>
      </c>
      <c r="J307" s="2" t="s">
        <v>222</v>
      </c>
      <c r="K307" s="2" t="s">
        <v>2268</v>
      </c>
      <c r="L307" s="3">
        <v>14.89</v>
      </c>
      <c r="M307" s="3">
        <v>15.63</v>
      </c>
      <c r="N307" s="3">
        <v>31.99</v>
      </c>
      <c r="O307" s="2" t="s">
        <v>224</v>
      </c>
      <c r="P307" s="2" t="s">
        <v>225</v>
      </c>
      <c r="Q307" s="2" t="s">
        <v>226</v>
      </c>
      <c r="R307" s="2" t="s">
        <v>227</v>
      </c>
      <c r="S307" s="2" t="s">
        <v>2269</v>
      </c>
      <c r="T307" s="2" t="s">
        <v>2100</v>
      </c>
      <c r="U307" s="2" t="s">
        <v>227</v>
      </c>
      <c r="V307" s="2" t="s">
        <v>877</v>
      </c>
      <c r="W307" s="2" t="s">
        <v>231</v>
      </c>
      <c r="X307" s="2" t="s">
        <v>227</v>
      </c>
      <c r="Y307" s="2" t="s">
        <v>2112</v>
      </c>
      <c r="Z307" s="4">
        <v>169</v>
      </c>
      <c r="AA307" s="4">
        <f>=ROUNDDOWN(4.97058823529412,0)</f>
      </c>
      <c r="AB307" s="5">
        <v>34</v>
      </c>
      <c r="AC307" s="2" t="s">
        <v>583</v>
      </c>
      <c r="AD307" s="4">
        <v>540</v>
      </c>
      <c r="AE307" s="4">
        <v>1277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227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227</v>
      </c>
      <c r="AW307" s="8" t="s">
        <v>227</v>
      </c>
      <c r="AX307" s="4" t="s">
        <v>227</v>
      </c>
      <c r="AY307" s="8" t="s">
        <v>227</v>
      </c>
      <c r="AZ307" s="7" t="s">
        <v>227</v>
      </c>
      <c r="BA307" s="7" t="s">
        <v>227</v>
      </c>
      <c r="BB307" s="7"/>
      <c r="BC307" s="4" t="s">
        <v>227</v>
      </c>
      <c r="BD307" s="8" t="s">
        <v>227</v>
      </c>
      <c r="BE307" s="4" t="s">
        <v>227</v>
      </c>
      <c r="BF307" s="8" t="s">
        <v>227</v>
      </c>
      <c r="BG307" s="7" t="s">
        <v>227</v>
      </c>
      <c r="BH307" s="7" t="s">
        <v>227</v>
      </c>
      <c r="BI307" s="7"/>
      <c r="BJ307" s="4">
        <v>61</v>
      </c>
      <c r="BK307" s="8">
        <v>1013.83</v>
      </c>
      <c r="BL307" s="2" t="s">
        <v>2217</v>
      </c>
      <c r="BM307" s="7"/>
      <c r="BN307" s="7"/>
      <c r="BO307" s="4"/>
      <c r="BP307" s="8"/>
      <c r="BQ307" s="4"/>
      <c r="BR307" s="8"/>
      <c r="BS307" s="7"/>
      <c r="BT307" s="7"/>
      <c r="BU307" s="2" t="s">
        <v>2270</v>
      </c>
      <c r="BV307" s="2" t="s">
        <v>227</v>
      </c>
      <c r="BW307" s="2" t="s">
        <v>227</v>
      </c>
      <c r="BX307" s="2" t="s">
        <v>235</v>
      </c>
      <c r="BY307" s="2" t="s">
        <v>236</v>
      </c>
      <c r="BZ307" s="2" t="s">
        <v>224</v>
      </c>
      <c r="CA307" s="2" t="s">
        <v>2243</v>
      </c>
      <c r="CB307" s="2" t="s">
        <v>2210</v>
      </c>
      <c r="CC307" s="2" t="s">
        <v>239</v>
      </c>
      <c r="CD307" s="2" t="s">
        <v>227</v>
      </c>
      <c r="CE307" s="4">
        <v>169</v>
      </c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>
        <v>540</v>
      </c>
      <c r="DP307" s="4"/>
      <c r="DQ307" s="4"/>
      <c r="DR307" s="4">
        <v>303</v>
      </c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>
        <v>434</v>
      </c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  <c r="GT307" s="4"/>
      <c r="GU307" s="4"/>
      <c r="GV307" s="4"/>
      <c r="GW307" s="4"/>
      <c r="GX307" s="4"/>
    </row>
    <row r="308">
      <c r="A308" s="2" t="s">
        <v>2271</v>
      </c>
      <c r="B308" s="2" t="s">
        <v>278</v>
      </c>
      <c r="C308" s="2" t="s">
        <v>2227</v>
      </c>
      <c r="D308" s="2" t="s">
        <v>280</v>
      </c>
      <c r="E308" s="2" t="s">
        <v>281</v>
      </c>
      <c r="F308" s="2" t="s">
        <v>2228</v>
      </c>
      <c r="G308" s="2" t="s">
        <v>2228</v>
      </c>
      <c r="H308" s="2" t="s">
        <v>2228</v>
      </c>
      <c r="I308" s="2" t="s">
        <v>2229</v>
      </c>
      <c r="J308" s="2" t="s">
        <v>241</v>
      </c>
      <c r="K308" s="2" t="s">
        <v>2268</v>
      </c>
      <c r="L308" s="3">
        <v>16.16</v>
      </c>
      <c r="M308" s="3">
        <v>16.97</v>
      </c>
      <c r="N308" s="3">
        <v>34.99</v>
      </c>
      <c r="O308" s="2" t="s">
        <v>224</v>
      </c>
      <c r="P308" s="2" t="s">
        <v>225</v>
      </c>
      <c r="Q308" s="2" t="s">
        <v>226</v>
      </c>
      <c r="R308" s="2" t="s">
        <v>227</v>
      </c>
      <c r="S308" s="2" t="s">
        <v>2269</v>
      </c>
      <c r="T308" s="2" t="s">
        <v>2100</v>
      </c>
      <c r="U308" s="2" t="s">
        <v>227</v>
      </c>
      <c r="V308" s="2" t="s">
        <v>877</v>
      </c>
      <c r="W308" s="2" t="s">
        <v>231</v>
      </c>
      <c r="X308" s="2" t="s">
        <v>227</v>
      </c>
      <c r="Y308" s="2" t="s">
        <v>2112</v>
      </c>
      <c r="Z308" s="4"/>
      <c r="AA308" s="4">
        <f>=ROUNDDOWN({0},0)</f>
      </c>
      <c r="AB308" s="5">
        <v>32</v>
      </c>
      <c r="AC308" s="2" t="s">
        <v>583</v>
      </c>
      <c r="AD308" s="4">
        <v>518</v>
      </c>
      <c r="AE308" s="4">
        <v>1233</v>
      </c>
      <c r="AF308" s="6">
        <v>65</v>
      </c>
      <c r="AG308" s="6"/>
      <c r="AH308" s="7">
        <v>0.5806</v>
      </c>
      <c r="AI308" s="4"/>
      <c r="AJ308" s="4">
        <f>=ROUNDDOWN({0},0)</f>
      </c>
      <c r="AK308" s="5"/>
      <c r="AL308" s="2" t="s">
        <v>227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227</v>
      </c>
      <c r="AW308" s="8" t="s">
        <v>227</v>
      </c>
      <c r="AX308" s="4" t="s">
        <v>227</v>
      </c>
      <c r="AY308" s="8" t="s">
        <v>227</v>
      </c>
      <c r="AZ308" s="7" t="s">
        <v>227</v>
      </c>
      <c r="BA308" s="7" t="s">
        <v>227</v>
      </c>
      <c r="BB308" s="7"/>
      <c r="BC308" s="4" t="s">
        <v>227</v>
      </c>
      <c r="BD308" s="8" t="s">
        <v>227</v>
      </c>
      <c r="BE308" s="4" t="s">
        <v>227</v>
      </c>
      <c r="BF308" s="8" t="s">
        <v>227</v>
      </c>
      <c r="BG308" s="7" t="s">
        <v>227</v>
      </c>
      <c r="BH308" s="7" t="s">
        <v>227</v>
      </c>
      <c r="BI308" s="7"/>
      <c r="BJ308" s="4">
        <v>152</v>
      </c>
      <c r="BK308" s="8">
        <v>2928.06</v>
      </c>
      <c r="BL308" s="2" t="s">
        <v>2272</v>
      </c>
      <c r="BM308" s="7"/>
      <c r="BN308" s="7"/>
      <c r="BO308" s="4"/>
      <c r="BP308" s="8"/>
      <c r="BQ308" s="4"/>
      <c r="BR308" s="8"/>
      <c r="BS308" s="7"/>
      <c r="BT308" s="7"/>
      <c r="BU308" s="2" t="s">
        <v>2273</v>
      </c>
      <c r="BV308" s="2" t="s">
        <v>227</v>
      </c>
      <c r="BW308" s="2" t="s">
        <v>227</v>
      </c>
      <c r="BX308" s="2" t="s">
        <v>235</v>
      </c>
      <c r="BY308" s="2" t="s">
        <v>236</v>
      </c>
      <c r="BZ308" s="2" t="s">
        <v>224</v>
      </c>
      <c r="CA308" s="2" t="s">
        <v>2243</v>
      </c>
      <c r="CB308" s="2" t="s">
        <v>2274</v>
      </c>
      <c r="CC308" s="2" t="s">
        <v>239</v>
      </c>
      <c r="CD308" s="2" t="s">
        <v>227</v>
      </c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>
        <v>518</v>
      </c>
      <c r="DP308" s="4"/>
      <c r="DQ308" s="4"/>
      <c r="DR308" s="4">
        <v>283</v>
      </c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>
        <v>432</v>
      </c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  <c r="GT308" s="4"/>
      <c r="GU308" s="4"/>
      <c r="GV308" s="4"/>
      <c r="GW308" s="4"/>
      <c r="GX308" s="4"/>
    </row>
    <row r="309">
      <c r="A309" s="2" t="s">
        <v>2275</v>
      </c>
      <c r="B309" s="2" t="s">
        <v>278</v>
      </c>
      <c r="C309" s="2" t="s">
        <v>2227</v>
      </c>
      <c r="D309" s="2" t="s">
        <v>280</v>
      </c>
      <c r="E309" s="2" t="s">
        <v>281</v>
      </c>
      <c r="F309" s="2" t="s">
        <v>2228</v>
      </c>
      <c r="G309" s="2" t="s">
        <v>2228</v>
      </c>
      <c r="H309" s="2" t="s">
        <v>2228</v>
      </c>
      <c r="I309" s="2" t="s">
        <v>2229</v>
      </c>
      <c r="J309" s="2" t="s">
        <v>247</v>
      </c>
      <c r="K309" s="2" t="s">
        <v>2268</v>
      </c>
      <c r="L309" s="3">
        <v>19.57</v>
      </c>
      <c r="M309" s="3">
        <v>20.55</v>
      </c>
      <c r="N309" s="3">
        <v>42.99</v>
      </c>
      <c r="O309" s="2" t="s">
        <v>224</v>
      </c>
      <c r="P309" s="2" t="s">
        <v>225</v>
      </c>
      <c r="Q309" s="2" t="s">
        <v>226</v>
      </c>
      <c r="R309" s="2" t="s">
        <v>227</v>
      </c>
      <c r="S309" s="2" t="s">
        <v>2269</v>
      </c>
      <c r="T309" s="2" t="s">
        <v>2100</v>
      </c>
      <c r="U309" s="2" t="s">
        <v>227</v>
      </c>
      <c r="V309" s="2" t="s">
        <v>877</v>
      </c>
      <c r="W309" s="2" t="s">
        <v>231</v>
      </c>
      <c r="X309" s="2" t="s">
        <v>227</v>
      </c>
      <c r="Y309" s="2" t="s">
        <v>2112</v>
      </c>
      <c r="Z309" s="4">
        <v>29</v>
      </c>
      <c r="AA309" s="4">
        <f>=ROUNDDOWN(1.45,0)</f>
      </c>
      <c r="AB309" s="5">
        <v>20</v>
      </c>
      <c r="AC309" s="2" t="s">
        <v>583</v>
      </c>
      <c r="AD309" s="4">
        <v>368</v>
      </c>
      <c r="AE309" s="4">
        <v>806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227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227</v>
      </c>
      <c r="AW309" s="8" t="s">
        <v>227</v>
      </c>
      <c r="AX309" s="4" t="s">
        <v>227</v>
      </c>
      <c r="AY309" s="8" t="s">
        <v>227</v>
      </c>
      <c r="AZ309" s="7" t="s">
        <v>227</v>
      </c>
      <c r="BA309" s="7" t="s">
        <v>227</v>
      </c>
      <c r="BB309" s="7"/>
      <c r="BC309" s="4" t="s">
        <v>227</v>
      </c>
      <c r="BD309" s="8" t="s">
        <v>227</v>
      </c>
      <c r="BE309" s="4" t="s">
        <v>227</v>
      </c>
      <c r="BF309" s="8" t="s">
        <v>227</v>
      </c>
      <c r="BG309" s="7" t="s">
        <v>227</v>
      </c>
      <c r="BH309" s="7" t="s">
        <v>227</v>
      </c>
      <c r="BI309" s="7"/>
      <c r="BJ309" s="4">
        <v>70</v>
      </c>
      <c r="BK309" s="8">
        <v>1482.59</v>
      </c>
      <c r="BL309" s="2" t="s">
        <v>2276</v>
      </c>
      <c r="BM309" s="7"/>
      <c r="BN309" s="7"/>
      <c r="BO309" s="4"/>
      <c r="BP309" s="8"/>
      <c r="BQ309" s="4"/>
      <c r="BR309" s="8"/>
      <c r="BS309" s="7"/>
      <c r="BT309" s="7"/>
      <c r="BU309" s="2" t="s">
        <v>2277</v>
      </c>
      <c r="BV309" s="2" t="s">
        <v>227</v>
      </c>
      <c r="BW309" s="2" t="s">
        <v>227</v>
      </c>
      <c r="BX309" s="2" t="s">
        <v>235</v>
      </c>
      <c r="BY309" s="2" t="s">
        <v>236</v>
      </c>
      <c r="BZ309" s="2" t="s">
        <v>224</v>
      </c>
      <c r="CA309" s="2" t="s">
        <v>2243</v>
      </c>
      <c r="CB309" s="2" t="s">
        <v>2278</v>
      </c>
      <c r="CC309" s="2" t="s">
        <v>239</v>
      </c>
      <c r="CD309" s="2" t="s">
        <v>227</v>
      </c>
      <c r="CE309" s="4">
        <v>29</v>
      </c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>
        <v>368</v>
      </c>
      <c r="DP309" s="4"/>
      <c r="DQ309" s="4"/>
      <c r="DR309" s="4">
        <v>182</v>
      </c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>
        <v>256</v>
      </c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  <c r="GU309" s="4"/>
      <c r="GV309" s="4"/>
      <c r="GW309" s="4"/>
      <c r="GX309" s="4"/>
    </row>
    <row r="310">
      <c r="A310" s="2" t="s">
        <v>2279</v>
      </c>
      <c r="B310" s="2" t="s">
        <v>278</v>
      </c>
      <c r="C310" s="2" t="s">
        <v>2227</v>
      </c>
      <c r="D310" s="2" t="s">
        <v>280</v>
      </c>
      <c r="E310" s="2" t="s">
        <v>281</v>
      </c>
      <c r="F310" s="2" t="s">
        <v>2228</v>
      </c>
      <c r="G310" s="2" t="s">
        <v>2228</v>
      </c>
      <c r="H310" s="2" t="s">
        <v>2228</v>
      </c>
      <c r="I310" s="2" t="s">
        <v>2229</v>
      </c>
      <c r="J310" s="2" t="s">
        <v>252</v>
      </c>
      <c r="K310" s="2" t="s">
        <v>2268</v>
      </c>
      <c r="L310" s="3">
        <v>22.21</v>
      </c>
      <c r="M310" s="3">
        <v>23.32</v>
      </c>
      <c r="N310" s="3">
        <v>47.99</v>
      </c>
      <c r="O310" s="2" t="s">
        <v>224</v>
      </c>
      <c r="P310" s="2" t="s">
        <v>485</v>
      </c>
      <c r="Q310" s="2" t="s">
        <v>226</v>
      </c>
      <c r="R310" s="2" t="s">
        <v>227</v>
      </c>
      <c r="S310" s="2" t="s">
        <v>2269</v>
      </c>
      <c r="T310" s="2" t="s">
        <v>2100</v>
      </c>
      <c r="U310" s="2" t="s">
        <v>227</v>
      </c>
      <c r="V310" s="2" t="s">
        <v>877</v>
      </c>
      <c r="W310" s="2" t="s">
        <v>231</v>
      </c>
      <c r="X310" s="2" t="s">
        <v>227</v>
      </c>
      <c r="Y310" s="2" t="s">
        <v>2112</v>
      </c>
      <c r="Z310" s="4">
        <v>204</v>
      </c>
      <c r="AA310" s="4">
        <f>=ROUNDDOWN(6.375,0)</f>
      </c>
      <c r="AB310" s="5">
        <v>32</v>
      </c>
      <c r="AC310" s="2" t="s">
        <v>583</v>
      </c>
      <c r="AD310" s="4">
        <v>548</v>
      </c>
      <c r="AE310" s="4">
        <v>1242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227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227</v>
      </c>
      <c r="AW310" s="8" t="s">
        <v>227</v>
      </c>
      <c r="AX310" s="4" t="s">
        <v>227</v>
      </c>
      <c r="AY310" s="8" t="s">
        <v>227</v>
      </c>
      <c r="AZ310" s="7" t="s">
        <v>227</v>
      </c>
      <c r="BA310" s="7" t="s">
        <v>227</v>
      </c>
      <c r="BB310" s="7"/>
      <c r="BC310" s="4" t="s">
        <v>227</v>
      </c>
      <c r="BD310" s="8" t="s">
        <v>227</v>
      </c>
      <c r="BE310" s="4" t="s">
        <v>227</v>
      </c>
      <c r="BF310" s="8" t="s">
        <v>227</v>
      </c>
      <c r="BG310" s="7" t="s">
        <v>227</v>
      </c>
      <c r="BH310" s="7" t="s">
        <v>227</v>
      </c>
      <c r="BI310" s="7"/>
      <c r="BJ310" s="4">
        <v>41</v>
      </c>
      <c r="BK310" s="8">
        <v>1020.42</v>
      </c>
      <c r="BL310" s="2" t="s">
        <v>2280</v>
      </c>
      <c r="BM310" s="7"/>
      <c r="BN310" s="7"/>
      <c r="BO310" s="4"/>
      <c r="BP310" s="8"/>
      <c r="BQ310" s="4"/>
      <c r="BR310" s="8"/>
      <c r="BS310" s="7"/>
      <c r="BT310" s="7"/>
      <c r="BU310" s="2" t="s">
        <v>2281</v>
      </c>
      <c r="BV310" s="2" t="s">
        <v>227</v>
      </c>
      <c r="BW310" s="2" t="s">
        <v>227</v>
      </c>
      <c r="BX310" s="2" t="s">
        <v>235</v>
      </c>
      <c r="BY310" s="2" t="s">
        <v>236</v>
      </c>
      <c r="BZ310" s="2" t="s">
        <v>224</v>
      </c>
      <c r="CA310" s="2" t="s">
        <v>2243</v>
      </c>
      <c r="CB310" s="2" t="s">
        <v>2138</v>
      </c>
      <c r="CC310" s="2" t="s">
        <v>239</v>
      </c>
      <c r="CD310" s="2" t="s">
        <v>227</v>
      </c>
      <c r="CE310" s="4">
        <v>204</v>
      </c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>
        <v>548</v>
      </c>
      <c r="DP310" s="4"/>
      <c r="DQ310" s="4"/>
      <c r="DR310" s="4">
        <v>285</v>
      </c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>
        <v>409</v>
      </c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  <c r="GT310" s="4"/>
      <c r="GU310" s="4"/>
      <c r="GV310" s="4"/>
      <c r="GW310" s="4"/>
      <c r="GX310" s="4"/>
    </row>
    <row r="311">
      <c r="A311" s="2" t="s">
        <v>2282</v>
      </c>
      <c r="B311" s="2" t="s">
        <v>278</v>
      </c>
      <c r="C311" s="2" t="s">
        <v>2227</v>
      </c>
      <c r="D311" s="2" t="s">
        <v>280</v>
      </c>
      <c r="E311" s="2" t="s">
        <v>281</v>
      </c>
      <c r="F311" s="2" t="s">
        <v>2228</v>
      </c>
      <c r="G311" s="2" t="s">
        <v>2228</v>
      </c>
      <c r="H311" s="2" t="s">
        <v>2228</v>
      </c>
      <c r="I311" s="2" t="s">
        <v>2229</v>
      </c>
      <c r="J311" s="2" t="s">
        <v>257</v>
      </c>
      <c r="K311" s="2" t="s">
        <v>2268</v>
      </c>
      <c r="L311" s="3">
        <v>27.39</v>
      </c>
      <c r="M311" s="3">
        <v>28.76</v>
      </c>
      <c r="N311" s="3">
        <v>62.99</v>
      </c>
      <c r="O311" s="2" t="s">
        <v>224</v>
      </c>
      <c r="P311" s="2" t="s">
        <v>225</v>
      </c>
      <c r="Q311" s="2" t="s">
        <v>226</v>
      </c>
      <c r="R311" s="2" t="s">
        <v>227</v>
      </c>
      <c r="S311" s="2" t="s">
        <v>2269</v>
      </c>
      <c r="T311" s="2" t="s">
        <v>2100</v>
      </c>
      <c r="U311" s="2" t="s">
        <v>227</v>
      </c>
      <c r="V311" s="2" t="s">
        <v>877</v>
      </c>
      <c r="W311" s="2" t="s">
        <v>231</v>
      </c>
      <c r="X311" s="2" t="s">
        <v>227</v>
      </c>
      <c r="Y311" s="2" t="s">
        <v>2112</v>
      </c>
      <c r="Z311" s="4">
        <v>79</v>
      </c>
      <c r="AA311" s="4">
        <f>=ROUNDDOWN(5.64285714285714,0)</f>
      </c>
      <c r="AB311" s="5">
        <v>14</v>
      </c>
      <c r="AC311" s="2" t="s">
        <v>583</v>
      </c>
      <c r="AD311" s="4">
        <v>238</v>
      </c>
      <c r="AE311" s="4">
        <v>514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227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227</v>
      </c>
      <c r="AW311" s="8" t="s">
        <v>227</v>
      </c>
      <c r="AX311" s="4" t="s">
        <v>227</v>
      </c>
      <c r="AY311" s="8" t="s">
        <v>227</v>
      </c>
      <c r="AZ311" s="7" t="s">
        <v>227</v>
      </c>
      <c r="BA311" s="7" t="s">
        <v>227</v>
      </c>
      <c r="BB311" s="7"/>
      <c r="BC311" s="4" t="s">
        <v>227</v>
      </c>
      <c r="BD311" s="8" t="s">
        <v>227</v>
      </c>
      <c r="BE311" s="4" t="s">
        <v>227</v>
      </c>
      <c r="BF311" s="8" t="s">
        <v>227</v>
      </c>
      <c r="BG311" s="7" t="s">
        <v>227</v>
      </c>
      <c r="BH311" s="7" t="s">
        <v>227</v>
      </c>
      <c r="BI311" s="7"/>
      <c r="BJ311" s="4">
        <v>25</v>
      </c>
      <c r="BK311" s="8">
        <v>762.86</v>
      </c>
      <c r="BL311" s="2" t="s">
        <v>2283</v>
      </c>
      <c r="BM311" s="7"/>
      <c r="BN311" s="7"/>
      <c r="BO311" s="4"/>
      <c r="BP311" s="8"/>
      <c r="BQ311" s="4"/>
      <c r="BR311" s="8"/>
      <c r="BS311" s="7"/>
      <c r="BT311" s="7"/>
      <c r="BU311" s="2" t="s">
        <v>2284</v>
      </c>
      <c r="BV311" s="2" t="s">
        <v>227</v>
      </c>
      <c r="BW311" s="2" t="s">
        <v>227</v>
      </c>
      <c r="BX311" s="2" t="s">
        <v>235</v>
      </c>
      <c r="BY311" s="2" t="s">
        <v>236</v>
      </c>
      <c r="BZ311" s="2" t="s">
        <v>224</v>
      </c>
      <c r="CA311" s="2" t="s">
        <v>2243</v>
      </c>
      <c r="CB311" s="2" t="s">
        <v>2254</v>
      </c>
      <c r="CC311" s="2" t="s">
        <v>239</v>
      </c>
      <c r="CD311" s="2" t="s">
        <v>227</v>
      </c>
      <c r="CE311" s="4">
        <v>79</v>
      </c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>
        <v>238</v>
      </c>
      <c r="DP311" s="4"/>
      <c r="DQ311" s="4"/>
      <c r="DR311" s="4">
        <v>126</v>
      </c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>
        <v>150</v>
      </c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/>
      <c r="GQ311" s="4"/>
      <c r="GR311" s="4"/>
      <c r="GS311" s="4"/>
      <c r="GT311" s="4"/>
      <c r="GU311" s="4"/>
      <c r="GV311" s="4"/>
      <c r="GW311" s="4"/>
      <c r="GX311" s="4"/>
    </row>
    <row r="312">
      <c r="A312" s="2" t="s">
        <v>2285</v>
      </c>
      <c r="B312" s="2" t="s">
        <v>278</v>
      </c>
      <c r="C312" s="2" t="s">
        <v>2227</v>
      </c>
      <c r="D312" s="2" t="s">
        <v>280</v>
      </c>
      <c r="E312" s="2" t="s">
        <v>281</v>
      </c>
      <c r="F312" s="2" t="s">
        <v>2228</v>
      </c>
      <c r="G312" s="2" t="s">
        <v>2228</v>
      </c>
      <c r="H312" s="2" t="s">
        <v>2228</v>
      </c>
      <c r="I312" s="2" t="s">
        <v>2229</v>
      </c>
      <c r="J312" s="2" t="s">
        <v>247</v>
      </c>
      <c r="K312" s="2" t="s">
        <v>2110</v>
      </c>
      <c r="L312" s="3">
        <v>19.57</v>
      </c>
      <c r="M312" s="3">
        <v>20.55</v>
      </c>
      <c r="N312" s="3">
        <v>42.99</v>
      </c>
      <c r="O312" s="2" t="s">
        <v>224</v>
      </c>
      <c r="P312" s="2" t="s">
        <v>530</v>
      </c>
      <c r="Q312" s="2" t="s">
        <v>226</v>
      </c>
      <c r="R312" s="2" t="s">
        <v>227</v>
      </c>
      <c r="S312" s="2" t="s">
        <v>2286</v>
      </c>
      <c r="T312" s="2" t="s">
        <v>2100</v>
      </c>
      <c r="U312" s="2" t="s">
        <v>227</v>
      </c>
      <c r="V312" s="2" t="s">
        <v>782</v>
      </c>
      <c r="W312" s="2" t="s">
        <v>231</v>
      </c>
      <c r="X312" s="2" t="s">
        <v>227</v>
      </c>
      <c r="Y312" s="2" t="s">
        <v>232</v>
      </c>
      <c r="Z312" s="4">
        <v>749</v>
      </c>
      <c r="AA312" s="4">
        <f>=ROUNDDOWN(16.6444444444444,0)</f>
      </c>
      <c r="AB312" s="5">
        <v>45</v>
      </c>
      <c r="AC312" s="2" t="s">
        <v>2234</v>
      </c>
      <c r="AD312" s="4">
        <v>474</v>
      </c>
      <c r="AE312" s="4">
        <v>1328</v>
      </c>
      <c r="AF312" s="6">
        <v>65</v>
      </c>
      <c r="AG312" s="6"/>
      <c r="AH312" s="7">
        <v>0.3226</v>
      </c>
      <c r="AI312" s="4"/>
      <c r="AJ312" s="4">
        <f>=ROUNDDOWN({0},0)</f>
      </c>
      <c r="AK312" s="5"/>
      <c r="AL312" s="2" t="s">
        <v>227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227</v>
      </c>
      <c r="AW312" s="8" t="s">
        <v>227</v>
      </c>
      <c r="AX312" s="4" t="s">
        <v>227</v>
      </c>
      <c r="AY312" s="8" t="s">
        <v>227</v>
      </c>
      <c r="AZ312" s="7" t="s">
        <v>227</v>
      </c>
      <c r="BA312" s="7" t="s">
        <v>227</v>
      </c>
      <c r="BB312" s="7"/>
      <c r="BC312" s="4" t="s">
        <v>227</v>
      </c>
      <c r="BD312" s="8" t="s">
        <v>227</v>
      </c>
      <c r="BE312" s="4" t="s">
        <v>227</v>
      </c>
      <c r="BF312" s="8" t="s">
        <v>227</v>
      </c>
      <c r="BG312" s="7" t="s">
        <v>227</v>
      </c>
      <c r="BH312" s="7" t="s">
        <v>227</v>
      </c>
      <c r="BI312" s="7"/>
      <c r="BJ312" s="4">
        <v>63</v>
      </c>
      <c r="BK312" s="8">
        <v>1333.79</v>
      </c>
      <c r="BL312" s="2" t="s">
        <v>2287</v>
      </c>
      <c r="BM312" s="7"/>
      <c r="BN312" s="7"/>
      <c r="BO312" s="4"/>
      <c r="BP312" s="8"/>
      <c r="BQ312" s="4"/>
      <c r="BR312" s="8"/>
      <c r="BS312" s="7"/>
      <c r="BT312" s="7"/>
      <c r="BU312" s="2" t="s">
        <v>2288</v>
      </c>
      <c r="BV312" s="2" t="s">
        <v>227</v>
      </c>
      <c r="BW312" s="2" t="s">
        <v>227</v>
      </c>
      <c r="BX312" s="2" t="s">
        <v>235</v>
      </c>
      <c r="BY312" s="2" t="s">
        <v>236</v>
      </c>
      <c r="BZ312" s="2" t="s">
        <v>224</v>
      </c>
      <c r="CA312" s="2" t="s">
        <v>2144</v>
      </c>
      <c r="CB312" s="2" t="s">
        <v>2289</v>
      </c>
      <c r="CC312" s="2" t="s">
        <v>239</v>
      </c>
      <c r="CD312" s="2" t="s">
        <v>227</v>
      </c>
      <c r="CE312" s="4">
        <v>749</v>
      </c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>
        <v>474</v>
      </c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>
        <v>404</v>
      </c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>
        <v>450</v>
      </c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  <c r="GT312" s="4"/>
      <c r="GU312" s="4"/>
      <c r="GV312" s="4"/>
      <c r="GW312" s="4"/>
      <c r="GX312" s="4"/>
    </row>
    <row r="313">
      <c r="A313" s="2" t="s">
        <v>2290</v>
      </c>
      <c r="B313" s="2" t="s">
        <v>278</v>
      </c>
      <c r="C313" s="2" t="s">
        <v>2227</v>
      </c>
      <c r="D313" s="2" t="s">
        <v>280</v>
      </c>
      <c r="E313" s="2" t="s">
        <v>281</v>
      </c>
      <c r="F313" s="2" t="s">
        <v>2228</v>
      </c>
      <c r="G313" s="2" t="s">
        <v>2228</v>
      </c>
      <c r="H313" s="2" t="s">
        <v>2228</v>
      </c>
      <c r="I313" s="2" t="s">
        <v>2229</v>
      </c>
      <c r="J313" s="2" t="s">
        <v>384</v>
      </c>
      <c r="K313" s="2" t="s">
        <v>2110</v>
      </c>
      <c r="L313" s="3">
        <v>27.39</v>
      </c>
      <c r="M313" s="3">
        <v>28.76</v>
      </c>
      <c r="N313" s="3">
        <v>62.99</v>
      </c>
      <c r="O313" s="2" t="s">
        <v>224</v>
      </c>
      <c r="P313" s="2" t="s">
        <v>225</v>
      </c>
      <c r="Q313" s="2" t="s">
        <v>226</v>
      </c>
      <c r="R313" s="2" t="s">
        <v>227</v>
      </c>
      <c r="S313" s="2" t="s">
        <v>2286</v>
      </c>
      <c r="T313" s="2" t="s">
        <v>2100</v>
      </c>
      <c r="U313" s="2" t="s">
        <v>227</v>
      </c>
      <c r="V313" s="2" t="s">
        <v>782</v>
      </c>
      <c r="W313" s="2" t="s">
        <v>231</v>
      </c>
      <c r="X313" s="2" t="s">
        <v>227</v>
      </c>
      <c r="Y313" s="2" t="s">
        <v>2291</v>
      </c>
      <c r="Z313" s="4">
        <v>453</v>
      </c>
      <c r="AA313" s="4">
        <f>=ROUNDDOWN(18.12,0)</f>
      </c>
      <c r="AB313" s="5">
        <v>25</v>
      </c>
      <c r="AC313" s="2" t="s">
        <v>2234</v>
      </c>
      <c r="AD313" s="4">
        <v>243</v>
      </c>
      <c r="AE313" s="4">
        <v>765</v>
      </c>
      <c r="AF313" s="6">
        <v>65</v>
      </c>
      <c r="AG313" s="6"/>
      <c r="AH313" s="7">
        <v>0.2581</v>
      </c>
      <c r="AI313" s="4"/>
      <c r="AJ313" s="4">
        <f>=ROUNDDOWN({0},0)</f>
      </c>
      <c r="AK313" s="5"/>
      <c r="AL313" s="2" t="s">
        <v>227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227</v>
      </c>
      <c r="AW313" s="8" t="s">
        <v>227</v>
      </c>
      <c r="AX313" s="4" t="s">
        <v>227</v>
      </c>
      <c r="AY313" s="8" t="s">
        <v>227</v>
      </c>
      <c r="AZ313" s="7" t="s">
        <v>227</v>
      </c>
      <c r="BA313" s="7" t="s">
        <v>227</v>
      </c>
      <c r="BB313" s="7"/>
      <c r="BC313" s="4" t="s">
        <v>227</v>
      </c>
      <c r="BD313" s="8" t="s">
        <v>227</v>
      </c>
      <c r="BE313" s="4" t="s">
        <v>227</v>
      </c>
      <c r="BF313" s="8" t="s">
        <v>227</v>
      </c>
      <c r="BG313" s="7" t="s">
        <v>227</v>
      </c>
      <c r="BH313" s="7" t="s">
        <v>227</v>
      </c>
      <c r="BI313" s="7"/>
      <c r="BJ313" s="4">
        <v>11</v>
      </c>
      <c r="BK313" s="8">
        <v>316.55</v>
      </c>
      <c r="BL313" s="2" t="s">
        <v>2292</v>
      </c>
      <c r="BM313" s="7"/>
      <c r="BN313" s="7"/>
      <c r="BO313" s="4"/>
      <c r="BP313" s="8"/>
      <c r="BQ313" s="4"/>
      <c r="BR313" s="8"/>
      <c r="BS313" s="7"/>
      <c r="BT313" s="7"/>
      <c r="BU313" s="2" t="s">
        <v>2293</v>
      </c>
      <c r="BV313" s="2" t="s">
        <v>227</v>
      </c>
      <c r="BW313" s="2" t="s">
        <v>227</v>
      </c>
      <c r="BX313" s="2" t="s">
        <v>235</v>
      </c>
      <c r="BY313" s="2" t="s">
        <v>236</v>
      </c>
      <c r="BZ313" s="2" t="s">
        <v>224</v>
      </c>
      <c r="CA313" s="2" t="s">
        <v>2144</v>
      </c>
      <c r="CB313" s="2" t="s">
        <v>276</v>
      </c>
      <c r="CC313" s="2" t="s">
        <v>239</v>
      </c>
      <c r="CD313" s="2" t="s">
        <v>227</v>
      </c>
      <c r="CE313" s="4">
        <v>453</v>
      </c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>
        <v>243</v>
      </c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>
        <v>217</v>
      </c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>
        <v>305</v>
      </c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  <c r="GT313" s="4"/>
      <c r="GU313" s="4"/>
      <c r="GV313" s="4"/>
      <c r="GW313" s="4"/>
      <c r="GX313" s="4"/>
    </row>
    <row r="314">
      <c r="A314" s="2" t="s">
        <v>2294</v>
      </c>
      <c r="B314" s="2" t="s">
        <v>278</v>
      </c>
      <c r="C314" s="2" t="s">
        <v>2227</v>
      </c>
      <c r="D314" s="2" t="s">
        <v>280</v>
      </c>
      <c r="E314" s="2" t="s">
        <v>281</v>
      </c>
      <c r="F314" s="2" t="s">
        <v>2228</v>
      </c>
      <c r="G314" s="2" t="s">
        <v>2228</v>
      </c>
      <c r="H314" s="2" t="s">
        <v>2228</v>
      </c>
      <c r="I314" s="2" t="s">
        <v>2229</v>
      </c>
      <c r="J314" s="2" t="s">
        <v>241</v>
      </c>
      <c r="K314" s="2" t="s">
        <v>2295</v>
      </c>
      <c r="L314" s="3">
        <v>16.16</v>
      </c>
      <c r="M314" s="3">
        <v>16.97</v>
      </c>
      <c r="N314" s="3">
        <v>34.99</v>
      </c>
      <c r="O314" s="2" t="s">
        <v>224</v>
      </c>
      <c r="P314" s="2" t="s">
        <v>225</v>
      </c>
      <c r="Q314" s="2" t="s">
        <v>226</v>
      </c>
      <c r="R314" s="2" t="s">
        <v>227</v>
      </c>
      <c r="S314" s="2" t="s">
        <v>2296</v>
      </c>
      <c r="T314" s="2" t="s">
        <v>2100</v>
      </c>
      <c r="U314" s="2" t="s">
        <v>227</v>
      </c>
      <c r="V314" s="2" t="s">
        <v>2101</v>
      </c>
      <c r="W314" s="2" t="s">
        <v>231</v>
      </c>
      <c r="X314" s="2" t="s">
        <v>227</v>
      </c>
      <c r="Y314" s="2" t="s">
        <v>2175</v>
      </c>
      <c r="Z314" s="4">
        <v>108</v>
      </c>
      <c r="AA314" s="4">
        <f>=ROUNDDOWN(4.5,0)</f>
      </c>
      <c r="AB314" s="5">
        <v>24</v>
      </c>
      <c r="AC314" s="2" t="s">
        <v>2297</v>
      </c>
      <c r="AD314" s="4">
        <v>421</v>
      </c>
      <c r="AE314" s="4">
        <v>941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227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227</v>
      </c>
      <c r="AW314" s="8" t="s">
        <v>227</v>
      </c>
      <c r="AX314" s="4" t="s">
        <v>227</v>
      </c>
      <c r="AY314" s="8" t="s">
        <v>227</v>
      </c>
      <c r="AZ314" s="7" t="s">
        <v>227</v>
      </c>
      <c r="BA314" s="7" t="s">
        <v>227</v>
      </c>
      <c r="BB314" s="7"/>
      <c r="BC314" s="4" t="s">
        <v>227</v>
      </c>
      <c r="BD314" s="8" t="s">
        <v>227</v>
      </c>
      <c r="BE314" s="4" t="s">
        <v>227</v>
      </c>
      <c r="BF314" s="8" t="s">
        <v>227</v>
      </c>
      <c r="BG314" s="7" t="s">
        <v>227</v>
      </c>
      <c r="BH314" s="7" t="s">
        <v>227</v>
      </c>
      <c r="BI314" s="7"/>
      <c r="BJ314" s="4">
        <v>32</v>
      </c>
      <c r="BK314" s="8">
        <v>612.43</v>
      </c>
      <c r="BL314" s="2" t="s">
        <v>2298</v>
      </c>
      <c r="BM314" s="7"/>
      <c r="BN314" s="7"/>
      <c r="BO314" s="4"/>
      <c r="BP314" s="8"/>
      <c r="BQ314" s="4"/>
      <c r="BR314" s="8"/>
      <c r="BS314" s="7"/>
      <c r="BT314" s="7"/>
      <c r="BU314" s="2" t="s">
        <v>2299</v>
      </c>
      <c r="BV314" s="2" t="s">
        <v>227</v>
      </c>
      <c r="BW314" s="2" t="s">
        <v>227</v>
      </c>
      <c r="BX314" s="2" t="s">
        <v>235</v>
      </c>
      <c r="BY314" s="2" t="s">
        <v>236</v>
      </c>
      <c r="BZ314" s="2" t="s">
        <v>224</v>
      </c>
      <c r="CA314" s="2" t="s">
        <v>2243</v>
      </c>
      <c r="CB314" s="2" t="s">
        <v>2278</v>
      </c>
      <c r="CC314" s="2" t="s">
        <v>239</v>
      </c>
      <c r="CD314" s="2" t="s">
        <v>227</v>
      </c>
      <c r="CE314" s="4">
        <v>108</v>
      </c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>
        <v>421</v>
      </c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>
        <v>212</v>
      </c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>
        <v>308</v>
      </c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  <c r="GU314" s="4"/>
      <c r="GV314" s="4"/>
      <c r="GW314" s="4"/>
      <c r="GX314" s="4"/>
    </row>
    <row r="315">
      <c r="A315" s="2" t="s">
        <v>2300</v>
      </c>
      <c r="B315" s="2" t="s">
        <v>278</v>
      </c>
      <c r="C315" s="2" t="s">
        <v>2227</v>
      </c>
      <c r="D315" s="2" t="s">
        <v>280</v>
      </c>
      <c r="E315" s="2" t="s">
        <v>281</v>
      </c>
      <c r="F315" s="2" t="s">
        <v>2228</v>
      </c>
      <c r="G315" s="2" t="s">
        <v>2228</v>
      </c>
      <c r="H315" s="2" t="s">
        <v>2228</v>
      </c>
      <c r="I315" s="2" t="s">
        <v>2229</v>
      </c>
      <c r="J315" s="2" t="s">
        <v>247</v>
      </c>
      <c r="K315" s="2" t="s">
        <v>2295</v>
      </c>
      <c r="L315" s="3">
        <v>19.57</v>
      </c>
      <c r="M315" s="3">
        <v>20.55</v>
      </c>
      <c r="N315" s="3">
        <v>42.99</v>
      </c>
      <c r="O315" s="2" t="s">
        <v>224</v>
      </c>
      <c r="P315" s="2" t="s">
        <v>485</v>
      </c>
      <c r="Q315" s="2" t="s">
        <v>226</v>
      </c>
      <c r="R315" s="2" t="s">
        <v>227</v>
      </c>
      <c r="S315" s="2" t="s">
        <v>2296</v>
      </c>
      <c r="T315" s="2" t="s">
        <v>2100</v>
      </c>
      <c r="U315" s="2" t="s">
        <v>227</v>
      </c>
      <c r="V315" s="2" t="s">
        <v>2101</v>
      </c>
      <c r="W315" s="2" t="s">
        <v>231</v>
      </c>
      <c r="X315" s="2" t="s">
        <v>227</v>
      </c>
      <c r="Y315" s="2" t="s">
        <v>2175</v>
      </c>
      <c r="Z315" s="4">
        <v>291</v>
      </c>
      <c r="AA315" s="4">
        <f>=ROUNDDOWN(7.46153846153846,0)</f>
      </c>
      <c r="AB315" s="5">
        <v>39</v>
      </c>
      <c r="AC315" s="2" t="s">
        <v>583</v>
      </c>
      <c r="AD315" s="4">
        <v>726</v>
      </c>
      <c r="AE315" s="4">
        <v>1461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227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227</v>
      </c>
      <c r="AW315" s="8" t="s">
        <v>227</v>
      </c>
      <c r="AX315" s="4" t="s">
        <v>227</v>
      </c>
      <c r="AY315" s="8" t="s">
        <v>227</v>
      </c>
      <c r="AZ315" s="7" t="s">
        <v>227</v>
      </c>
      <c r="BA315" s="7" t="s">
        <v>227</v>
      </c>
      <c r="BB315" s="7"/>
      <c r="BC315" s="4" t="s">
        <v>227</v>
      </c>
      <c r="BD315" s="8" t="s">
        <v>227</v>
      </c>
      <c r="BE315" s="4" t="s">
        <v>227</v>
      </c>
      <c r="BF315" s="8" t="s">
        <v>227</v>
      </c>
      <c r="BG315" s="7" t="s">
        <v>227</v>
      </c>
      <c r="BH315" s="7" t="s">
        <v>227</v>
      </c>
      <c r="BI315" s="7"/>
      <c r="BJ315" s="4">
        <v>41</v>
      </c>
      <c r="BK315" s="8">
        <v>876.81</v>
      </c>
      <c r="BL315" s="2" t="s">
        <v>2165</v>
      </c>
      <c r="BM315" s="7"/>
      <c r="BN315" s="7"/>
      <c r="BO315" s="4"/>
      <c r="BP315" s="8"/>
      <c r="BQ315" s="4"/>
      <c r="BR315" s="8"/>
      <c r="BS315" s="7"/>
      <c r="BT315" s="7"/>
      <c r="BU315" s="2" t="s">
        <v>2301</v>
      </c>
      <c r="BV315" s="2" t="s">
        <v>227</v>
      </c>
      <c r="BW315" s="2" t="s">
        <v>227</v>
      </c>
      <c r="BX315" s="2" t="s">
        <v>235</v>
      </c>
      <c r="BY315" s="2" t="s">
        <v>236</v>
      </c>
      <c r="BZ315" s="2" t="s">
        <v>224</v>
      </c>
      <c r="CA315" s="2" t="s">
        <v>2243</v>
      </c>
      <c r="CB315" s="2" t="s">
        <v>2134</v>
      </c>
      <c r="CC315" s="2" t="s">
        <v>239</v>
      </c>
      <c r="CD315" s="2" t="s">
        <v>227</v>
      </c>
      <c r="CE315" s="4">
        <v>291</v>
      </c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>
        <v>726</v>
      </c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>
        <v>314</v>
      </c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>
        <v>421</v>
      </c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/>
    </row>
    <row r="316">
      <c r="A316" s="2" t="s">
        <v>2302</v>
      </c>
      <c r="B316" s="2" t="s">
        <v>278</v>
      </c>
      <c r="C316" s="2" t="s">
        <v>2227</v>
      </c>
      <c r="D316" s="2" t="s">
        <v>280</v>
      </c>
      <c r="E316" s="2" t="s">
        <v>281</v>
      </c>
      <c r="F316" s="2" t="s">
        <v>2228</v>
      </c>
      <c r="G316" s="2" t="s">
        <v>2228</v>
      </c>
      <c r="H316" s="2" t="s">
        <v>2228</v>
      </c>
      <c r="I316" s="2" t="s">
        <v>2229</v>
      </c>
      <c r="J316" s="2" t="s">
        <v>222</v>
      </c>
      <c r="K316" s="2" t="s">
        <v>2303</v>
      </c>
      <c r="L316" s="3">
        <v>14.89</v>
      </c>
      <c r="M316" s="3">
        <v>15.63</v>
      </c>
      <c r="N316" s="3">
        <v>31.99</v>
      </c>
      <c r="O316" s="2" t="s">
        <v>224</v>
      </c>
      <c r="P316" s="2" t="s">
        <v>225</v>
      </c>
      <c r="Q316" s="2" t="s">
        <v>226</v>
      </c>
      <c r="R316" s="2" t="s">
        <v>227</v>
      </c>
      <c r="S316" s="2" t="s">
        <v>2304</v>
      </c>
      <c r="T316" s="2" t="s">
        <v>2100</v>
      </c>
      <c r="U316" s="2" t="s">
        <v>227</v>
      </c>
      <c r="V316" s="2" t="s">
        <v>230</v>
      </c>
      <c r="W316" s="2" t="s">
        <v>231</v>
      </c>
      <c r="X316" s="2" t="s">
        <v>227</v>
      </c>
      <c r="Y316" s="2" t="s">
        <v>232</v>
      </c>
      <c r="Z316" s="4">
        <v>950</v>
      </c>
      <c r="AA316" s="4">
        <f>=ROUNDDOWN(20.2127659574468,0)</f>
      </c>
      <c r="AB316" s="5">
        <v>47</v>
      </c>
      <c r="AC316" s="2" t="s">
        <v>1596</v>
      </c>
      <c r="AD316" s="4">
        <v>392</v>
      </c>
      <c r="AE316" s="4">
        <v>907</v>
      </c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227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 t="s">
        <v>227</v>
      </c>
      <c r="BD316" s="8" t="s">
        <v>227</v>
      </c>
      <c r="BE316" s="4" t="s">
        <v>227</v>
      </c>
      <c r="BF316" s="8" t="s">
        <v>227</v>
      </c>
      <c r="BG316" s="7" t="s">
        <v>227</v>
      </c>
      <c r="BH316" s="7" t="s">
        <v>227</v>
      </c>
      <c r="BI316" s="7"/>
      <c r="BJ316" s="4">
        <v>86</v>
      </c>
      <c r="BK316" s="8">
        <v>1390.9</v>
      </c>
      <c r="BL316" s="2" t="s">
        <v>2305</v>
      </c>
      <c r="BM316" s="7"/>
      <c r="BN316" s="7"/>
      <c r="BO316" s="4"/>
      <c r="BP316" s="8"/>
      <c r="BQ316" s="4"/>
      <c r="BR316" s="8"/>
      <c r="BS316" s="7"/>
      <c r="BT316" s="7"/>
      <c r="BU316" s="2" t="s">
        <v>2306</v>
      </c>
      <c r="BV316" s="2" t="s">
        <v>227</v>
      </c>
      <c r="BW316" s="2" t="s">
        <v>227</v>
      </c>
      <c r="BX316" s="2" t="s">
        <v>235</v>
      </c>
      <c r="BY316" s="2" t="s">
        <v>236</v>
      </c>
      <c r="BZ316" s="2" t="s">
        <v>224</v>
      </c>
      <c r="CA316" s="2" t="s">
        <v>2144</v>
      </c>
      <c r="CB316" s="2" t="s">
        <v>2307</v>
      </c>
      <c r="CC316" s="2" t="s">
        <v>239</v>
      </c>
      <c r="CD316" s="2" t="s">
        <v>227</v>
      </c>
      <c r="CE316" s="4">
        <v>950</v>
      </c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>
        <v>392</v>
      </c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>
        <v>515</v>
      </c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  <c r="GT316" s="4"/>
      <c r="GU316" s="4"/>
      <c r="GV316" s="4"/>
      <c r="GW316" s="4"/>
      <c r="GX316" s="4"/>
    </row>
    <row r="317">
      <c r="A317" s="2" t="s">
        <v>2308</v>
      </c>
      <c r="B317" s="2" t="s">
        <v>278</v>
      </c>
      <c r="C317" s="2" t="s">
        <v>2227</v>
      </c>
      <c r="D317" s="2" t="s">
        <v>280</v>
      </c>
      <c r="E317" s="2" t="s">
        <v>281</v>
      </c>
      <c r="F317" s="2" t="s">
        <v>2228</v>
      </c>
      <c r="G317" s="2" t="s">
        <v>2228</v>
      </c>
      <c r="H317" s="2" t="s">
        <v>2228</v>
      </c>
      <c r="I317" s="2" t="s">
        <v>2229</v>
      </c>
      <c r="J317" s="2" t="s">
        <v>222</v>
      </c>
      <c r="K317" s="2" t="s">
        <v>2309</v>
      </c>
      <c r="L317" s="3">
        <v>14.89</v>
      </c>
      <c r="M317" s="3">
        <v>15.63</v>
      </c>
      <c r="N317" s="3">
        <v>31.99</v>
      </c>
      <c r="O317" s="2" t="s">
        <v>224</v>
      </c>
      <c r="P317" s="2" t="s">
        <v>530</v>
      </c>
      <c r="Q317" s="2" t="s">
        <v>226</v>
      </c>
      <c r="R317" s="2" t="s">
        <v>227</v>
      </c>
      <c r="S317" s="2" t="s">
        <v>2310</v>
      </c>
      <c r="T317" s="2" t="s">
        <v>2100</v>
      </c>
      <c r="U317" s="2" t="s">
        <v>674</v>
      </c>
      <c r="V317" s="2" t="s">
        <v>906</v>
      </c>
      <c r="W317" s="2" t="s">
        <v>231</v>
      </c>
      <c r="X317" s="2" t="s">
        <v>581</v>
      </c>
      <c r="Y317" s="2" t="s">
        <v>2311</v>
      </c>
      <c r="Z317" s="4">
        <v>1096</v>
      </c>
      <c r="AA317" s="4">
        <f>=ROUNDDOWN(14.8108108108108,0)</f>
      </c>
      <c r="AB317" s="5">
        <v>74</v>
      </c>
      <c r="AC317" s="2" t="s">
        <v>2234</v>
      </c>
      <c r="AD317" s="4">
        <v>783</v>
      </c>
      <c r="AE317" s="4">
        <v>2370</v>
      </c>
      <c r="AF317" s="6">
        <v>65</v>
      </c>
      <c r="AG317" s="6"/>
      <c r="AH317" s="7">
        <v>0.5161</v>
      </c>
      <c r="AI317" s="4"/>
      <c r="AJ317" s="4">
        <f>=ROUNDDOWN({0},0)</f>
      </c>
      <c r="AK317" s="5"/>
      <c r="AL317" s="2" t="s">
        <v>227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/>
      <c r="AW317" s="8"/>
      <c r="AX317" s="4"/>
      <c r="AY317" s="8"/>
      <c r="AZ317" s="7"/>
      <c r="BA317" s="7"/>
      <c r="BB317" s="7"/>
      <c r="BC317" s="4" t="s">
        <v>227</v>
      </c>
      <c r="BD317" s="8" t="s">
        <v>227</v>
      </c>
      <c r="BE317" s="4" t="s">
        <v>227</v>
      </c>
      <c r="BF317" s="8" t="s">
        <v>227</v>
      </c>
      <c r="BG317" s="7" t="s">
        <v>227</v>
      </c>
      <c r="BH317" s="7" t="s">
        <v>227</v>
      </c>
      <c r="BI317" s="7"/>
      <c r="BJ317" s="4">
        <v>91</v>
      </c>
      <c r="BK317" s="8">
        <v>1563.1</v>
      </c>
      <c r="BL317" s="2" t="s">
        <v>2312</v>
      </c>
      <c r="BM317" s="7"/>
      <c r="BN317" s="7"/>
      <c r="BO317" s="4"/>
      <c r="BP317" s="8"/>
      <c r="BQ317" s="4"/>
      <c r="BR317" s="8"/>
      <c r="BS317" s="7"/>
      <c r="BT317" s="7"/>
      <c r="BU317" s="2" t="s">
        <v>2313</v>
      </c>
      <c r="BV317" s="2" t="s">
        <v>227</v>
      </c>
      <c r="BW317" s="2" t="s">
        <v>227</v>
      </c>
      <c r="BX317" s="2" t="s">
        <v>235</v>
      </c>
      <c r="BY317" s="2" t="s">
        <v>236</v>
      </c>
      <c r="BZ317" s="2" t="s">
        <v>224</v>
      </c>
      <c r="CA317" s="2" t="s">
        <v>2314</v>
      </c>
      <c r="CB317" s="2" t="s">
        <v>2315</v>
      </c>
      <c r="CC317" s="2" t="s">
        <v>239</v>
      </c>
      <c r="CD317" s="2" t="s">
        <v>227</v>
      </c>
      <c r="CE317" s="4">
        <v>1096</v>
      </c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>
        <v>783</v>
      </c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>
        <v>635</v>
      </c>
      <c r="EA317" s="4"/>
      <c r="EB317" s="4">
        <v>37</v>
      </c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>
        <v>862</v>
      </c>
      <c r="FF317" s="4"/>
      <c r="FG317" s="4"/>
      <c r="FH317" s="4"/>
      <c r="FI317" s="4"/>
      <c r="FJ317" s="4"/>
      <c r="FK317" s="4"/>
      <c r="FL317" s="4"/>
      <c r="FM317" s="4"/>
      <c r="FN317" s="4"/>
      <c r="FO317" s="4">
        <v>53</v>
      </c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/>
      <c r="GM317" s="4"/>
      <c r="GN317" s="4"/>
      <c r="GO317" s="4"/>
      <c r="GP317" s="4"/>
      <c r="GQ317" s="4"/>
      <c r="GR317" s="4"/>
      <c r="GS317" s="4"/>
      <c r="GT317" s="4"/>
      <c r="GU317" s="4"/>
      <c r="GV317" s="4"/>
      <c r="GW317" s="4"/>
      <c r="GX317" s="4"/>
    </row>
    <row r="318">
      <c r="A318" s="2" t="s">
        <v>2316</v>
      </c>
      <c r="B318" s="2" t="s">
        <v>278</v>
      </c>
      <c r="C318" s="2" t="s">
        <v>2227</v>
      </c>
      <c r="D318" s="2" t="s">
        <v>280</v>
      </c>
      <c r="E318" s="2" t="s">
        <v>281</v>
      </c>
      <c r="F318" s="2" t="s">
        <v>2228</v>
      </c>
      <c r="G318" s="2" t="s">
        <v>2228</v>
      </c>
      <c r="H318" s="2" t="s">
        <v>2228</v>
      </c>
      <c r="I318" s="2" t="s">
        <v>2229</v>
      </c>
      <c r="J318" s="2" t="s">
        <v>222</v>
      </c>
      <c r="K318" s="2" t="s">
        <v>2317</v>
      </c>
      <c r="L318" s="3">
        <v>14.89</v>
      </c>
      <c r="M318" s="3">
        <v>15.63</v>
      </c>
      <c r="N318" s="3">
        <v>31.99</v>
      </c>
      <c r="O318" s="2" t="s">
        <v>224</v>
      </c>
      <c r="P318" s="2" t="s">
        <v>225</v>
      </c>
      <c r="Q318" s="2" t="s">
        <v>226</v>
      </c>
      <c r="R318" s="2" t="s">
        <v>227</v>
      </c>
      <c r="S318" s="2" t="s">
        <v>2318</v>
      </c>
      <c r="T318" s="2" t="s">
        <v>2100</v>
      </c>
      <c r="U318" s="2" t="s">
        <v>674</v>
      </c>
      <c r="V318" s="2" t="s">
        <v>2101</v>
      </c>
      <c r="W318" s="2" t="s">
        <v>705</v>
      </c>
      <c r="X318" s="2" t="s">
        <v>231</v>
      </c>
      <c r="Y318" s="2" t="s">
        <v>2319</v>
      </c>
      <c r="Z318" s="4">
        <v>287</v>
      </c>
      <c r="AA318" s="4">
        <f>=ROUNDDOWN(23.9166666666667,0)</f>
      </c>
      <c r="AB318" s="5">
        <v>12</v>
      </c>
      <c r="AC318" s="2" t="s">
        <v>1266</v>
      </c>
      <c r="AD318" s="4">
        <v>48</v>
      </c>
      <c r="AE318" s="4">
        <v>192</v>
      </c>
      <c r="AF318" s="6">
        <v>74</v>
      </c>
      <c r="AG318" s="6"/>
      <c r="AH318" s="7">
        <v>1</v>
      </c>
      <c r="AI318" s="4"/>
      <c r="AJ318" s="4">
        <f>=ROUNDDOWN({0},0)</f>
      </c>
      <c r="AK318" s="5"/>
      <c r="AL318" s="2" t="s">
        <v>227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227</v>
      </c>
      <c r="AW318" s="8" t="s">
        <v>227</v>
      </c>
      <c r="AX318" s="4" t="s">
        <v>227</v>
      </c>
      <c r="AY318" s="8" t="s">
        <v>227</v>
      </c>
      <c r="AZ318" s="7" t="s">
        <v>227</v>
      </c>
      <c r="BA318" s="7" t="s">
        <v>227</v>
      </c>
      <c r="BB318" s="7"/>
      <c r="BC318" s="4" t="s">
        <v>227</v>
      </c>
      <c r="BD318" s="8" t="s">
        <v>227</v>
      </c>
      <c r="BE318" s="4" t="s">
        <v>227</v>
      </c>
      <c r="BF318" s="8" t="s">
        <v>227</v>
      </c>
      <c r="BG318" s="7" t="s">
        <v>227</v>
      </c>
      <c r="BH318" s="7" t="s">
        <v>227</v>
      </c>
      <c r="BI318" s="7"/>
      <c r="BJ318" s="4">
        <v>11</v>
      </c>
      <c r="BK318" s="8">
        <v>188.89</v>
      </c>
      <c r="BL318" s="2" t="s">
        <v>2320</v>
      </c>
      <c r="BM318" s="7"/>
      <c r="BN318" s="7"/>
      <c r="BO318" s="4"/>
      <c r="BP318" s="8"/>
      <c r="BQ318" s="4"/>
      <c r="BR318" s="8"/>
      <c r="BS318" s="7"/>
      <c r="BT318" s="7"/>
      <c r="BU318" s="2" t="s">
        <v>2321</v>
      </c>
      <c r="BV318" s="2" t="s">
        <v>227</v>
      </c>
      <c r="BW318" s="2" t="s">
        <v>227</v>
      </c>
      <c r="BX318" s="2" t="s">
        <v>235</v>
      </c>
      <c r="BY318" s="2" t="s">
        <v>236</v>
      </c>
      <c r="BZ318" s="2" t="s">
        <v>224</v>
      </c>
      <c r="CA318" s="2" t="s">
        <v>2322</v>
      </c>
      <c r="CB318" s="2" t="s">
        <v>570</v>
      </c>
      <c r="CC318" s="2" t="s">
        <v>239</v>
      </c>
      <c r="CD318" s="2" t="s">
        <v>227</v>
      </c>
      <c r="CE318" s="4">
        <v>287</v>
      </c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>
        <v>48</v>
      </c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>
        <v>144</v>
      </c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/>
      <c r="GR318" s="4"/>
      <c r="GS318" s="4"/>
      <c r="GT318" s="4"/>
      <c r="GU318" s="4"/>
      <c r="GV318" s="4"/>
      <c r="GW318" s="4"/>
      <c r="GX318" s="4"/>
    </row>
    <row r="319">
      <c r="A319" s="2" t="s">
        <v>2323</v>
      </c>
      <c r="B319" s="2" t="s">
        <v>278</v>
      </c>
      <c r="C319" s="2" t="s">
        <v>2227</v>
      </c>
      <c r="D319" s="2" t="s">
        <v>280</v>
      </c>
      <c r="E319" s="2" t="s">
        <v>281</v>
      </c>
      <c r="F319" s="2" t="s">
        <v>2228</v>
      </c>
      <c r="G319" s="2" t="s">
        <v>2228</v>
      </c>
      <c r="H319" s="2" t="s">
        <v>2228</v>
      </c>
      <c r="I319" s="2" t="s">
        <v>2229</v>
      </c>
      <c r="J319" s="2" t="s">
        <v>247</v>
      </c>
      <c r="K319" s="2" t="s">
        <v>2317</v>
      </c>
      <c r="L319" s="3">
        <v>19.57</v>
      </c>
      <c r="M319" s="3">
        <v>20.55</v>
      </c>
      <c r="N319" s="3">
        <v>42.99</v>
      </c>
      <c r="O319" s="2" t="s">
        <v>224</v>
      </c>
      <c r="P319" s="2" t="s">
        <v>225</v>
      </c>
      <c r="Q319" s="2" t="s">
        <v>226</v>
      </c>
      <c r="R319" s="2" t="s">
        <v>227</v>
      </c>
      <c r="S319" s="2" t="s">
        <v>2318</v>
      </c>
      <c r="T319" s="2" t="s">
        <v>2100</v>
      </c>
      <c r="U319" s="2" t="s">
        <v>287</v>
      </c>
      <c r="V319" s="2" t="s">
        <v>2101</v>
      </c>
      <c r="W319" s="2" t="s">
        <v>705</v>
      </c>
      <c r="X319" s="2" t="s">
        <v>231</v>
      </c>
      <c r="Y319" s="2" t="s">
        <v>2319</v>
      </c>
      <c r="Z319" s="4">
        <v>355</v>
      </c>
      <c r="AA319" s="4">
        <f>=ROUNDDOWN(35.5,0)</f>
      </c>
      <c r="AB319" s="5">
        <v>10</v>
      </c>
      <c r="AC319" s="2" t="s">
        <v>1266</v>
      </c>
      <c r="AD319" s="4">
        <v>22</v>
      </c>
      <c r="AE319" s="4">
        <v>126</v>
      </c>
      <c r="AF319" s="6">
        <v>74</v>
      </c>
      <c r="AG319" s="6"/>
      <c r="AH319" s="7">
        <v>1</v>
      </c>
      <c r="AI319" s="4"/>
      <c r="AJ319" s="4">
        <f>=ROUNDDOWN({0},0)</f>
      </c>
      <c r="AK319" s="5"/>
      <c r="AL319" s="2" t="s">
        <v>227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227</v>
      </c>
      <c r="AW319" s="8" t="s">
        <v>227</v>
      </c>
      <c r="AX319" s="4" t="s">
        <v>227</v>
      </c>
      <c r="AY319" s="8" t="s">
        <v>227</v>
      </c>
      <c r="AZ319" s="7" t="s">
        <v>227</v>
      </c>
      <c r="BA319" s="7" t="s">
        <v>227</v>
      </c>
      <c r="BB319" s="7"/>
      <c r="BC319" s="4" t="s">
        <v>227</v>
      </c>
      <c r="BD319" s="8" t="s">
        <v>227</v>
      </c>
      <c r="BE319" s="4" t="s">
        <v>227</v>
      </c>
      <c r="BF319" s="8" t="s">
        <v>227</v>
      </c>
      <c r="BG319" s="7" t="s">
        <v>227</v>
      </c>
      <c r="BH319" s="7" t="s">
        <v>227</v>
      </c>
      <c r="BI319" s="7"/>
      <c r="BJ319" s="4">
        <v>58</v>
      </c>
      <c r="BK319" s="8">
        <v>1309.67</v>
      </c>
      <c r="BL319" s="2" t="s">
        <v>1728</v>
      </c>
      <c r="BM319" s="7"/>
      <c r="BN319" s="7"/>
      <c r="BO319" s="4"/>
      <c r="BP319" s="8"/>
      <c r="BQ319" s="4"/>
      <c r="BR319" s="8"/>
      <c r="BS319" s="7"/>
      <c r="BT319" s="7"/>
      <c r="BU319" s="2" t="s">
        <v>2324</v>
      </c>
      <c r="BV319" s="2" t="s">
        <v>227</v>
      </c>
      <c r="BW319" s="2" t="s">
        <v>227</v>
      </c>
      <c r="BX319" s="2" t="s">
        <v>235</v>
      </c>
      <c r="BY319" s="2" t="s">
        <v>236</v>
      </c>
      <c r="BZ319" s="2" t="s">
        <v>224</v>
      </c>
      <c r="CA319" s="2" t="s">
        <v>2322</v>
      </c>
      <c r="CB319" s="2" t="s">
        <v>2325</v>
      </c>
      <c r="CC319" s="2" t="s">
        <v>239</v>
      </c>
      <c r="CD319" s="2" t="s">
        <v>227</v>
      </c>
      <c r="CE319" s="4">
        <v>355</v>
      </c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>
        <v>22</v>
      </c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>
        <v>104</v>
      </c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  <c r="GR319" s="4"/>
      <c r="GS319" s="4"/>
      <c r="GT319" s="4"/>
      <c r="GU319" s="4"/>
      <c r="GV319" s="4"/>
      <c r="GW319" s="4"/>
      <c r="GX319" s="4"/>
    </row>
    <row r="320">
      <c r="A320" s="2" t="s">
        <v>2326</v>
      </c>
      <c r="B320" s="2" t="s">
        <v>278</v>
      </c>
      <c r="C320" s="2" t="s">
        <v>2227</v>
      </c>
      <c r="D320" s="2" t="s">
        <v>280</v>
      </c>
      <c r="E320" s="2" t="s">
        <v>281</v>
      </c>
      <c r="F320" s="2" t="s">
        <v>2228</v>
      </c>
      <c r="G320" s="2" t="s">
        <v>2228</v>
      </c>
      <c r="H320" s="2" t="s">
        <v>2228</v>
      </c>
      <c r="I320" s="2" t="s">
        <v>2229</v>
      </c>
      <c r="J320" s="2" t="s">
        <v>252</v>
      </c>
      <c r="K320" s="2" t="s">
        <v>2317</v>
      </c>
      <c r="L320" s="3">
        <v>22.21</v>
      </c>
      <c r="M320" s="3">
        <v>23.32</v>
      </c>
      <c r="N320" s="3">
        <v>47.99</v>
      </c>
      <c r="O320" s="2" t="s">
        <v>224</v>
      </c>
      <c r="P320" s="2" t="s">
        <v>485</v>
      </c>
      <c r="Q320" s="2" t="s">
        <v>226</v>
      </c>
      <c r="R320" s="2" t="s">
        <v>227</v>
      </c>
      <c r="S320" s="2" t="s">
        <v>2318</v>
      </c>
      <c r="T320" s="2" t="s">
        <v>2100</v>
      </c>
      <c r="U320" s="2" t="s">
        <v>287</v>
      </c>
      <c r="V320" s="2" t="s">
        <v>2101</v>
      </c>
      <c r="W320" s="2" t="s">
        <v>705</v>
      </c>
      <c r="X320" s="2" t="s">
        <v>231</v>
      </c>
      <c r="Y320" s="2" t="s">
        <v>2319</v>
      </c>
      <c r="Z320" s="4">
        <v>488</v>
      </c>
      <c r="AA320" s="4">
        <f>=ROUNDDOWN(30.5,0)</f>
      </c>
      <c r="AB320" s="5">
        <v>16</v>
      </c>
      <c r="AC320" s="2" t="s">
        <v>1266</v>
      </c>
      <c r="AD320" s="4">
        <v>143</v>
      </c>
      <c r="AE320" s="4">
        <v>338</v>
      </c>
      <c r="AF320" s="6">
        <v>74</v>
      </c>
      <c r="AG320" s="6"/>
      <c r="AH320" s="7">
        <v>1</v>
      </c>
      <c r="AI320" s="4"/>
      <c r="AJ320" s="4">
        <f>=ROUNDDOWN({0},0)</f>
      </c>
      <c r="AK320" s="5"/>
      <c r="AL320" s="2" t="s">
        <v>227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227</v>
      </c>
      <c r="AW320" s="8" t="s">
        <v>227</v>
      </c>
      <c r="AX320" s="4" t="s">
        <v>227</v>
      </c>
      <c r="AY320" s="8" t="s">
        <v>227</v>
      </c>
      <c r="AZ320" s="7" t="s">
        <v>227</v>
      </c>
      <c r="BA320" s="7" t="s">
        <v>227</v>
      </c>
      <c r="BB320" s="7"/>
      <c r="BC320" s="4" t="s">
        <v>227</v>
      </c>
      <c r="BD320" s="8" t="s">
        <v>227</v>
      </c>
      <c r="BE320" s="4" t="s">
        <v>227</v>
      </c>
      <c r="BF320" s="8" t="s">
        <v>227</v>
      </c>
      <c r="BG320" s="7" t="s">
        <v>227</v>
      </c>
      <c r="BH320" s="7" t="s">
        <v>227</v>
      </c>
      <c r="BI320" s="7"/>
      <c r="BJ320" s="4">
        <v>9</v>
      </c>
      <c r="BK320" s="8">
        <v>223.79</v>
      </c>
      <c r="BL320" s="2" t="s">
        <v>1314</v>
      </c>
      <c r="BM320" s="7"/>
      <c r="BN320" s="7"/>
      <c r="BO320" s="4"/>
      <c r="BP320" s="8"/>
      <c r="BQ320" s="4"/>
      <c r="BR320" s="8"/>
      <c r="BS320" s="7"/>
      <c r="BT320" s="7"/>
      <c r="BU320" s="2" t="s">
        <v>2327</v>
      </c>
      <c r="BV320" s="2" t="s">
        <v>227</v>
      </c>
      <c r="BW320" s="2" t="s">
        <v>227</v>
      </c>
      <c r="BX320" s="2" t="s">
        <v>235</v>
      </c>
      <c r="BY320" s="2" t="s">
        <v>236</v>
      </c>
      <c r="BZ320" s="2" t="s">
        <v>224</v>
      </c>
      <c r="CA320" s="2" t="s">
        <v>2322</v>
      </c>
      <c r="CB320" s="2" t="s">
        <v>1446</v>
      </c>
      <c r="CC320" s="2" t="s">
        <v>239</v>
      </c>
      <c r="CD320" s="2" t="s">
        <v>227</v>
      </c>
      <c r="CE320" s="4">
        <v>488</v>
      </c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>
        <v>143</v>
      </c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>
        <v>195</v>
      </c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/>
      <c r="GR320" s="4"/>
      <c r="GS320" s="4"/>
      <c r="GT320" s="4"/>
      <c r="GU320" s="4"/>
      <c r="GV320" s="4"/>
      <c r="GW320" s="4"/>
      <c r="GX320" s="4"/>
    </row>
    <row r="321">
      <c r="A321" s="2" t="s">
        <v>2328</v>
      </c>
      <c r="B321" s="2" t="s">
        <v>278</v>
      </c>
      <c r="C321" s="2" t="s">
        <v>2227</v>
      </c>
      <c r="D321" s="2" t="s">
        <v>280</v>
      </c>
      <c r="E321" s="2" t="s">
        <v>281</v>
      </c>
      <c r="F321" s="2" t="s">
        <v>2228</v>
      </c>
      <c r="G321" s="2" t="s">
        <v>2228</v>
      </c>
      <c r="H321" s="2" t="s">
        <v>2228</v>
      </c>
      <c r="I321" s="2" t="s">
        <v>2229</v>
      </c>
      <c r="J321" s="2" t="s">
        <v>257</v>
      </c>
      <c r="K321" s="2" t="s">
        <v>2317</v>
      </c>
      <c r="L321" s="3">
        <v>27.39</v>
      </c>
      <c r="M321" s="3">
        <v>28.76</v>
      </c>
      <c r="N321" s="3">
        <v>62.99</v>
      </c>
      <c r="O321" s="2" t="s">
        <v>224</v>
      </c>
      <c r="P321" s="2" t="s">
        <v>225</v>
      </c>
      <c r="Q321" s="2" t="s">
        <v>226</v>
      </c>
      <c r="R321" s="2" t="s">
        <v>227</v>
      </c>
      <c r="S321" s="2" t="s">
        <v>2318</v>
      </c>
      <c r="T321" s="2" t="s">
        <v>2100</v>
      </c>
      <c r="U321" s="2" t="s">
        <v>287</v>
      </c>
      <c r="V321" s="2" t="s">
        <v>2101</v>
      </c>
      <c r="W321" s="2" t="s">
        <v>705</v>
      </c>
      <c r="X321" s="2" t="s">
        <v>231</v>
      </c>
      <c r="Y321" s="2" t="s">
        <v>2319</v>
      </c>
      <c r="Z321" s="4">
        <v>203</v>
      </c>
      <c r="AA321" s="4">
        <f>=ROUNDDOWN(40.6,0)</f>
      </c>
      <c r="AB321" s="5">
        <v>5</v>
      </c>
      <c r="AC321" s="2" t="s">
        <v>1266</v>
      </c>
      <c r="AD321" s="4">
        <v>48</v>
      </c>
      <c r="AE321" s="4">
        <v>122</v>
      </c>
      <c r="AF321" s="6">
        <v>74</v>
      </c>
      <c r="AG321" s="6"/>
      <c r="AH321" s="7">
        <v>1</v>
      </c>
      <c r="AI321" s="4"/>
      <c r="AJ321" s="4">
        <f>=ROUNDDOWN({0},0)</f>
      </c>
      <c r="AK321" s="5"/>
      <c r="AL321" s="2" t="s">
        <v>227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227</v>
      </c>
      <c r="AW321" s="8" t="s">
        <v>227</v>
      </c>
      <c r="AX321" s="4" t="s">
        <v>227</v>
      </c>
      <c r="AY321" s="8" t="s">
        <v>227</v>
      </c>
      <c r="AZ321" s="7" t="s">
        <v>227</v>
      </c>
      <c r="BA321" s="7" t="s">
        <v>227</v>
      </c>
      <c r="BB321" s="7"/>
      <c r="BC321" s="4" t="s">
        <v>227</v>
      </c>
      <c r="BD321" s="8" t="s">
        <v>227</v>
      </c>
      <c r="BE321" s="4" t="s">
        <v>227</v>
      </c>
      <c r="BF321" s="8" t="s">
        <v>227</v>
      </c>
      <c r="BG321" s="7" t="s">
        <v>227</v>
      </c>
      <c r="BH321" s="7" t="s">
        <v>227</v>
      </c>
      <c r="BI321" s="7"/>
      <c r="BJ321" s="4">
        <v>15</v>
      </c>
      <c r="BK321" s="8">
        <v>466.79</v>
      </c>
      <c r="BL321" s="2" t="s">
        <v>1728</v>
      </c>
      <c r="BM321" s="7"/>
      <c r="BN321" s="7"/>
      <c r="BO321" s="4"/>
      <c r="BP321" s="8"/>
      <c r="BQ321" s="4"/>
      <c r="BR321" s="8"/>
      <c r="BS321" s="7"/>
      <c r="BT321" s="7"/>
      <c r="BU321" s="2" t="s">
        <v>2329</v>
      </c>
      <c r="BV321" s="2" t="s">
        <v>227</v>
      </c>
      <c r="BW321" s="2" t="s">
        <v>227</v>
      </c>
      <c r="BX321" s="2" t="s">
        <v>235</v>
      </c>
      <c r="BY321" s="2" t="s">
        <v>236</v>
      </c>
      <c r="BZ321" s="2" t="s">
        <v>224</v>
      </c>
      <c r="CA321" s="2" t="s">
        <v>2322</v>
      </c>
      <c r="CB321" s="2" t="s">
        <v>2330</v>
      </c>
      <c r="CC321" s="2" t="s">
        <v>239</v>
      </c>
      <c r="CD321" s="2" t="s">
        <v>227</v>
      </c>
      <c r="CE321" s="4">
        <v>203</v>
      </c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>
        <v>48</v>
      </c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>
        <v>74</v>
      </c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  <c r="GR321" s="4"/>
      <c r="GS321" s="4"/>
      <c r="GT321" s="4"/>
      <c r="GU321" s="4"/>
      <c r="GV321" s="4"/>
      <c r="GW321" s="4"/>
      <c r="GX321" s="4"/>
    </row>
    <row r="322">
      <c r="A322" s="2" t="s">
        <v>2331</v>
      </c>
      <c r="B322" s="2" t="s">
        <v>278</v>
      </c>
      <c r="C322" s="2" t="s">
        <v>2227</v>
      </c>
      <c r="D322" s="2" t="s">
        <v>280</v>
      </c>
      <c r="E322" s="2" t="s">
        <v>281</v>
      </c>
      <c r="F322" s="2" t="s">
        <v>2228</v>
      </c>
      <c r="G322" s="2" t="s">
        <v>2228</v>
      </c>
      <c r="H322" s="2" t="s">
        <v>2228</v>
      </c>
      <c r="I322" s="2" t="s">
        <v>2229</v>
      </c>
      <c r="J322" s="2" t="s">
        <v>384</v>
      </c>
      <c r="K322" s="2" t="s">
        <v>2317</v>
      </c>
      <c r="L322" s="3">
        <v>27.39</v>
      </c>
      <c r="M322" s="3">
        <v>28.76</v>
      </c>
      <c r="N322" s="3">
        <v>62.99</v>
      </c>
      <c r="O322" s="2" t="s">
        <v>224</v>
      </c>
      <c r="P322" s="2" t="s">
        <v>225</v>
      </c>
      <c r="Q322" s="2" t="s">
        <v>226</v>
      </c>
      <c r="R322" s="2" t="s">
        <v>227</v>
      </c>
      <c r="S322" s="2" t="s">
        <v>2318</v>
      </c>
      <c r="T322" s="2" t="s">
        <v>2100</v>
      </c>
      <c r="U322" s="2" t="s">
        <v>287</v>
      </c>
      <c r="V322" s="2" t="s">
        <v>2101</v>
      </c>
      <c r="W322" s="2" t="s">
        <v>705</v>
      </c>
      <c r="X322" s="2" t="s">
        <v>231</v>
      </c>
      <c r="Y322" s="2" t="s">
        <v>2319</v>
      </c>
      <c r="Z322" s="4">
        <v>166</v>
      </c>
      <c r="AA322" s="4">
        <f>=ROUNDDOWN(33.2,0)</f>
      </c>
      <c r="AB322" s="5">
        <v>5</v>
      </c>
      <c r="AC322" s="2" t="s">
        <v>1266</v>
      </c>
      <c r="AD322" s="4">
        <v>50</v>
      </c>
      <c r="AE322" s="4">
        <v>120</v>
      </c>
      <c r="AF322" s="6">
        <v>74</v>
      </c>
      <c r="AG322" s="6"/>
      <c r="AH322" s="7">
        <v>1</v>
      </c>
      <c r="AI322" s="4"/>
      <c r="AJ322" s="4">
        <f>=ROUNDDOWN({0},0)</f>
      </c>
      <c r="AK322" s="5"/>
      <c r="AL322" s="2" t="s">
        <v>227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227</v>
      </c>
      <c r="AW322" s="8" t="s">
        <v>227</v>
      </c>
      <c r="AX322" s="4" t="s">
        <v>227</v>
      </c>
      <c r="AY322" s="8" t="s">
        <v>227</v>
      </c>
      <c r="AZ322" s="7" t="s">
        <v>227</v>
      </c>
      <c r="BA322" s="7" t="s">
        <v>227</v>
      </c>
      <c r="BB322" s="7"/>
      <c r="BC322" s="4" t="s">
        <v>227</v>
      </c>
      <c r="BD322" s="8" t="s">
        <v>227</v>
      </c>
      <c r="BE322" s="4" t="s">
        <v>227</v>
      </c>
      <c r="BF322" s="8" t="s">
        <v>227</v>
      </c>
      <c r="BG322" s="7" t="s">
        <v>227</v>
      </c>
      <c r="BH322" s="7" t="s">
        <v>227</v>
      </c>
      <c r="BI322" s="7"/>
      <c r="BJ322" s="4">
        <v>6</v>
      </c>
      <c r="BK322" s="8">
        <v>192.75</v>
      </c>
      <c r="BL322" s="2" t="s">
        <v>2332</v>
      </c>
      <c r="BM322" s="7"/>
      <c r="BN322" s="7"/>
      <c r="BO322" s="4"/>
      <c r="BP322" s="8"/>
      <c r="BQ322" s="4"/>
      <c r="BR322" s="8"/>
      <c r="BS322" s="7"/>
      <c r="BT322" s="7"/>
      <c r="BU322" s="2" t="s">
        <v>2333</v>
      </c>
      <c r="BV322" s="2" t="s">
        <v>227</v>
      </c>
      <c r="BW322" s="2" t="s">
        <v>227</v>
      </c>
      <c r="BX322" s="2" t="s">
        <v>235</v>
      </c>
      <c r="BY322" s="2" t="s">
        <v>236</v>
      </c>
      <c r="BZ322" s="2" t="s">
        <v>224</v>
      </c>
      <c r="CA322" s="2" t="s">
        <v>2322</v>
      </c>
      <c r="CB322" s="2" t="s">
        <v>2334</v>
      </c>
      <c r="CC322" s="2" t="s">
        <v>239</v>
      </c>
      <c r="CD322" s="2" t="s">
        <v>227</v>
      </c>
      <c r="CE322" s="4">
        <v>166</v>
      </c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>
        <v>50</v>
      </c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>
        <v>70</v>
      </c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  <c r="GR322" s="4"/>
      <c r="GS322" s="4"/>
      <c r="GT322" s="4"/>
      <c r="GU322" s="4"/>
      <c r="GV322" s="4"/>
      <c r="GW322" s="4"/>
      <c r="GX322" s="4"/>
    </row>
    <row r="323">
      <c r="A323" s="2" t="s">
        <v>2335</v>
      </c>
      <c r="B323" s="2" t="s">
        <v>278</v>
      </c>
      <c r="C323" s="2" t="s">
        <v>2227</v>
      </c>
      <c r="D323" s="2" t="s">
        <v>280</v>
      </c>
      <c r="E323" s="2" t="s">
        <v>281</v>
      </c>
      <c r="F323" s="2" t="s">
        <v>2228</v>
      </c>
      <c r="G323" s="2" t="s">
        <v>2228</v>
      </c>
      <c r="H323" s="2" t="s">
        <v>2228</v>
      </c>
      <c r="I323" s="2" t="s">
        <v>2229</v>
      </c>
      <c r="J323" s="2" t="s">
        <v>222</v>
      </c>
      <c r="K323" s="2" t="s">
        <v>2336</v>
      </c>
      <c r="L323" s="3">
        <v>14.89</v>
      </c>
      <c r="M323" s="3">
        <v>15.63</v>
      </c>
      <c r="N323" s="3">
        <v>31.99</v>
      </c>
      <c r="O323" s="2" t="s">
        <v>224</v>
      </c>
      <c r="P323" s="2" t="s">
        <v>225</v>
      </c>
      <c r="Q323" s="2" t="s">
        <v>226</v>
      </c>
      <c r="R323" s="2" t="s">
        <v>227</v>
      </c>
      <c r="S323" s="2" t="s">
        <v>2337</v>
      </c>
      <c r="T323" s="2" t="s">
        <v>2100</v>
      </c>
      <c r="U323" s="2" t="s">
        <v>674</v>
      </c>
      <c r="V323" s="2" t="s">
        <v>2101</v>
      </c>
      <c r="W323" s="2" t="s">
        <v>705</v>
      </c>
      <c r="X323" s="2" t="s">
        <v>231</v>
      </c>
      <c r="Y323" s="2" t="s">
        <v>2338</v>
      </c>
      <c r="Z323" s="4">
        <v>466</v>
      </c>
      <c r="AA323" s="4">
        <f>=ROUNDDOWN(31.0666666666667,0)</f>
      </c>
      <c r="AB323" s="5">
        <v>15</v>
      </c>
      <c r="AC323" s="2" t="s">
        <v>1266</v>
      </c>
      <c r="AD323" s="4">
        <v>145</v>
      </c>
      <c r="AE323" s="4">
        <v>353</v>
      </c>
      <c r="AF323" s="6">
        <v>74</v>
      </c>
      <c r="AG323" s="6"/>
      <c r="AH323" s="7">
        <v>1</v>
      </c>
      <c r="AI323" s="4"/>
      <c r="AJ323" s="4">
        <f>=ROUNDDOWN({0},0)</f>
      </c>
      <c r="AK323" s="5"/>
      <c r="AL323" s="2" t="s">
        <v>227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227</v>
      </c>
      <c r="AW323" s="8" t="s">
        <v>227</v>
      </c>
      <c r="AX323" s="4" t="s">
        <v>227</v>
      </c>
      <c r="AY323" s="8" t="s">
        <v>227</v>
      </c>
      <c r="AZ323" s="7" t="s">
        <v>227</v>
      </c>
      <c r="BA323" s="7" t="s">
        <v>227</v>
      </c>
      <c r="BB323" s="7"/>
      <c r="BC323" s="4" t="s">
        <v>227</v>
      </c>
      <c r="BD323" s="8" t="s">
        <v>227</v>
      </c>
      <c r="BE323" s="4" t="s">
        <v>227</v>
      </c>
      <c r="BF323" s="8" t="s">
        <v>227</v>
      </c>
      <c r="BG323" s="7" t="s">
        <v>227</v>
      </c>
      <c r="BH323" s="7" t="s">
        <v>227</v>
      </c>
      <c r="BI323" s="7"/>
      <c r="BJ323" s="4">
        <v>17</v>
      </c>
      <c r="BK323" s="8">
        <v>288.76</v>
      </c>
      <c r="BL323" s="2" t="s">
        <v>2339</v>
      </c>
      <c r="BM323" s="7"/>
      <c r="BN323" s="7"/>
      <c r="BO323" s="4"/>
      <c r="BP323" s="8"/>
      <c r="BQ323" s="4"/>
      <c r="BR323" s="8"/>
      <c r="BS323" s="7"/>
      <c r="BT323" s="7"/>
      <c r="BU323" s="2" t="s">
        <v>2340</v>
      </c>
      <c r="BV323" s="2" t="s">
        <v>227</v>
      </c>
      <c r="BW323" s="2" t="s">
        <v>227</v>
      </c>
      <c r="BX323" s="2" t="s">
        <v>235</v>
      </c>
      <c r="BY323" s="2" t="s">
        <v>236</v>
      </c>
      <c r="BZ323" s="2" t="s">
        <v>224</v>
      </c>
      <c r="CA323" s="2" t="s">
        <v>2322</v>
      </c>
      <c r="CB323" s="2" t="s">
        <v>314</v>
      </c>
      <c r="CC323" s="2" t="s">
        <v>239</v>
      </c>
      <c r="CD323" s="2" t="s">
        <v>227</v>
      </c>
      <c r="CE323" s="4">
        <v>466</v>
      </c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>
        <v>145</v>
      </c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>
        <v>208</v>
      </c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  <c r="GR323" s="4"/>
      <c r="GS323" s="4"/>
      <c r="GT323" s="4"/>
      <c r="GU323" s="4"/>
      <c r="GV323" s="4"/>
      <c r="GW323" s="4"/>
      <c r="GX323" s="4"/>
    </row>
    <row r="324">
      <c r="A324" s="2" t="s">
        <v>2341</v>
      </c>
      <c r="B324" s="2" t="s">
        <v>278</v>
      </c>
      <c r="C324" s="2" t="s">
        <v>2227</v>
      </c>
      <c r="D324" s="2" t="s">
        <v>280</v>
      </c>
      <c r="E324" s="2" t="s">
        <v>281</v>
      </c>
      <c r="F324" s="2" t="s">
        <v>2228</v>
      </c>
      <c r="G324" s="2" t="s">
        <v>2228</v>
      </c>
      <c r="H324" s="2" t="s">
        <v>2228</v>
      </c>
      <c r="I324" s="2" t="s">
        <v>2229</v>
      </c>
      <c r="J324" s="2" t="s">
        <v>241</v>
      </c>
      <c r="K324" s="2" t="s">
        <v>2336</v>
      </c>
      <c r="L324" s="3">
        <v>16.16</v>
      </c>
      <c r="M324" s="3">
        <v>16.97</v>
      </c>
      <c r="N324" s="3">
        <v>34.99</v>
      </c>
      <c r="O324" s="2" t="s">
        <v>224</v>
      </c>
      <c r="P324" s="2" t="s">
        <v>225</v>
      </c>
      <c r="Q324" s="2" t="s">
        <v>226</v>
      </c>
      <c r="R324" s="2" t="s">
        <v>227</v>
      </c>
      <c r="S324" s="2" t="s">
        <v>2337</v>
      </c>
      <c r="T324" s="2" t="s">
        <v>2100</v>
      </c>
      <c r="U324" s="2" t="s">
        <v>674</v>
      </c>
      <c r="V324" s="2" t="s">
        <v>2101</v>
      </c>
      <c r="W324" s="2" t="s">
        <v>705</v>
      </c>
      <c r="X324" s="2" t="s">
        <v>231</v>
      </c>
      <c r="Y324" s="2" t="s">
        <v>2338</v>
      </c>
      <c r="Z324" s="4">
        <v>66</v>
      </c>
      <c r="AA324" s="4">
        <f>=ROUNDDOWN(2.35714285714286,0)</f>
      </c>
      <c r="AB324" s="5">
        <v>28</v>
      </c>
      <c r="AC324" s="2" t="s">
        <v>810</v>
      </c>
      <c r="AD324" s="4">
        <v>66</v>
      </c>
      <c r="AE324" s="4">
        <v>66</v>
      </c>
      <c r="AF324" s="6">
        <v>74</v>
      </c>
      <c r="AG324" s="6"/>
      <c r="AH324" s="7">
        <v>1</v>
      </c>
      <c r="AI324" s="4"/>
      <c r="AJ324" s="4">
        <f>=ROUNDDOWN({0},0)</f>
      </c>
      <c r="AK324" s="5"/>
      <c r="AL324" s="2" t="s">
        <v>227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227</v>
      </c>
      <c r="AW324" s="8" t="s">
        <v>227</v>
      </c>
      <c r="AX324" s="4" t="s">
        <v>227</v>
      </c>
      <c r="AY324" s="8" t="s">
        <v>227</v>
      </c>
      <c r="AZ324" s="7" t="s">
        <v>227</v>
      </c>
      <c r="BA324" s="7" t="s">
        <v>227</v>
      </c>
      <c r="BB324" s="7"/>
      <c r="BC324" s="4" t="s">
        <v>227</v>
      </c>
      <c r="BD324" s="8" t="s">
        <v>227</v>
      </c>
      <c r="BE324" s="4" t="s">
        <v>227</v>
      </c>
      <c r="BF324" s="8" t="s">
        <v>227</v>
      </c>
      <c r="BG324" s="7" t="s">
        <v>227</v>
      </c>
      <c r="BH324" s="7" t="s">
        <v>227</v>
      </c>
      <c r="BI324" s="7"/>
      <c r="BJ324" s="4">
        <v>101</v>
      </c>
      <c r="BK324" s="8">
        <v>1882.86</v>
      </c>
      <c r="BL324" s="2" t="s">
        <v>2342</v>
      </c>
      <c r="BM324" s="7"/>
      <c r="BN324" s="7"/>
      <c r="BO324" s="4"/>
      <c r="BP324" s="8"/>
      <c r="BQ324" s="4"/>
      <c r="BR324" s="8"/>
      <c r="BS324" s="7"/>
      <c r="BT324" s="7"/>
      <c r="BU324" s="2" t="s">
        <v>2343</v>
      </c>
      <c r="BV324" s="2" t="s">
        <v>227</v>
      </c>
      <c r="BW324" s="2" t="s">
        <v>227</v>
      </c>
      <c r="BX324" s="2" t="s">
        <v>235</v>
      </c>
      <c r="BY324" s="2" t="s">
        <v>236</v>
      </c>
      <c r="BZ324" s="2" t="s">
        <v>224</v>
      </c>
      <c r="CA324" s="2" t="s">
        <v>2322</v>
      </c>
      <c r="CB324" s="2" t="s">
        <v>2344</v>
      </c>
      <c r="CC324" s="2" t="s">
        <v>239</v>
      </c>
      <c r="CD324" s="2" t="s">
        <v>227</v>
      </c>
      <c r="CE324" s="4">
        <v>66</v>
      </c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>
        <v>66</v>
      </c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  <c r="GR324" s="4"/>
      <c r="GS324" s="4"/>
      <c r="GT324" s="4"/>
      <c r="GU324" s="4"/>
      <c r="GV324" s="4"/>
      <c r="GW324" s="4"/>
      <c r="GX324" s="4"/>
    </row>
    <row r="325">
      <c r="A325" s="2" t="s">
        <v>2345</v>
      </c>
      <c r="B325" s="2" t="s">
        <v>278</v>
      </c>
      <c r="C325" s="2" t="s">
        <v>2227</v>
      </c>
      <c r="D325" s="2" t="s">
        <v>280</v>
      </c>
      <c r="E325" s="2" t="s">
        <v>281</v>
      </c>
      <c r="F325" s="2" t="s">
        <v>2228</v>
      </c>
      <c r="G325" s="2" t="s">
        <v>2228</v>
      </c>
      <c r="H325" s="2" t="s">
        <v>2228</v>
      </c>
      <c r="I325" s="2" t="s">
        <v>2229</v>
      </c>
      <c r="J325" s="2" t="s">
        <v>247</v>
      </c>
      <c r="K325" s="2" t="s">
        <v>2336</v>
      </c>
      <c r="L325" s="3">
        <v>19.57</v>
      </c>
      <c r="M325" s="3">
        <v>20.55</v>
      </c>
      <c r="N325" s="3">
        <v>42.99</v>
      </c>
      <c r="O325" s="2" t="s">
        <v>224</v>
      </c>
      <c r="P325" s="2" t="s">
        <v>225</v>
      </c>
      <c r="Q325" s="2" t="s">
        <v>226</v>
      </c>
      <c r="R325" s="2" t="s">
        <v>227</v>
      </c>
      <c r="S325" s="2" t="s">
        <v>2337</v>
      </c>
      <c r="T325" s="2" t="s">
        <v>2100</v>
      </c>
      <c r="U325" s="2" t="s">
        <v>287</v>
      </c>
      <c r="V325" s="2" t="s">
        <v>2101</v>
      </c>
      <c r="W325" s="2" t="s">
        <v>705</v>
      </c>
      <c r="X325" s="2" t="s">
        <v>231</v>
      </c>
      <c r="Y325" s="2" t="s">
        <v>2338</v>
      </c>
      <c r="Z325" s="4">
        <v>392</v>
      </c>
      <c r="AA325" s="4">
        <f>=ROUNDDOWN(21.7777777777778,0)</f>
      </c>
      <c r="AB325" s="5">
        <v>18</v>
      </c>
      <c r="AC325" s="2" t="s">
        <v>1266</v>
      </c>
      <c r="AD325" s="4">
        <v>160</v>
      </c>
      <c r="AE325" s="4">
        <v>385</v>
      </c>
      <c r="AF325" s="6">
        <v>74</v>
      </c>
      <c r="AG325" s="6"/>
      <c r="AH325" s="7">
        <v>1</v>
      </c>
      <c r="AI325" s="4"/>
      <c r="AJ325" s="4">
        <f>=ROUNDDOWN({0},0)</f>
      </c>
      <c r="AK325" s="5"/>
      <c r="AL325" s="2" t="s">
        <v>227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227</v>
      </c>
      <c r="AW325" s="8" t="s">
        <v>227</v>
      </c>
      <c r="AX325" s="4" t="s">
        <v>227</v>
      </c>
      <c r="AY325" s="8" t="s">
        <v>227</v>
      </c>
      <c r="AZ325" s="7" t="s">
        <v>227</v>
      </c>
      <c r="BA325" s="7" t="s">
        <v>227</v>
      </c>
      <c r="BB325" s="7"/>
      <c r="BC325" s="4" t="s">
        <v>227</v>
      </c>
      <c r="BD325" s="8" t="s">
        <v>227</v>
      </c>
      <c r="BE325" s="4" t="s">
        <v>227</v>
      </c>
      <c r="BF325" s="8" t="s">
        <v>227</v>
      </c>
      <c r="BG325" s="7" t="s">
        <v>227</v>
      </c>
      <c r="BH325" s="7" t="s">
        <v>227</v>
      </c>
      <c r="BI325" s="7"/>
      <c r="BJ325" s="4">
        <v>37</v>
      </c>
      <c r="BK325" s="8">
        <v>854.13</v>
      </c>
      <c r="BL325" s="2" t="s">
        <v>2346</v>
      </c>
      <c r="BM325" s="7"/>
      <c r="BN325" s="7"/>
      <c r="BO325" s="4"/>
      <c r="BP325" s="8"/>
      <c r="BQ325" s="4"/>
      <c r="BR325" s="8"/>
      <c r="BS325" s="7"/>
      <c r="BT325" s="7"/>
      <c r="BU325" s="2" t="s">
        <v>2347</v>
      </c>
      <c r="BV325" s="2" t="s">
        <v>227</v>
      </c>
      <c r="BW325" s="2" t="s">
        <v>227</v>
      </c>
      <c r="BX325" s="2" t="s">
        <v>235</v>
      </c>
      <c r="BY325" s="2" t="s">
        <v>236</v>
      </c>
      <c r="BZ325" s="2" t="s">
        <v>224</v>
      </c>
      <c r="CA325" s="2" t="s">
        <v>2322</v>
      </c>
      <c r="CB325" s="2" t="s">
        <v>2010</v>
      </c>
      <c r="CC325" s="2" t="s">
        <v>239</v>
      </c>
      <c r="CD325" s="2" t="s">
        <v>227</v>
      </c>
      <c r="CE325" s="4">
        <v>392</v>
      </c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>
        <v>160</v>
      </c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>
        <v>225</v>
      </c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  <c r="GT325" s="4"/>
      <c r="GU325" s="4"/>
      <c r="GV325" s="4"/>
      <c r="GW325" s="4"/>
      <c r="GX325" s="4"/>
    </row>
    <row r="326">
      <c r="A326" s="2" t="s">
        <v>2348</v>
      </c>
      <c r="B326" s="2" t="s">
        <v>278</v>
      </c>
      <c r="C326" s="2" t="s">
        <v>2227</v>
      </c>
      <c r="D326" s="2" t="s">
        <v>280</v>
      </c>
      <c r="E326" s="2" t="s">
        <v>281</v>
      </c>
      <c r="F326" s="2" t="s">
        <v>2228</v>
      </c>
      <c r="G326" s="2" t="s">
        <v>2228</v>
      </c>
      <c r="H326" s="2" t="s">
        <v>2228</v>
      </c>
      <c r="I326" s="2" t="s">
        <v>2229</v>
      </c>
      <c r="J326" s="2" t="s">
        <v>252</v>
      </c>
      <c r="K326" s="2" t="s">
        <v>2336</v>
      </c>
      <c r="L326" s="3">
        <v>22.21</v>
      </c>
      <c r="M326" s="3">
        <v>23.32</v>
      </c>
      <c r="N326" s="3">
        <v>47.99</v>
      </c>
      <c r="O326" s="2" t="s">
        <v>224</v>
      </c>
      <c r="P326" s="2" t="s">
        <v>550</v>
      </c>
      <c r="Q326" s="2" t="s">
        <v>226</v>
      </c>
      <c r="R326" s="2" t="s">
        <v>227</v>
      </c>
      <c r="S326" s="2" t="s">
        <v>2337</v>
      </c>
      <c r="T326" s="2" t="s">
        <v>2100</v>
      </c>
      <c r="U326" s="2" t="s">
        <v>287</v>
      </c>
      <c r="V326" s="2" t="s">
        <v>2101</v>
      </c>
      <c r="W326" s="2" t="s">
        <v>705</v>
      </c>
      <c r="X326" s="2" t="s">
        <v>231</v>
      </c>
      <c r="Y326" s="2" t="s">
        <v>2349</v>
      </c>
      <c r="Z326" s="4">
        <v>4</v>
      </c>
      <c r="AA326" s="4">
        <f>=ROUNDDOWN(0.0930232558139535,0)</f>
      </c>
      <c r="AB326" s="5">
        <v>43</v>
      </c>
      <c r="AC326" s="2" t="s">
        <v>2297</v>
      </c>
      <c r="AD326" s="4">
        <v>70</v>
      </c>
      <c r="AE326" s="4">
        <v>518</v>
      </c>
      <c r="AF326" s="6">
        <v>74</v>
      </c>
      <c r="AG326" s="6"/>
      <c r="AH326" s="7">
        <v>0.2581</v>
      </c>
      <c r="AI326" s="4"/>
      <c r="AJ326" s="4">
        <f>=ROUNDDOWN({0},0)</f>
      </c>
      <c r="AK326" s="5"/>
      <c r="AL326" s="2" t="s">
        <v>227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227</v>
      </c>
      <c r="AW326" s="8" t="s">
        <v>227</v>
      </c>
      <c r="AX326" s="4" t="s">
        <v>227</v>
      </c>
      <c r="AY326" s="8" t="s">
        <v>227</v>
      </c>
      <c r="AZ326" s="7" t="s">
        <v>227</v>
      </c>
      <c r="BA326" s="7" t="s">
        <v>227</v>
      </c>
      <c r="BB326" s="7"/>
      <c r="BC326" s="4" t="s">
        <v>227</v>
      </c>
      <c r="BD326" s="8" t="s">
        <v>227</v>
      </c>
      <c r="BE326" s="4" t="s">
        <v>227</v>
      </c>
      <c r="BF326" s="8" t="s">
        <v>227</v>
      </c>
      <c r="BG326" s="7" t="s">
        <v>227</v>
      </c>
      <c r="BH326" s="7" t="s">
        <v>227</v>
      </c>
      <c r="BI326" s="7"/>
      <c r="BJ326" s="4">
        <v>7</v>
      </c>
      <c r="BK326" s="8">
        <v>178.78</v>
      </c>
      <c r="BL326" s="2" t="s">
        <v>664</v>
      </c>
      <c r="BM326" s="7"/>
      <c r="BN326" s="7"/>
      <c r="BO326" s="4"/>
      <c r="BP326" s="8"/>
      <c r="BQ326" s="4"/>
      <c r="BR326" s="8"/>
      <c r="BS326" s="7"/>
      <c r="BT326" s="7"/>
      <c r="BU326" s="2" t="s">
        <v>2350</v>
      </c>
      <c r="BV326" s="2" t="s">
        <v>227</v>
      </c>
      <c r="BW326" s="2" t="s">
        <v>227</v>
      </c>
      <c r="BX326" s="2" t="s">
        <v>235</v>
      </c>
      <c r="BY326" s="2" t="s">
        <v>236</v>
      </c>
      <c r="BZ326" s="2" t="s">
        <v>224</v>
      </c>
      <c r="CA326" s="2" t="s">
        <v>2322</v>
      </c>
      <c r="CB326" s="2" t="s">
        <v>567</v>
      </c>
      <c r="CC326" s="2" t="s">
        <v>239</v>
      </c>
      <c r="CD326" s="2" t="s">
        <v>227</v>
      </c>
      <c r="CE326" s="4">
        <v>4</v>
      </c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>
        <v>70</v>
      </c>
      <c r="DN326" s="4"/>
      <c r="DO326" s="4"/>
      <c r="DP326" s="4"/>
      <c r="DQ326" s="4"/>
      <c r="DR326" s="4">
        <v>188</v>
      </c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>
        <v>260</v>
      </c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/>
      <c r="GR326" s="4"/>
      <c r="GS326" s="4"/>
      <c r="GT326" s="4"/>
      <c r="GU326" s="4"/>
      <c r="GV326" s="4"/>
      <c r="GW326" s="4"/>
      <c r="GX326" s="4"/>
    </row>
    <row r="327">
      <c r="A327" s="2" t="s">
        <v>2351</v>
      </c>
      <c r="B327" s="2" t="s">
        <v>278</v>
      </c>
      <c r="C327" s="2" t="s">
        <v>2227</v>
      </c>
      <c r="D327" s="2" t="s">
        <v>280</v>
      </c>
      <c r="E327" s="2" t="s">
        <v>281</v>
      </c>
      <c r="F327" s="2" t="s">
        <v>2228</v>
      </c>
      <c r="G327" s="2" t="s">
        <v>2228</v>
      </c>
      <c r="H327" s="2" t="s">
        <v>2228</v>
      </c>
      <c r="I327" s="2" t="s">
        <v>2229</v>
      </c>
      <c r="J327" s="2" t="s">
        <v>257</v>
      </c>
      <c r="K327" s="2" t="s">
        <v>2336</v>
      </c>
      <c r="L327" s="3">
        <v>27.39</v>
      </c>
      <c r="M327" s="3">
        <v>28.76</v>
      </c>
      <c r="N327" s="3">
        <v>62.99</v>
      </c>
      <c r="O327" s="2" t="s">
        <v>224</v>
      </c>
      <c r="P327" s="2" t="s">
        <v>225</v>
      </c>
      <c r="Q327" s="2" t="s">
        <v>226</v>
      </c>
      <c r="R327" s="2" t="s">
        <v>227</v>
      </c>
      <c r="S327" s="2" t="s">
        <v>2337</v>
      </c>
      <c r="T327" s="2" t="s">
        <v>2100</v>
      </c>
      <c r="U327" s="2" t="s">
        <v>287</v>
      </c>
      <c r="V327" s="2" t="s">
        <v>2101</v>
      </c>
      <c r="W327" s="2" t="s">
        <v>705</v>
      </c>
      <c r="X327" s="2" t="s">
        <v>231</v>
      </c>
      <c r="Y327" s="2" t="s">
        <v>2338</v>
      </c>
      <c r="Z327" s="4">
        <v>198</v>
      </c>
      <c r="AA327" s="4">
        <f>=ROUNDDOWN(22,0)</f>
      </c>
      <c r="AB327" s="5">
        <v>9</v>
      </c>
      <c r="AC327" s="2" t="s">
        <v>1266</v>
      </c>
      <c r="AD327" s="4">
        <v>80</v>
      </c>
      <c r="AE327" s="4">
        <v>187</v>
      </c>
      <c r="AF327" s="6">
        <v>74</v>
      </c>
      <c r="AG327" s="6"/>
      <c r="AH327" s="7">
        <v>1</v>
      </c>
      <c r="AI327" s="4"/>
      <c r="AJ327" s="4">
        <f>=ROUNDDOWN({0},0)</f>
      </c>
      <c r="AK327" s="5"/>
      <c r="AL327" s="2" t="s">
        <v>227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227</v>
      </c>
      <c r="AW327" s="8" t="s">
        <v>227</v>
      </c>
      <c r="AX327" s="4" t="s">
        <v>227</v>
      </c>
      <c r="AY327" s="8" t="s">
        <v>227</v>
      </c>
      <c r="AZ327" s="7" t="s">
        <v>227</v>
      </c>
      <c r="BA327" s="7" t="s">
        <v>227</v>
      </c>
      <c r="BB327" s="7"/>
      <c r="BC327" s="4" t="s">
        <v>227</v>
      </c>
      <c r="BD327" s="8" t="s">
        <v>227</v>
      </c>
      <c r="BE327" s="4" t="s">
        <v>227</v>
      </c>
      <c r="BF327" s="8" t="s">
        <v>227</v>
      </c>
      <c r="BG327" s="7" t="s">
        <v>227</v>
      </c>
      <c r="BH327" s="7" t="s">
        <v>227</v>
      </c>
      <c r="BI327" s="7"/>
      <c r="BJ327" s="4">
        <v>30</v>
      </c>
      <c r="BK327" s="8">
        <v>969.94</v>
      </c>
      <c r="BL327" s="2" t="s">
        <v>2352</v>
      </c>
      <c r="BM327" s="7"/>
      <c r="BN327" s="7"/>
      <c r="BO327" s="4"/>
      <c r="BP327" s="8"/>
      <c r="BQ327" s="4"/>
      <c r="BR327" s="8"/>
      <c r="BS327" s="7"/>
      <c r="BT327" s="7"/>
      <c r="BU327" s="2" t="s">
        <v>2353</v>
      </c>
      <c r="BV327" s="2" t="s">
        <v>227</v>
      </c>
      <c r="BW327" s="2" t="s">
        <v>227</v>
      </c>
      <c r="BX327" s="2" t="s">
        <v>235</v>
      </c>
      <c r="BY327" s="2" t="s">
        <v>236</v>
      </c>
      <c r="BZ327" s="2" t="s">
        <v>224</v>
      </c>
      <c r="CA327" s="2" t="s">
        <v>2322</v>
      </c>
      <c r="CB327" s="2" t="s">
        <v>1341</v>
      </c>
      <c r="CC327" s="2" t="s">
        <v>239</v>
      </c>
      <c r="CD327" s="2" t="s">
        <v>227</v>
      </c>
      <c r="CE327" s="4">
        <v>198</v>
      </c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>
        <v>80</v>
      </c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>
        <v>107</v>
      </c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/>
      <c r="GR327" s="4"/>
      <c r="GS327" s="4"/>
      <c r="GT327" s="4"/>
      <c r="GU327" s="4"/>
      <c r="GV327" s="4"/>
      <c r="GW327" s="4"/>
      <c r="GX327" s="4"/>
    </row>
    <row r="328">
      <c r="A328" s="2" t="s">
        <v>2354</v>
      </c>
      <c r="B328" s="2" t="s">
        <v>278</v>
      </c>
      <c r="C328" s="2" t="s">
        <v>2227</v>
      </c>
      <c r="D328" s="2" t="s">
        <v>280</v>
      </c>
      <c r="E328" s="2" t="s">
        <v>281</v>
      </c>
      <c r="F328" s="2" t="s">
        <v>2228</v>
      </c>
      <c r="G328" s="2" t="s">
        <v>2228</v>
      </c>
      <c r="H328" s="2" t="s">
        <v>2228</v>
      </c>
      <c r="I328" s="2" t="s">
        <v>2229</v>
      </c>
      <c r="J328" s="2" t="s">
        <v>384</v>
      </c>
      <c r="K328" s="2" t="s">
        <v>2336</v>
      </c>
      <c r="L328" s="3">
        <v>27.39</v>
      </c>
      <c r="M328" s="3">
        <v>28.76</v>
      </c>
      <c r="N328" s="3">
        <v>62.99</v>
      </c>
      <c r="O328" s="2" t="s">
        <v>224</v>
      </c>
      <c r="P328" s="2" t="s">
        <v>225</v>
      </c>
      <c r="Q328" s="2" t="s">
        <v>226</v>
      </c>
      <c r="R328" s="2" t="s">
        <v>227</v>
      </c>
      <c r="S328" s="2" t="s">
        <v>2337</v>
      </c>
      <c r="T328" s="2" t="s">
        <v>2100</v>
      </c>
      <c r="U328" s="2" t="s">
        <v>287</v>
      </c>
      <c r="V328" s="2" t="s">
        <v>2101</v>
      </c>
      <c r="W328" s="2" t="s">
        <v>705</v>
      </c>
      <c r="X328" s="2" t="s">
        <v>231</v>
      </c>
      <c r="Y328" s="2" t="s">
        <v>2338</v>
      </c>
      <c r="Z328" s="4">
        <v>119</v>
      </c>
      <c r="AA328" s="4">
        <f>=ROUNDDOWN(39.6666666666667,0)</f>
      </c>
      <c r="AB328" s="5">
        <v>3</v>
      </c>
      <c r="AC328" s="2" t="s">
        <v>1266</v>
      </c>
      <c r="AD328" s="4">
        <v>35</v>
      </c>
      <c r="AE328" s="4">
        <v>85</v>
      </c>
      <c r="AF328" s="6">
        <v>74</v>
      </c>
      <c r="AG328" s="6"/>
      <c r="AH328" s="7">
        <v>1</v>
      </c>
      <c r="AI328" s="4"/>
      <c r="AJ328" s="4">
        <f>=ROUNDDOWN({0},0)</f>
      </c>
      <c r="AK328" s="5"/>
      <c r="AL328" s="2" t="s">
        <v>227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227</v>
      </c>
      <c r="AW328" s="8" t="s">
        <v>227</v>
      </c>
      <c r="AX328" s="4" t="s">
        <v>227</v>
      </c>
      <c r="AY328" s="8" t="s">
        <v>227</v>
      </c>
      <c r="AZ328" s="7" t="s">
        <v>227</v>
      </c>
      <c r="BA328" s="7" t="s">
        <v>227</v>
      </c>
      <c r="BB328" s="7"/>
      <c r="BC328" s="4" t="s">
        <v>227</v>
      </c>
      <c r="BD328" s="8" t="s">
        <v>227</v>
      </c>
      <c r="BE328" s="4" t="s">
        <v>227</v>
      </c>
      <c r="BF328" s="8" t="s">
        <v>227</v>
      </c>
      <c r="BG328" s="7" t="s">
        <v>227</v>
      </c>
      <c r="BH328" s="7" t="s">
        <v>227</v>
      </c>
      <c r="BI328" s="7"/>
      <c r="BJ328" s="4">
        <v>5</v>
      </c>
      <c r="BK328" s="8">
        <v>162.49</v>
      </c>
      <c r="BL328" s="2" t="s">
        <v>2355</v>
      </c>
      <c r="BM328" s="7"/>
      <c r="BN328" s="7"/>
      <c r="BO328" s="4"/>
      <c r="BP328" s="8"/>
      <c r="BQ328" s="4"/>
      <c r="BR328" s="8"/>
      <c r="BS328" s="7"/>
      <c r="BT328" s="7"/>
      <c r="BU328" s="2" t="s">
        <v>2356</v>
      </c>
      <c r="BV328" s="2" t="s">
        <v>227</v>
      </c>
      <c r="BW328" s="2" t="s">
        <v>227</v>
      </c>
      <c r="BX328" s="2" t="s">
        <v>235</v>
      </c>
      <c r="BY328" s="2" t="s">
        <v>236</v>
      </c>
      <c r="BZ328" s="2" t="s">
        <v>224</v>
      </c>
      <c r="CA328" s="2" t="s">
        <v>2322</v>
      </c>
      <c r="CB328" s="2" t="s">
        <v>2357</v>
      </c>
      <c r="CC328" s="2" t="s">
        <v>239</v>
      </c>
      <c r="CD328" s="2" t="s">
        <v>227</v>
      </c>
      <c r="CE328" s="4">
        <v>119</v>
      </c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>
        <v>35</v>
      </c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>
        <v>50</v>
      </c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  <c r="GT328" s="4"/>
      <c r="GU328" s="4"/>
      <c r="GV328" s="4"/>
      <c r="GW328" s="4"/>
      <c r="GX328" s="4"/>
    </row>
    <row r="329">
      <c r="A329" s="2" t="s">
        <v>2358</v>
      </c>
      <c r="B329" s="2" t="s">
        <v>278</v>
      </c>
      <c r="C329" s="2" t="s">
        <v>2227</v>
      </c>
      <c r="D329" s="2" t="s">
        <v>280</v>
      </c>
      <c r="E329" s="2" t="s">
        <v>281</v>
      </c>
      <c r="F329" s="2" t="s">
        <v>2228</v>
      </c>
      <c r="G329" s="2" t="s">
        <v>2228</v>
      </c>
      <c r="H329" s="2" t="s">
        <v>2228</v>
      </c>
      <c r="I329" s="2" t="s">
        <v>2229</v>
      </c>
      <c r="J329" s="2" t="s">
        <v>257</v>
      </c>
      <c r="K329" s="2" t="s">
        <v>2359</v>
      </c>
      <c r="L329" s="3">
        <v>27.39</v>
      </c>
      <c r="M329" s="3">
        <v>28.76</v>
      </c>
      <c r="N329" s="3">
        <v>62.99</v>
      </c>
      <c r="O329" s="2" t="s">
        <v>224</v>
      </c>
      <c r="P329" s="2" t="s">
        <v>225</v>
      </c>
      <c r="Q329" s="2" t="s">
        <v>226</v>
      </c>
      <c r="R329" s="2" t="s">
        <v>227</v>
      </c>
      <c r="S329" s="2" t="s">
        <v>2360</v>
      </c>
      <c r="T329" s="2" t="s">
        <v>2100</v>
      </c>
      <c r="U329" s="2" t="s">
        <v>287</v>
      </c>
      <c r="V329" s="2" t="s">
        <v>2101</v>
      </c>
      <c r="W329" s="2" t="s">
        <v>231</v>
      </c>
      <c r="X329" s="2" t="s">
        <v>705</v>
      </c>
      <c r="Y329" s="2" t="s">
        <v>2233</v>
      </c>
      <c r="Z329" s="4">
        <v>283</v>
      </c>
      <c r="AA329" s="4">
        <f>=ROUNDDOWN(18.8666666666667,0)</f>
      </c>
      <c r="AB329" s="5">
        <v>15</v>
      </c>
      <c r="AC329" s="2" t="s">
        <v>2234</v>
      </c>
      <c r="AD329" s="4">
        <v>160</v>
      </c>
      <c r="AE329" s="4">
        <v>493</v>
      </c>
      <c r="AF329" s="6">
        <v>65</v>
      </c>
      <c r="AG329" s="6"/>
      <c r="AH329" s="7">
        <v>0.3226</v>
      </c>
      <c r="AI329" s="4"/>
      <c r="AJ329" s="4">
        <f>=ROUNDDOWN({0},0)</f>
      </c>
      <c r="AK329" s="5"/>
      <c r="AL329" s="2" t="s">
        <v>227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/>
      <c r="AW329" s="8"/>
      <c r="AX329" s="4"/>
      <c r="AY329" s="8"/>
      <c r="AZ329" s="7"/>
      <c r="BA329" s="7"/>
      <c r="BB329" s="7"/>
      <c r="BC329" s="4" t="s">
        <v>227</v>
      </c>
      <c r="BD329" s="8" t="s">
        <v>227</v>
      </c>
      <c r="BE329" s="4" t="s">
        <v>227</v>
      </c>
      <c r="BF329" s="8" t="s">
        <v>227</v>
      </c>
      <c r="BG329" s="7" t="s">
        <v>227</v>
      </c>
      <c r="BH329" s="7" t="s">
        <v>227</v>
      </c>
      <c r="BI329" s="7"/>
      <c r="BJ329" s="4"/>
      <c r="BK329" s="8"/>
      <c r="BL329" s="2" t="s">
        <v>1479</v>
      </c>
      <c r="BM329" s="7"/>
      <c r="BN329" s="7"/>
      <c r="BO329" s="4"/>
      <c r="BP329" s="8"/>
      <c r="BQ329" s="4"/>
      <c r="BR329" s="8"/>
      <c r="BS329" s="7"/>
      <c r="BT329" s="7"/>
      <c r="BU329" s="2" t="s">
        <v>2361</v>
      </c>
      <c r="BV329" s="2" t="s">
        <v>227</v>
      </c>
      <c r="BW329" s="2" t="s">
        <v>227</v>
      </c>
      <c r="BX329" s="2" t="s">
        <v>235</v>
      </c>
      <c r="BY329" s="2" t="s">
        <v>236</v>
      </c>
      <c r="BZ329" s="2" t="s">
        <v>224</v>
      </c>
      <c r="CA329" s="2" t="s">
        <v>2236</v>
      </c>
      <c r="CB329" s="2" t="s">
        <v>2362</v>
      </c>
      <c r="CC329" s="2" t="s">
        <v>239</v>
      </c>
      <c r="CD329" s="2" t="s">
        <v>227</v>
      </c>
      <c r="CE329" s="4">
        <v>283</v>
      </c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>
        <v>160</v>
      </c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>
        <v>135</v>
      </c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>
        <v>198</v>
      </c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  <c r="GU329" s="4"/>
      <c r="GV329" s="4"/>
      <c r="GW329" s="4"/>
      <c r="GX329" s="4"/>
    </row>
    <row r="330">
      <c r="A330" s="2" t="s">
        <v>2363</v>
      </c>
      <c r="B330" s="2" t="s">
        <v>278</v>
      </c>
      <c r="C330" s="2" t="s">
        <v>2227</v>
      </c>
      <c r="D330" s="2" t="s">
        <v>280</v>
      </c>
      <c r="E330" s="2" t="s">
        <v>281</v>
      </c>
      <c r="F330" s="2" t="s">
        <v>2228</v>
      </c>
      <c r="G330" s="2" t="s">
        <v>2228</v>
      </c>
      <c r="H330" s="2" t="s">
        <v>2228</v>
      </c>
      <c r="I330" s="2" t="s">
        <v>2229</v>
      </c>
      <c r="J330" s="2" t="s">
        <v>222</v>
      </c>
      <c r="K330" s="2" t="s">
        <v>2364</v>
      </c>
      <c r="L330" s="3">
        <v>14.89</v>
      </c>
      <c r="M330" s="3">
        <v>15.63</v>
      </c>
      <c r="N330" s="3">
        <v>31.99</v>
      </c>
      <c r="O330" s="2" t="s">
        <v>224</v>
      </c>
      <c r="P330" s="2" t="s">
        <v>225</v>
      </c>
      <c r="Q330" s="2" t="s">
        <v>226</v>
      </c>
      <c r="R330" s="2" t="s">
        <v>227</v>
      </c>
      <c r="S330" s="2" t="s">
        <v>2365</v>
      </c>
      <c r="T330" s="2" t="s">
        <v>2100</v>
      </c>
      <c r="U330" s="2" t="s">
        <v>674</v>
      </c>
      <c r="V330" s="2" t="s">
        <v>2232</v>
      </c>
      <c r="W330" s="2" t="s">
        <v>231</v>
      </c>
      <c r="X330" s="2" t="s">
        <v>705</v>
      </c>
      <c r="Y330" s="2" t="s">
        <v>2233</v>
      </c>
      <c r="Z330" s="4">
        <v>354</v>
      </c>
      <c r="AA330" s="4">
        <f>=ROUNDDOWN(11.8,0)</f>
      </c>
      <c r="AB330" s="5">
        <v>30</v>
      </c>
      <c r="AC330" s="2" t="s">
        <v>2234</v>
      </c>
      <c r="AD330" s="4">
        <v>296</v>
      </c>
      <c r="AE330" s="4">
        <v>943</v>
      </c>
      <c r="AF330" s="6">
        <v>65</v>
      </c>
      <c r="AG330" s="6"/>
      <c r="AH330" s="7">
        <v>0.5161</v>
      </c>
      <c r="AI330" s="4"/>
      <c r="AJ330" s="4">
        <f>=ROUNDDOWN({0},0)</f>
      </c>
      <c r="AK330" s="5"/>
      <c r="AL330" s="2" t="s">
        <v>227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/>
      <c r="AW330" s="8"/>
      <c r="AX330" s="4"/>
      <c r="AY330" s="8"/>
      <c r="AZ330" s="7"/>
      <c r="BA330" s="7"/>
      <c r="BB330" s="7"/>
      <c r="BC330" s="4" t="s">
        <v>227</v>
      </c>
      <c r="BD330" s="8" t="s">
        <v>227</v>
      </c>
      <c r="BE330" s="4" t="s">
        <v>227</v>
      </c>
      <c r="BF330" s="8" t="s">
        <v>227</v>
      </c>
      <c r="BG330" s="7" t="s">
        <v>227</v>
      </c>
      <c r="BH330" s="7" t="s">
        <v>227</v>
      </c>
      <c r="BI330" s="7"/>
      <c r="BJ330" s="4">
        <v>80</v>
      </c>
      <c r="BK330" s="8">
        <v>1328</v>
      </c>
      <c r="BL330" s="2" t="s">
        <v>664</v>
      </c>
      <c r="BM330" s="7"/>
      <c r="BN330" s="7"/>
      <c r="BO330" s="4"/>
      <c r="BP330" s="8"/>
      <c r="BQ330" s="4"/>
      <c r="BR330" s="8"/>
      <c r="BS330" s="7"/>
      <c r="BT330" s="7"/>
      <c r="BU330" s="2" t="s">
        <v>2366</v>
      </c>
      <c r="BV330" s="2" t="s">
        <v>227</v>
      </c>
      <c r="BW330" s="2" t="s">
        <v>227</v>
      </c>
      <c r="BX330" s="2" t="s">
        <v>235</v>
      </c>
      <c r="BY330" s="2" t="s">
        <v>236</v>
      </c>
      <c r="BZ330" s="2" t="s">
        <v>224</v>
      </c>
      <c r="CA330" s="2" t="s">
        <v>2367</v>
      </c>
      <c r="CB330" s="2" t="s">
        <v>2368</v>
      </c>
      <c r="CC330" s="2" t="s">
        <v>239</v>
      </c>
      <c r="CD330" s="2" t="s">
        <v>227</v>
      </c>
      <c r="CE330" s="4">
        <v>354</v>
      </c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>
        <v>296</v>
      </c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>
        <v>235</v>
      </c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>
        <v>357</v>
      </c>
      <c r="FF330" s="4"/>
      <c r="FG330" s="4"/>
      <c r="FH330" s="4"/>
      <c r="FI330" s="4"/>
      <c r="FJ330" s="4"/>
      <c r="FK330" s="4"/>
      <c r="FL330" s="4"/>
      <c r="FM330" s="4"/>
      <c r="FN330" s="4"/>
      <c r="FO330" s="4">
        <v>55</v>
      </c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  <c r="GU330" s="4"/>
      <c r="GV330" s="4"/>
      <c r="GW330" s="4"/>
      <c r="GX330" s="4"/>
    </row>
    <row r="331">
      <c r="A331" s="2" t="s">
        <v>2369</v>
      </c>
      <c r="B331" s="2" t="s">
        <v>278</v>
      </c>
      <c r="C331" s="2" t="s">
        <v>2227</v>
      </c>
      <c r="D331" s="2" t="s">
        <v>280</v>
      </c>
      <c r="E331" s="2" t="s">
        <v>281</v>
      </c>
      <c r="F331" s="2" t="s">
        <v>2228</v>
      </c>
      <c r="G331" s="2" t="s">
        <v>2228</v>
      </c>
      <c r="H331" s="2" t="s">
        <v>2228</v>
      </c>
      <c r="I331" s="2" t="s">
        <v>2229</v>
      </c>
      <c r="J331" s="2" t="s">
        <v>257</v>
      </c>
      <c r="K331" s="2" t="s">
        <v>2370</v>
      </c>
      <c r="L331" s="3">
        <v>27.39</v>
      </c>
      <c r="M331" s="3">
        <v>28.76</v>
      </c>
      <c r="N331" s="3">
        <v>62.99</v>
      </c>
      <c r="O331" s="2" t="s">
        <v>224</v>
      </c>
      <c r="P331" s="2" t="s">
        <v>225</v>
      </c>
      <c r="Q331" s="2" t="s">
        <v>226</v>
      </c>
      <c r="R331" s="2" t="s">
        <v>227</v>
      </c>
      <c r="S331" s="2" t="s">
        <v>2371</v>
      </c>
      <c r="T331" s="2" t="s">
        <v>2100</v>
      </c>
      <c r="U331" s="2" t="s">
        <v>227</v>
      </c>
      <c r="V331" s="2" t="s">
        <v>877</v>
      </c>
      <c r="W331" s="2" t="s">
        <v>231</v>
      </c>
      <c r="X331" s="2" t="s">
        <v>227</v>
      </c>
      <c r="Y331" s="2" t="s">
        <v>2112</v>
      </c>
      <c r="Z331" s="4">
        <v>71</v>
      </c>
      <c r="AA331" s="4">
        <f>=ROUNDDOWN(4.4375,0)</f>
      </c>
      <c r="AB331" s="5">
        <v>16</v>
      </c>
      <c r="AC331" s="2" t="s">
        <v>583</v>
      </c>
      <c r="AD331" s="4">
        <v>263</v>
      </c>
      <c r="AE331" s="4">
        <v>623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227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227</v>
      </c>
      <c r="AW331" s="8" t="s">
        <v>227</v>
      </c>
      <c r="AX331" s="4" t="s">
        <v>227</v>
      </c>
      <c r="AY331" s="8" t="s">
        <v>227</v>
      </c>
      <c r="AZ331" s="7" t="s">
        <v>227</v>
      </c>
      <c r="BA331" s="7" t="s">
        <v>227</v>
      </c>
      <c r="BB331" s="7"/>
      <c r="BC331" s="4" t="s">
        <v>227</v>
      </c>
      <c r="BD331" s="8" t="s">
        <v>227</v>
      </c>
      <c r="BE331" s="4" t="s">
        <v>227</v>
      </c>
      <c r="BF331" s="8" t="s">
        <v>227</v>
      </c>
      <c r="BG331" s="7" t="s">
        <v>227</v>
      </c>
      <c r="BH331" s="7" t="s">
        <v>227</v>
      </c>
      <c r="BI331" s="7"/>
      <c r="BJ331" s="4">
        <v>61</v>
      </c>
      <c r="BK331" s="8">
        <v>1855.87</v>
      </c>
      <c r="BL331" s="2" t="s">
        <v>2057</v>
      </c>
      <c r="BM331" s="7"/>
      <c r="BN331" s="7"/>
      <c r="BO331" s="4"/>
      <c r="BP331" s="8"/>
      <c r="BQ331" s="4"/>
      <c r="BR331" s="8"/>
      <c r="BS331" s="7"/>
      <c r="BT331" s="7"/>
      <c r="BU331" s="2" t="s">
        <v>2372</v>
      </c>
      <c r="BV331" s="2" t="s">
        <v>227</v>
      </c>
      <c r="BW331" s="2" t="s">
        <v>227</v>
      </c>
      <c r="BX331" s="2" t="s">
        <v>235</v>
      </c>
      <c r="BY331" s="2" t="s">
        <v>236</v>
      </c>
      <c r="BZ331" s="2" t="s">
        <v>224</v>
      </c>
      <c r="CA331" s="2" t="s">
        <v>2243</v>
      </c>
      <c r="CB331" s="2" t="s">
        <v>2373</v>
      </c>
      <c r="CC331" s="2" t="s">
        <v>239</v>
      </c>
      <c r="CD331" s="2" t="s">
        <v>227</v>
      </c>
      <c r="CE331" s="4">
        <v>71</v>
      </c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>
        <v>263</v>
      </c>
      <c r="DP331" s="4"/>
      <c r="DQ331" s="4"/>
      <c r="DR331" s="4">
        <v>149</v>
      </c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>
        <v>211</v>
      </c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  <c r="GO331" s="4"/>
      <c r="GP331" s="4"/>
      <c r="GQ331" s="4"/>
      <c r="GR331" s="4"/>
      <c r="GS331" s="4"/>
      <c r="GT331" s="4"/>
      <c r="GU331" s="4"/>
      <c r="GV331" s="4"/>
      <c r="GW331" s="4"/>
      <c r="GX331" s="4"/>
    </row>
    <row r="332">
      <c r="A332" s="2" t="s">
        <v>2374</v>
      </c>
      <c r="B332" s="2" t="s">
        <v>278</v>
      </c>
      <c r="C332" s="2" t="s">
        <v>2227</v>
      </c>
      <c r="D332" s="2" t="s">
        <v>280</v>
      </c>
      <c r="E332" s="2" t="s">
        <v>281</v>
      </c>
      <c r="F332" s="2" t="s">
        <v>2228</v>
      </c>
      <c r="G332" s="2" t="s">
        <v>2228</v>
      </c>
      <c r="H332" s="2" t="s">
        <v>2228</v>
      </c>
      <c r="I332" s="2" t="s">
        <v>2229</v>
      </c>
      <c r="J332" s="2" t="s">
        <v>384</v>
      </c>
      <c r="K332" s="2" t="s">
        <v>2370</v>
      </c>
      <c r="L332" s="3">
        <v>27.39</v>
      </c>
      <c r="M332" s="3">
        <v>28.76</v>
      </c>
      <c r="N332" s="3">
        <v>62.99</v>
      </c>
      <c r="O332" s="2" t="s">
        <v>224</v>
      </c>
      <c r="P332" s="2" t="s">
        <v>225</v>
      </c>
      <c r="Q332" s="2" t="s">
        <v>226</v>
      </c>
      <c r="R332" s="2" t="s">
        <v>227</v>
      </c>
      <c r="S332" s="2" t="s">
        <v>2371</v>
      </c>
      <c r="T332" s="2" t="s">
        <v>2100</v>
      </c>
      <c r="U332" s="2" t="s">
        <v>227</v>
      </c>
      <c r="V332" s="2" t="s">
        <v>877</v>
      </c>
      <c r="W332" s="2" t="s">
        <v>231</v>
      </c>
      <c r="X332" s="2" t="s">
        <v>227</v>
      </c>
      <c r="Y332" s="2" t="s">
        <v>2112</v>
      </c>
      <c r="Z332" s="4">
        <v>59</v>
      </c>
      <c r="AA332" s="4">
        <f>=ROUNDDOWN(5.36363636363636,0)</f>
      </c>
      <c r="AB332" s="5">
        <v>11</v>
      </c>
      <c r="AC332" s="2" t="s">
        <v>583</v>
      </c>
      <c r="AD332" s="4">
        <v>206</v>
      </c>
      <c r="AE332" s="4">
        <v>416</v>
      </c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227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227</v>
      </c>
      <c r="AW332" s="8" t="s">
        <v>227</v>
      </c>
      <c r="AX332" s="4" t="s">
        <v>227</v>
      </c>
      <c r="AY332" s="8" t="s">
        <v>227</v>
      </c>
      <c r="AZ332" s="7" t="s">
        <v>227</v>
      </c>
      <c r="BA332" s="7" t="s">
        <v>227</v>
      </c>
      <c r="BB332" s="7"/>
      <c r="BC332" s="4" t="s">
        <v>227</v>
      </c>
      <c r="BD332" s="8" t="s">
        <v>227</v>
      </c>
      <c r="BE332" s="4" t="s">
        <v>227</v>
      </c>
      <c r="BF332" s="8" t="s">
        <v>227</v>
      </c>
      <c r="BG332" s="7" t="s">
        <v>227</v>
      </c>
      <c r="BH332" s="7" t="s">
        <v>227</v>
      </c>
      <c r="BI332" s="7"/>
      <c r="BJ332" s="4">
        <v>5</v>
      </c>
      <c r="BK332" s="8">
        <v>146.73</v>
      </c>
      <c r="BL332" s="2" t="s">
        <v>1728</v>
      </c>
      <c r="BM332" s="7"/>
      <c r="BN332" s="7"/>
      <c r="BO332" s="4"/>
      <c r="BP332" s="8"/>
      <c r="BQ332" s="4"/>
      <c r="BR332" s="8"/>
      <c r="BS332" s="7"/>
      <c r="BT332" s="7"/>
      <c r="BU332" s="2" t="s">
        <v>2375</v>
      </c>
      <c r="BV332" s="2" t="s">
        <v>227</v>
      </c>
      <c r="BW332" s="2" t="s">
        <v>227</v>
      </c>
      <c r="BX332" s="2" t="s">
        <v>235</v>
      </c>
      <c r="BY332" s="2" t="s">
        <v>236</v>
      </c>
      <c r="BZ332" s="2" t="s">
        <v>224</v>
      </c>
      <c r="CA332" s="2" t="s">
        <v>2243</v>
      </c>
      <c r="CB332" s="2" t="s">
        <v>2254</v>
      </c>
      <c r="CC332" s="2" t="s">
        <v>239</v>
      </c>
      <c r="CD332" s="2" t="s">
        <v>227</v>
      </c>
      <c r="CE332" s="4">
        <v>59</v>
      </c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>
        <v>206</v>
      </c>
      <c r="DP332" s="4"/>
      <c r="DQ332" s="4"/>
      <c r="DR332" s="4">
        <v>100</v>
      </c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>
        <v>110</v>
      </c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  <c r="GT332" s="4"/>
      <c r="GU332" s="4"/>
      <c r="GV332" s="4"/>
      <c r="GW332" s="4"/>
      <c r="GX332" s="4"/>
    </row>
    <row r="333">
      <c r="A333" s="2" t="s">
        <v>2376</v>
      </c>
      <c r="B333" s="2" t="s">
        <v>278</v>
      </c>
      <c r="C333" s="2" t="s">
        <v>2227</v>
      </c>
      <c r="D333" s="2" t="s">
        <v>280</v>
      </c>
      <c r="E333" s="2" t="s">
        <v>281</v>
      </c>
      <c r="F333" s="2" t="s">
        <v>2228</v>
      </c>
      <c r="G333" s="2" t="s">
        <v>2228</v>
      </c>
      <c r="H333" s="2" t="s">
        <v>2228</v>
      </c>
      <c r="I333" s="2" t="s">
        <v>2229</v>
      </c>
      <c r="J333" s="2" t="s">
        <v>222</v>
      </c>
      <c r="K333" s="2" t="s">
        <v>2377</v>
      </c>
      <c r="L333" s="3">
        <v>14.89</v>
      </c>
      <c r="M333" s="3">
        <v>15.63</v>
      </c>
      <c r="N333" s="3">
        <v>31.99</v>
      </c>
      <c r="O333" s="2" t="s">
        <v>224</v>
      </c>
      <c r="P333" s="2" t="s">
        <v>2038</v>
      </c>
      <c r="Q333" s="2" t="s">
        <v>226</v>
      </c>
      <c r="R333" s="2" t="s">
        <v>227</v>
      </c>
      <c r="S333" s="2" t="s">
        <v>2378</v>
      </c>
      <c r="T333" s="2" t="s">
        <v>2100</v>
      </c>
      <c r="U333" s="2" t="s">
        <v>674</v>
      </c>
      <c r="V333" s="2" t="s">
        <v>2101</v>
      </c>
      <c r="W333" s="2" t="s">
        <v>231</v>
      </c>
      <c r="X333" s="2" t="s">
        <v>705</v>
      </c>
      <c r="Y333" s="2" t="s">
        <v>2233</v>
      </c>
      <c r="Z333" s="4">
        <v>86</v>
      </c>
      <c r="AA333" s="4">
        <f>=ROUNDDOWN(0.811320754716981,0)</f>
      </c>
      <c r="AB333" s="5">
        <v>106</v>
      </c>
      <c r="AC333" s="2" t="s">
        <v>583</v>
      </c>
      <c r="AD333" s="4">
        <v>1997</v>
      </c>
      <c r="AE333" s="4">
        <v>4064</v>
      </c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227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 t="s">
        <v>227</v>
      </c>
      <c r="BD333" s="8" t="s">
        <v>227</v>
      </c>
      <c r="BE333" s="4" t="s">
        <v>227</v>
      </c>
      <c r="BF333" s="8" t="s">
        <v>227</v>
      </c>
      <c r="BG333" s="7" t="s">
        <v>227</v>
      </c>
      <c r="BH333" s="7" t="s">
        <v>227</v>
      </c>
      <c r="BI333" s="7"/>
      <c r="BJ333" s="4">
        <v>489</v>
      </c>
      <c r="BK333" s="8">
        <v>8617.09</v>
      </c>
      <c r="BL333" s="2" t="s">
        <v>2379</v>
      </c>
      <c r="BM333" s="7"/>
      <c r="BN333" s="7"/>
      <c r="BO333" s="4"/>
      <c r="BP333" s="8"/>
      <c r="BQ333" s="4"/>
      <c r="BR333" s="8"/>
      <c r="BS333" s="7"/>
      <c r="BT333" s="7"/>
      <c r="BU333" s="2" t="s">
        <v>2380</v>
      </c>
      <c r="BV333" s="2" t="s">
        <v>227</v>
      </c>
      <c r="BW333" s="2" t="s">
        <v>227</v>
      </c>
      <c r="BX333" s="2" t="s">
        <v>235</v>
      </c>
      <c r="BY333" s="2" t="s">
        <v>236</v>
      </c>
      <c r="BZ333" s="2" t="s">
        <v>224</v>
      </c>
      <c r="CA333" s="2" t="s">
        <v>2236</v>
      </c>
      <c r="CB333" s="2" t="s">
        <v>2171</v>
      </c>
      <c r="CC333" s="2" t="s">
        <v>239</v>
      </c>
      <c r="CD333" s="2" t="s">
        <v>227</v>
      </c>
      <c r="CE333" s="4">
        <v>86</v>
      </c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>
        <v>1997</v>
      </c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>
        <v>779</v>
      </c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>
        <v>1200</v>
      </c>
      <c r="FF333" s="4"/>
      <c r="FG333" s="4"/>
      <c r="FH333" s="4"/>
      <c r="FI333" s="4"/>
      <c r="FJ333" s="4"/>
      <c r="FK333" s="4"/>
      <c r="FL333" s="4"/>
      <c r="FM333" s="4"/>
      <c r="FN333" s="4"/>
      <c r="FO333" s="4">
        <v>88</v>
      </c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  <c r="GT333" s="4"/>
      <c r="GU333" s="4"/>
      <c r="GV333" s="4"/>
      <c r="GW333" s="4"/>
      <c r="GX333" s="4"/>
    </row>
    <row r="334">
      <c r="A334" s="2" t="s">
        <v>2381</v>
      </c>
      <c r="B334" s="2" t="s">
        <v>278</v>
      </c>
      <c r="C334" s="2" t="s">
        <v>2227</v>
      </c>
      <c r="D334" s="2" t="s">
        <v>280</v>
      </c>
      <c r="E334" s="2" t="s">
        <v>281</v>
      </c>
      <c r="F334" s="2" t="s">
        <v>2228</v>
      </c>
      <c r="G334" s="2" t="s">
        <v>2228</v>
      </c>
      <c r="H334" s="2" t="s">
        <v>2228</v>
      </c>
      <c r="I334" s="2" t="s">
        <v>2229</v>
      </c>
      <c r="J334" s="2" t="s">
        <v>222</v>
      </c>
      <c r="K334" s="2" t="s">
        <v>2382</v>
      </c>
      <c r="L334" s="3">
        <v>14.89</v>
      </c>
      <c r="M334" s="3">
        <v>15.63</v>
      </c>
      <c r="N334" s="3">
        <v>31.99</v>
      </c>
      <c r="O334" s="2" t="s">
        <v>224</v>
      </c>
      <c r="P334" s="2" t="s">
        <v>225</v>
      </c>
      <c r="Q334" s="2" t="s">
        <v>226</v>
      </c>
      <c r="R334" s="2" t="s">
        <v>227</v>
      </c>
      <c r="S334" s="2" t="s">
        <v>2383</v>
      </c>
      <c r="T334" s="2" t="s">
        <v>2100</v>
      </c>
      <c r="U334" s="2" t="s">
        <v>227</v>
      </c>
      <c r="V334" s="2" t="s">
        <v>230</v>
      </c>
      <c r="W334" s="2" t="s">
        <v>231</v>
      </c>
      <c r="X334" s="2" t="s">
        <v>227</v>
      </c>
      <c r="Y334" s="2" t="s">
        <v>232</v>
      </c>
      <c r="Z334" s="4">
        <v>390</v>
      </c>
      <c r="AA334" s="4">
        <f>=ROUNDDOWN(7.09090909090909,0)</f>
      </c>
      <c r="AB334" s="5">
        <v>55</v>
      </c>
      <c r="AC334" s="2" t="s">
        <v>2297</v>
      </c>
      <c r="AD334" s="4">
        <v>797</v>
      </c>
      <c r="AE334" s="4">
        <v>2205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227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227</v>
      </c>
      <c r="AW334" s="8" t="s">
        <v>227</v>
      </c>
      <c r="AX334" s="4" t="s">
        <v>227</v>
      </c>
      <c r="AY334" s="8" t="s">
        <v>227</v>
      </c>
      <c r="AZ334" s="7" t="s">
        <v>227</v>
      </c>
      <c r="BA334" s="7" t="s">
        <v>227</v>
      </c>
      <c r="BB334" s="7"/>
      <c r="BC334" s="4" t="s">
        <v>227</v>
      </c>
      <c r="BD334" s="8" t="s">
        <v>227</v>
      </c>
      <c r="BE334" s="4" t="s">
        <v>227</v>
      </c>
      <c r="BF334" s="8" t="s">
        <v>227</v>
      </c>
      <c r="BG334" s="7" t="s">
        <v>227</v>
      </c>
      <c r="BH334" s="7" t="s">
        <v>227</v>
      </c>
      <c r="BI334" s="7"/>
      <c r="BJ334" s="4">
        <v>17</v>
      </c>
      <c r="BK334" s="8">
        <v>281.93</v>
      </c>
      <c r="BL334" s="2" t="s">
        <v>2384</v>
      </c>
      <c r="BM334" s="7"/>
      <c r="BN334" s="7"/>
      <c r="BO334" s="4"/>
      <c r="BP334" s="8"/>
      <c r="BQ334" s="4"/>
      <c r="BR334" s="8"/>
      <c r="BS334" s="7"/>
      <c r="BT334" s="7"/>
      <c r="BU334" s="2" t="s">
        <v>2385</v>
      </c>
      <c r="BV334" s="2" t="s">
        <v>227</v>
      </c>
      <c r="BW334" s="2" t="s">
        <v>227</v>
      </c>
      <c r="BX334" s="2" t="s">
        <v>235</v>
      </c>
      <c r="BY334" s="2" t="s">
        <v>236</v>
      </c>
      <c r="BZ334" s="2" t="s">
        <v>224</v>
      </c>
      <c r="CA334" s="2" t="s">
        <v>2144</v>
      </c>
      <c r="CB334" s="2" t="s">
        <v>598</v>
      </c>
      <c r="CC334" s="2" t="s">
        <v>239</v>
      </c>
      <c r="CD334" s="2" t="s">
        <v>227</v>
      </c>
      <c r="CE334" s="4">
        <v>390</v>
      </c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>
        <v>797</v>
      </c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>
        <v>399</v>
      </c>
      <c r="EA334" s="4"/>
      <c r="EB334" s="4"/>
      <c r="EC334" s="4"/>
      <c r="ED334" s="4"/>
      <c r="EE334" s="4"/>
      <c r="EF334" s="4"/>
      <c r="EG334" s="4"/>
      <c r="EH334" s="4"/>
      <c r="EI334" s="4">
        <v>247</v>
      </c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>
        <v>700</v>
      </c>
      <c r="FF334" s="4"/>
      <c r="FG334" s="4"/>
      <c r="FH334" s="4"/>
      <c r="FI334" s="4"/>
      <c r="FJ334" s="4"/>
      <c r="FK334" s="4"/>
      <c r="FL334" s="4"/>
      <c r="FM334" s="4"/>
      <c r="FN334" s="4"/>
      <c r="FO334" s="4">
        <v>62</v>
      </c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  <c r="GU334" s="4"/>
      <c r="GV334" s="4"/>
      <c r="GW334" s="4"/>
      <c r="GX334" s="4"/>
    </row>
    <row r="335">
      <c r="A335" s="2" t="s">
        <v>2386</v>
      </c>
      <c r="B335" s="2" t="s">
        <v>278</v>
      </c>
      <c r="C335" s="2" t="s">
        <v>2227</v>
      </c>
      <c r="D335" s="2" t="s">
        <v>280</v>
      </c>
      <c r="E335" s="2" t="s">
        <v>281</v>
      </c>
      <c r="F335" s="2" t="s">
        <v>2228</v>
      </c>
      <c r="G335" s="2" t="s">
        <v>2228</v>
      </c>
      <c r="H335" s="2" t="s">
        <v>2228</v>
      </c>
      <c r="I335" s="2" t="s">
        <v>2229</v>
      </c>
      <c r="J335" s="2" t="s">
        <v>384</v>
      </c>
      <c r="K335" s="2" t="s">
        <v>2382</v>
      </c>
      <c r="L335" s="3">
        <v>27.39</v>
      </c>
      <c r="M335" s="3">
        <v>28.76</v>
      </c>
      <c r="N335" s="3">
        <v>62.99</v>
      </c>
      <c r="O335" s="2" t="s">
        <v>224</v>
      </c>
      <c r="P335" s="2" t="s">
        <v>225</v>
      </c>
      <c r="Q335" s="2" t="s">
        <v>226</v>
      </c>
      <c r="R335" s="2" t="s">
        <v>227</v>
      </c>
      <c r="S335" s="2" t="s">
        <v>2383</v>
      </c>
      <c r="T335" s="2" t="s">
        <v>2100</v>
      </c>
      <c r="U335" s="2" t="s">
        <v>227</v>
      </c>
      <c r="V335" s="2" t="s">
        <v>230</v>
      </c>
      <c r="W335" s="2" t="s">
        <v>231</v>
      </c>
      <c r="X335" s="2" t="s">
        <v>227</v>
      </c>
      <c r="Y335" s="2" t="s">
        <v>232</v>
      </c>
      <c r="Z335" s="4">
        <v>130</v>
      </c>
      <c r="AA335" s="4">
        <f>=ROUNDDOWN(9.28571428571429,0)</f>
      </c>
      <c r="AB335" s="5">
        <v>14</v>
      </c>
      <c r="AC335" s="2" t="s">
        <v>2297</v>
      </c>
      <c r="AD335" s="4">
        <v>122</v>
      </c>
      <c r="AE335" s="4">
        <v>483</v>
      </c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227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227</v>
      </c>
      <c r="AW335" s="8" t="s">
        <v>227</v>
      </c>
      <c r="AX335" s="4" t="s">
        <v>227</v>
      </c>
      <c r="AY335" s="8" t="s">
        <v>227</v>
      </c>
      <c r="AZ335" s="7" t="s">
        <v>227</v>
      </c>
      <c r="BA335" s="7" t="s">
        <v>227</v>
      </c>
      <c r="BB335" s="7"/>
      <c r="BC335" s="4" t="s">
        <v>227</v>
      </c>
      <c r="BD335" s="8" t="s">
        <v>227</v>
      </c>
      <c r="BE335" s="4" t="s">
        <v>227</v>
      </c>
      <c r="BF335" s="8" t="s">
        <v>227</v>
      </c>
      <c r="BG335" s="7" t="s">
        <v>227</v>
      </c>
      <c r="BH335" s="7" t="s">
        <v>227</v>
      </c>
      <c r="BI335" s="7"/>
      <c r="BJ335" s="4">
        <v>9</v>
      </c>
      <c r="BK335" s="8">
        <v>266.35</v>
      </c>
      <c r="BL335" s="2" t="s">
        <v>2387</v>
      </c>
      <c r="BM335" s="7"/>
      <c r="BN335" s="7"/>
      <c r="BO335" s="4"/>
      <c r="BP335" s="8"/>
      <c r="BQ335" s="4"/>
      <c r="BR335" s="8"/>
      <c r="BS335" s="7"/>
      <c r="BT335" s="7"/>
      <c r="BU335" s="2" t="s">
        <v>2388</v>
      </c>
      <c r="BV335" s="2" t="s">
        <v>227</v>
      </c>
      <c r="BW335" s="2" t="s">
        <v>227</v>
      </c>
      <c r="BX335" s="2" t="s">
        <v>235</v>
      </c>
      <c r="BY335" s="2" t="s">
        <v>236</v>
      </c>
      <c r="BZ335" s="2" t="s">
        <v>224</v>
      </c>
      <c r="CA335" s="2" t="s">
        <v>2144</v>
      </c>
      <c r="CB335" s="2" t="s">
        <v>2389</v>
      </c>
      <c r="CC335" s="2" t="s">
        <v>239</v>
      </c>
      <c r="CD335" s="2" t="s">
        <v>227</v>
      </c>
      <c r="CE335" s="4">
        <v>130</v>
      </c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>
        <v>122</v>
      </c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>
        <v>110</v>
      </c>
      <c r="EA335" s="4"/>
      <c r="EB335" s="4"/>
      <c r="EC335" s="4"/>
      <c r="ED335" s="4"/>
      <c r="EE335" s="4"/>
      <c r="EF335" s="4"/>
      <c r="EG335" s="4"/>
      <c r="EH335" s="4"/>
      <c r="EI335" s="4">
        <v>121</v>
      </c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>
        <v>130</v>
      </c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  <c r="GT335" s="4"/>
      <c r="GU335" s="4"/>
      <c r="GV335" s="4"/>
      <c r="GW335" s="4"/>
      <c r="GX335" s="4"/>
    </row>
    <row r="336">
      <c r="A336" s="2" t="s">
        <v>2390</v>
      </c>
      <c r="B336" s="2" t="s">
        <v>278</v>
      </c>
      <c r="C336" s="2" t="s">
        <v>2227</v>
      </c>
      <c r="D336" s="2" t="s">
        <v>280</v>
      </c>
      <c r="E336" s="2" t="s">
        <v>281</v>
      </c>
      <c r="F336" s="2" t="s">
        <v>2228</v>
      </c>
      <c r="G336" s="2" t="s">
        <v>2228</v>
      </c>
      <c r="H336" s="2" t="s">
        <v>2228</v>
      </c>
      <c r="I336" s="2" t="s">
        <v>2229</v>
      </c>
      <c r="J336" s="2" t="s">
        <v>222</v>
      </c>
      <c r="K336" s="2" t="s">
        <v>2391</v>
      </c>
      <c r="L336" s="3">
        <v>14.89</v>
      </c>
      <c r="M336" s="3">
        <v>15.63</v>
      </c>
      <c r="N336" s="3">
        <v>31.99</v>
      </c>
      <c r="O336" s="2" t="s">
        <v>224</v>
      </c>
      <c r="P336" s="2" t="s">
        <v>225</v>
      </c>
      <c r="Q336" s="2" t="s">
        <v>226</v>
      </c>
      <c r="R336" s="2" t="s">
        <v>227</v>
      </c>
      <c r="S336" s="2" t="s">
        <v>2392</v>
      </c>
      <c r="T336" s="2" t="s">
        <v>2100</v>
      </c>
      <c r="U336" s="2" t="s">
        <v>227</v>
      </c>
      <c r="V336" s="2" t="s">
        <v>230</v>
      </c>
      <c r="W336" s="2" t="s">
        <v>231</v>
      </c>
      <c r="X336" s="2" t="s">
        <v>227</v>
      </c>
      <c r="Y336" s="2" t="s">
        <v>2393</v>
      </c>
      <c r="Z336" s="4">
        <v>306</v>
      </c>
      <c r="AA336" s="4">
        <f>=ROUNDDOWN(6,0)</f>
      </c>
      <c r="AB336" s="5">
        <v>51</v>
      </c>
      <c r="AC336" s="2" t="s">
        <v>583</v>
      </c>
      <c r="AD336" s="4">
        <v>885</v>
      </c>
      <c r="AE336" s="4">
        <v>1899</v>
      </c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227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 t="s">
        <v>227</v>
      </c>
      <c r="BD336" s="8" t="s">
        <v>227</v>
      </c>
      <c r="BE336" s="4" t="s">
        <v>227</v>
      </c>
      <c r="BF336" s="8" t="s">
        <v>227</v>
      </c>
      <c r="BG336" s="7" t="s">
        <v>227</v>
      </c>
      <c r="BH336" s="7" t="s">
        <v>227</v>
      </c>
      <c r="BI336" s="7"/>
      <c r="BJ336" s="4">
        <v>42</v>
      </c>
      <c r="BK336" s="8">
        <v>694.17</v>
      </c>
      <c r="BL336" s="2" t="s">
        <v>2217</v>
      </c>
      <c r="BM336" s="7"/>
      <c r="BN336" s="7"/>
      <c r="BO336" s="4"/>
      <c r="BP336" s="8"/>
      <c r="BQ336" s="4"/>
      <c r="BR336" s="8"/>
      <c r="BS336" s="7"/>
      <c r="BT336" s="7"/>
      <c r="BU336" s="2" t="s">
        <v>2394</v>
      </c>
      <c r="BV336" s="2" t="s">
        <v>227</v>
      </c>
      <c r="BW336" s="2" t="s">
        <v>227</v>
      </c>
      <c r="BX336" s="2" t="s">
        <v>235</v>
      </c>
      <c r="BY336" s="2" t="s">
        <v>236</v>
      </c>
      <c r="BZ336" s="2" t="s">
        <v>224</v>
      </c>
      <c r="CA336" s="2" t="s">
        <v>2144</v>
      </c>
      <c r="CB336" s="2" t="s">
        <v>1402</v>
      </c>
      <c r="CC336" s="2" t="s">
        <v>239</v>
      </c>
      <c r="CD336" s="2" t="s">
        <v>227</v>
      </c>
      <c r="CE336" s="4">
        <v>306</v>
      </c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>
        <v>885</v>
      </c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>
        <v>434</v>
      </c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>
        <v>580</v>
      </c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  <c r="GU336" s="4"/>
      <c r="GV336" s="4"/>
      <c r="GW336" s="4"/>
      <c r="GX336" s="4"/>
    </row>
    <row r="337">
      <c r="A337" s="2" t="s">
        <v>2395</v>
      </c>
      <c r="B337" s="2" t="s">
        <v>278</v>
      </c>
      <c r="C337" s="2" t="s">
        <v>2227</v>
      </c>
      <c r="D337" s="2" t="s">
        <v>280</v>
      </c>
      <c r="E337" s="2" t="s">
        <v>281</v>
      </c>
      <c r="F337" s="2" t="s">
        <v>2228</v>
      </c>
      <c r="G337" s="2" t="s">
        <v>2228</v>
      </c>
      <c r="H337" s="2" t="s">
        <v>2228</v>
      </c>
      <c r="I337" s="2" t="s">
        <v>2229</v>
      </c>
      <c r="J337" s="2" t="s">
        <v>257</v>
      </c>
      <c r="K337" s="2" t="s">
        <v>2396</v>
      </c>
      <c r="L337" s="3">
        <v>27.39</v>
      </c>
      <c r="M337" s="3">
        <v>28.76</v>
      </c>
      <c r="N337" s="3">
        <v>62.99</v>
      </c>
      <c r="O337" s="2" t="s">
        <v>224</v>
      </c>
      <c r="P337" s="2" t="s">
        <v>225</v>
      </c>
      <c r="Q337" s="2" t="s">
        <v>226</v>
      </c>
      <c r="R337" s="2" t="s">
        <v>227</v>
      </c>
      <c r="S337" s="2" t="s">
        <v>2397</v>
      </c>
      <c r="T337" s="2" t="s">
        <v>2100</v>
      </c>
      <c r="U337" s="2" t="s">
        <v>227</v>
      </c>
      <c r="V337" s="2" t="s">
        <v>2101</v>
      </c>
      <c r="W337" s="2" t="s">
        <v>231</v>
      </c>
      <c r="X337" s="2" t="s">
        <v>227</v>
      </c>
      <c r="Y337" s="2" t="s">
        <v>2175</v>
      </c>
      <c r="Z337" s="4">
        <v>1</v>
      </c>
      <c r="AA337" s="4">
        <f>=ROUNDDOWN(0.0666666666666667,0)</f>
      </c>
      <c r="AB337" s="5">
        <v>15</v>
      </c>
      <c r="AC337" s="2" t="s">
        <v>583</v>
      </c>
      <c r="AD337" s="4">
        <v>285</v>
      </c>
      <c r="AE337" s="4">
        <v>598</v>
      </c>
      <c r="AF337" s="6">
        <v>65</v>
      </c>
      <c r="AG337" s="6"/>
      <c r="AH337" s="7">
        <v>0.7419</v>
      </c>
      <c r="AI337" s="4"/>
      <c r="AJ337" s="4">
        <f>=ROUNDDOWN({0},0)</f>
      </c>
      <c r="AK337" s="5"/>
      <c r="AL337" s="2" t="s">
        <v>227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 t="s">
        <v>227</v>
      </c>
      <c r="BD337" s="8" t="s">
        <v>227</v>
      </c>
      <c r="BE337" s="4" t="s">
        <v>227</v>
      </c>
      <c r="BF337" s="8" t="s">
        <v>227</v>
      </c>
      <c r="BG337" s="7" t="s">
        <v>227</v>
      </c>
      <c r="BH337" s="7" t="s">
        <v>227</v>
      </c>
      <c r="BI337" s="7"/>
      <c r="BJ337" s="4">
        <v>104</v>
      </c>
      <c r="BK337" s="8">
        <v>3207.95</v>
      </c>
      <c r="BL337" s="2" t="s">
        <v>470</v>
      </c>
      <c r="BM337" s="7"/>
      <c r="BN337" s="7"/>
      <c r="BO337" s="4"/>
      <c r="BP337" s="8"/>
      <c r="BQ337" s="4"/>
      <c r="BR337" s="8"/>
      <c r="BS337" s="7"/>
      <c r="BT337" s="7"/>
      <c r="BU337" s="2" t="s">
        <v>2398</v>
      </c>
      <c r="BV337" s="2" t="s">
        <v>227</v>
      </c>
      <c r="BW337" s="2" t="s">
        <v>227</v>
      </c>
      <c r="BX337" s="2" t="s">
        <v>235</v>
      </c>
      <c r="BY337" s="2" t="s">
        <v>236</v>
      </c>
      <c r="BZ337" s="2" t="s">
        <v>224</v>
      </c>
      <c r="CA337" s="2" t="s">
        <v>2243</v>
      </c>
      <c r="CB337" s="2" t="s">
        <v>2399</v>
      </c>
      <c r="CC337" s="2" t="s">
        <v>239</v>
      </c>
      <c r="CD337" s="2" t="s">
        <v>227</v>
      </c>
      <c r="CE337" s="4"/>
      <c r="CF337" s="4"/>
      <c r="CG337" s="4"/>
      <c r="CH337" s="4"/>
      <c r="CI337" s="4"/>
      <c r="CJ337" s="4"/>
      <c r="CK337" s="4">
        <v>1</v>
      </c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>
        <v>285</v>
      </c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>
        <v>125</v>
      </c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>
        <v>188</v>
      </c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  <c r="GU337" s="4"/>
      <c r="GV337" s="4"/>
      <c r="GW337" s="4"/>
      <c r="GX337" s="4"/>
    </row>
    <row r="338">
      <c r="A338" s="2" t="s">
        <v>2400</v>
      </c>
      <c r="B338" s="2" t="s">
        <v>278</v>
      </c>
      <c r="C338" s="2" t="s">
        <v>2227</v>
      </c>
      <c r="D338" s="2" t="s">
        <v>280</v>
      </c>
      <c r="E338" s="2" t="s">
        <v>281</v>
      </c>
      <c r="F338" s="2" t="s">
        <v>2228</v>
      </c>
      <c r="G338" s="2" t="s">
        <v>2228</v>
      </c>
      <c r="H338" s="2" t="s">
        <v>2228</v>
      </c>
      <c r="I338" s="2" t="s">
        <v>2229</v>
      </c>
      <c r="J338" s="2" t="s">
        <v>222</v>
      </c>
      <c r="K338" s="2" t="s">
        <v>2401</v>
      </c>
      <c r="L338" s="3">
        <v>14.89</v>
      </c>
      <c r="M338" s="3">
        <v>15.63</v>
      </c>
      <c r="N338" s="3">
        <v>31.99</v>
      </c>
      <c r="O338" s="2" t="s">
        <v>224</v>
      </c>
      <c r="P338" s="2" t="s">
        <v>225</v>
      </c>
      <c r="Q338" s="2" t="s">
        <v>226</v>
      </c>
      <c r="R338" s="2" t="s">
        <v>227</v>
      </c>
      <c r="S338" s="2" t="s">
        <v>2402</v>
      </c>
      <c r="T338" s="2" t="s">
        <v>2100</v>
      </c>
      <c r="U338" s="2" t="s">
        <v>227</v>
      </c>
      <c r="V338" s="2" t="s">
        <v>2101</v>
      </c>
      <c r="W338" s="2" t="s">
        <v>231</v>
      </c>
      <c r="X338" s="2" t="s">
        <v>227</v>
      </c>
      <c r="Y338" s="2" t="s">
        <v>2175</v>
      </c>
      <c r="Z338" s="4">
        <v>81</v>
      </c>
      <c r="AA338" s="4">
        <f>=ROUNDDOWN(1.97560975609756,0)</f>
      </c>
      <c r="AB338" s="5">
        <v>41</v>
      </c>
      <c r="AC338" s="2" t="s">
        <v>583</v>
      </c>
      <c r="AD338" s="4">
        <v>710</v>
      </c>
      <c r="AE338" s="4">
        <v>1570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227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227</v>
      </c>
      <c r="AW338" s="8" t="s">
        <v>227</v>
      </c>
      <c r="AX338" s="4" t="s">
        <v>227</v>
      </c>
      <c r="AY338" s="8" t="s">
        <v>227</v>
      </c>
      <c r="AZ338" s="7" t="s">
        <v>227</v>
      </c>
      <c r="BA338" s="7" t="s">
        <v>227</v>
      </c>
      <c r="BB338" s="7"/>
      <c r="BC338" s="4" t="s">
        <v>227</v>
      </c>
      <c r="BD338" s="8" t="s">
        <v>227</v>
      </c>
      <c r="BE338" s="4" t="s">
        <v>227</v>
      </c>
      <c r="BF338" s="8" t="s">
        <v>227</v>
      </c>
      <c r="BG338" s="7" t="s">
        <v>227</v>
      </c>
      <c r="BH338" s="7" t="s">
        <v>227</v>
      </c>
      <c r="BI338" s="7"/>
      <c r="BJ338" s="4">
        <v>183</v>
      </c>
      <c r="BK338" s="8">
        <v>3043.82</v>
      </c>
      <c r="BL338" s="2" t="s">
        <v>2403</v>
      </c>
      <c r="BM338" s="7"/>
      <c r="BN338" s="7"/>
      <c r="BO338" s="4"/>
      <c r="BP338" s="8"/>
      <c r="BQ338" s="4"/>
      <c r="BR338" s="8"/>
      <c r="BS338" s="7"/>
      <c r="BT338" s="7"/>
      <c r="BU338" s="2" t="s">
        <v>2404</v>
      </c>
      <c r="BV338" s="2" t="s">
        <v>227</v>
      </c>
      <c r="BW338" s="2" t="s">
        <v>227</v>
      </c>
      <c r="BX338" s="2" t="s">
        <v>235</v>
      </c>
      <c r="BY338" s="2" t="s">
        <v>236</v>
      </c>
      <c r="BZ338" s="2" t="s">
        <v>224</v>
      </c>
      <c r="CA338" s="2" t="s">
        <v>2243</v>
      </c>
      <c r="CB338" s="2" t="s">
        <v>2210</v>
      </c>
      <c r="CC338" s="2" t="s">
        <v>239</v>
      </c>
      <c r="CD338" s="2" t="s">
        <v>227</v>
      </c>
      <c r="CE338" s="4">
        <v>81</v>
      </c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>
        <v>710</v>
      </c>
      <c r="DP338" s="4"/>
      <c r="DQ338" s="4"/>
      <c r="DR338" s="4">
        <v>355</v>
      </c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>
        <v>505</v>
      </c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  <c r="GT338" s="4"/>
      <c r="GU338" s="4"/>
      <c r="GV338" s="4"/>
      <c r="GW338" s="4"/>
      <c r="GX338" s="4"/>
    </row>
    <row r="339">
      <c r="A339" s="2" t="s">
        <v>2405</v>
      </c>
      <c r="B339" s="2" t="s">
        <v>278</v>
      </c>
      <c r="C339" s="2" t="s">
        <v>2227</v>
      </c>
      <c r="D339" s="2" t="s">
        <v>280</v>
      </c>
      <c r="E339" s="2" t="s">
        <v>281</v>
      </c>
      <c r="F339" s="2" t="s">
        <v>2228</v>
      </c>
      <c r="G339" s="2" t="s">
        <v>2228</v>
      </c>
      <c r="H339" s="2" t="s">
        <v>2228</v>
      </c>
      <c r="I339" s="2" t="s">
        <v>2229</v>
      </c>
      <c r="J339" s="2" t="s">
        <v>247</v>
      </c>
      <c r="K339" s="2" t="s">
        <v>2401</v>
      </c>
      <c r="L339" s="3">
        <v>19.57</v>
      </c>
      <c r="M339" s="3">
        <v>20.55</v>
      </c>
      <c r="N339" s="3">
        <v>42.99</v>
      </c>
      <c r="O339" s="2" t="s">
        <v>224</v>
      </c>
      <c r="P339" s="2" t="s">
        <v>485</v>
      </c>
      <c r="Q339" s="2" t="s">
        <v>226</v>
      </c>
      <c r="R339" s="2" t="s">
        <v>227</v>
      </c>
      <c r="S339" s="2" t="s">
        <v>2402</v>
      </c>
      <c r="T339" s="2" t="s">
        <v>2100</v>
      </c>
      <c r="U339" s="2" t="s">
        <v>227</v>
      </c>
      <c r="V339" s="2" t="s">
        <v>2101</v>
      </c>
      <c r="W339" s="2" t="s">
        <v>231</v>
      </c>
      <c r="X339" s="2" t="s">
        <v>227</v>
      </c>
      <c r="Y339" s="2" t="s">
        <v>2175</v>
      </c>
      <c r="Z339" s="4">
        <v>104</v>
      </c>
      <c r="AA339" s="4">
        <f>=ROUNDDOWN(2.08,0)</f>
      </c>
      <c r="AB339" s="5">
        <v>50</v>
      </c>
      <c r="AC339" s="2" t="s">
        <v>583</v>
      </c>
      <c r="AD339" s="4">
        <v>911</v>
      </c>
      <c r="AE339" s="4">
        <v>1905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227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227</v>
      </c>
      <c r="AW339" s="8" t="s">
        <v>227</v>
      </c>
      <c r="AX339" s="4" t="s">
        <v>227</v>
      </c>
      <c r="AY339" s="8" t="s">
        <v>227</v>
      </c>
      <c r="AZ339" s="7" t="s">
        <v>227</v>
      </c>
      <c r="BA339" s="7" t="s">
        <v>227</v>
      </c>
      <c r="BB339" s="7"/>
      <c r="BC339" s="4" t="s">
        <v>227</v>
      </c>
      <c r="BD339" s="8" t="s">
        <v>227</v>
      </c>
      <c r="BE339" s="4" t="s">
        <v>227</v>
      </c>
      <c r="BF339" s="8" t="s">
        <v>227</v>
      </c>
      <c r="BG339" s="7" t="s">
        <v>227</v>
      </c>
      <c r="BH339" s="7" t="s">
        <v>227</v>
      </c>
      <c r="BI339" s="7"/>
      <c r="BJ339" s="4">
        <v>192</v>
      </c>
      <c r="BK339" s="8">
        <v>4065.11</v>
      </c>
      <c r="BL339" s="2" t="s">
        <v>2406</v>
      </c>
      <c r="BM339" s="7"/>
      <c r="BN339" s="7"/>
      <c r="BO339" s="4"/>
      <c r="BP339" s="8"/>
      <c r="BQ339" s="4"/>
      <c r="BR339" s="8"/>
      <c r="BS339" s="7"/>
      <c r="BT339" s="7"/>
      <c r="BU339" s="2" t="s">
        <v>2407</v>
      </c>
      <c r="BV339" s="2" t="s">
        <v>227</v>
      </c>
      <c r="BW339" s="2" t="s">
        <v>227</v>
      </c>
      <c r="BX339" s="2" t="s">
        <v>235</v>
      </c>
      <c r="BY339" s="2" t="s">
        <v>236</v>
      </c>
      <c r="BZ339" s="2" t="s">
        <v>224</v>
      </c>
      <c r="CA339" s="2" t="s">
        <v>2243</v>
      </c>
      <c r="CB339" s="2" t="s">
        <v>2408</v>
      </c>
      <c r="CC339" s="2" t="s">
        <v>239</v>
      </c>
      <c r="CD339" s="2" t="s">
        <v>227</v>
      </c>
      <c r="CE339" s="4">
        <v>104</v>
      </c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>
        <v>911</v>
      </c>
      <c r="DP339" s="4"/>
      <c r="DQ339" s="4"/>
      <c r="DR339" s="4">
        <v>420</v>
      </c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>
        <v>574</v>
      </c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  <c r="GU339" s="4"/>
      <c r="GV339" s="4"/>
      <c r="GW339" s="4"/>
      <c r="GX339" s="4"/>
    </row>
    <row r="340">
      <c r="A340" s="2" t="s">
        <v>2409</v>
      </c>
      <c r="B340" s="2" t="s">
        <v>278</v>
      </c>
      <c r="C340" s="2" t="s">
        <v>2227</v>
      </c>
      <c r="D340" s="2" t="s">
        <v>280</v>
      </c>
      <c r="E340" s="2" t="s">
        <v>281</v>
      </c>
      <c r="F340" s="2" t="s">
        <v>2228</v>
      </c>
      <c r="G340" s="2" t="s">
        <v>2228</v>
      </c>
      <c r="H340" s="2" t="s">
        <v>2228</v>
      </c>
      <c r="I340" s="2" t="s">
        <v>2229</v>
      </c>
      <c r="J340" s="2" t="s">
        <v>257</v>
      </c>
      <c r="K340" s="2" t="s">
        <v>2401</v>
      </c>
      <c r="L340" s="3">
        <v>27.39</v>
      </c>
      <c r="M340" s="3">
        <v>28.76</v>
      </c>
      <c r="N340" s="3">
        <v>62.99</v>
      </c>
      <c r="O340" s="2" t="s">
        <v>224</v>
      </c>
      <c r="P340" s="2" t="s">
        <v>225</v>
      </c>
      <c r="Q340" s="2" t="s">
        <v>226</v>
      </c>
      <c r="R340" s="2" t="s">
        <v>227</v>
      </c>
      <c r="S340" s="2" t="s">
        <v>2402</v>
      </c>
      <c r="T340" s="2" t="s">
        <v>2100</v>
      </c>
      <c r="U340" s="2" t="s">
        <v>227</v>
      </c>
      <c r="V340" s="2" t="s">
        <v>2101</v>
      </c>
      <c r="W340" s="2" t="s">
        <v>231</v>
      </c>
      <c r="X340" s="2" t="s">
        <v>227</v>
      </c>
      <c r="Y340" s="2" t="s">
        <v>2175</v>
      </c>
      <c r="Z340" s="4">
        <v>320</v>
      </c>
      <c r="AA340" s="4">
        <f>=ROUNDDOWN(8.42105263157895,0)</f>
      </c>
      <c r="AB340" s="5">
        <v>38</v>
      </c>
      <c r="AC340" s="2" t="s">
        <v>583</v>
      </c>
      <c r="AD340" s="4">
        <v>605</v>
      </c>
      <c r="AE340" s="4">
        <v>1397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227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227</v>
      </c>
      <c r="AW340" s="8" t="s">
        <v>227</v>
      </c>
      <c r="AX340" s="4" t="s">
        <v>227</v>
      </c>
      <c r="AY340" s="8" t="s">
        <v>227</v>
      </c>
      <c r="AZ340" s="7" t="s">
        <v>227</v>
      </c>
      <c r="BA340" s="7" t="s">
        <v>227</v>
      </c>
      <c r="BB340" s="7"/>
      <c r="BC340" s="4" t="s">
        <v>227</v>
      </c>
      <c r="BD340" s="8" t="s">
        <v>227</v>
      </c>
      <c r="BE340" s="4" t="s">
        <v>227</v>
      </c>
      <c r="BF340" s="8" t="s">
        <v>227</v>
      </c>
      <c r="BG340" s="7" t="s">
        <v>227</v>
      </c>
      <c r="BH340" s="7" t="s">
        <v>227</v>
      </c>
      <c r="BI340" s="7"/>
      <c r="BJ340" s="4">
        <v>66</v>
      </c>
      <c r="BK340" s="8">
        <v>1932.1</v>
      </c>
      <c r="BL340" s="2" t="s">
        <v>2410</v>
      </c>
      <c r="BM340" s="7"/>
      <c r="BN340" s="7"/>
      <c r="BO340" s="4"/>
      <c r="BP340" s="8"/>
      <c r="BQ340" s="4"/>
      <c r="BR340" s="8"/>
      <c r="BS340" s="7"/>
      <c r="BT340" s="7"/>
      <c r="BU340" s="2" t="s">
        <v>2411</v>
      </c>
      <c r="BV340" s="2" t="s">
        <v>227</v>
      </c>
      <c r="BW340" s="2" t="s">
        <v>227</v>
      </c>
      <c r="BX340" s="2" t="s">
        <v>235</v>
      </c>
      <c r="BY340" s="2" t="s">
        <v>236</v>
      </c>
      <c r="BZ340" s="2" t="s">
        <v>224</v>
      </c>
      <c r="CA340" s="2" t="s">
        <v>2243</v>
      </c>
      <c r="CB340" s="2" t="s">
        <v>2412</v>
      </c>
      <c r="CC340" s="2" t="s">
        <v>239</v>
      </c>
      <c r="CD340" s="2" t="s">
        <v>227</v>
      </c>
      <c r="CE340" s="4">
        <v>320</v>
      </c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>
        <v>605</v>
      </c>
      <c r="DP340" s="4"/>
      <c r="DQ340" s="4"/>
      <c r="DR340" s="4">
        <v>330</v>
      </c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>
        <v>462</v>
      </c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  <c r="GU340" s="4"/>
      <c r="GV340" s="4"/>
      <c r="GW340" s="4"/>
      <c r="GX340" s="4"/>
    </row>
    <row r="341">
      <c r="A341" s="2" t="s">
        <v>2413</v>
      </c>
      <c r="B341" s="2" t="s">
        <v>278</v>
      </c>
      <c r="C341" s="2" t="s">
        <v>2227</v>
      </c>
      <c r="D341" s="2" t="s">
        <v>280</v>
      </c>
      <c r="E341" s="2" t="s">
        <v>281</v>
      </c>
      <c r="F341" s="2" t="s">
        <v>2228</v>
      </c>
      <c r="G341" s="2" t="s">
        <v>2228</v>
      </c>
      <c r="H341" s="2" t="s">
        <v>2228</v>
      </c>
      <c r="I341" s="2" t="s">
        <v>2229</v>
      </c>
      <c r="J341" s="2" t="s">
        <v>384</v>
      </c>
      <c r="K341" s="2" t="s">
        <v>2401</v>
      </c>
      <c r="L341" s="3">
        <v>27.39</v>
      </c>
      <c r="M341" s="3">
        <v>28.76</v>
      </c>
      <c r="N341" s="3">
        <v>62.99</v>
      </c>
      <c r="O341" s="2" t="s">
        <v>224</v>
      </c>
      <c r="P341" s="2" t="s">
        <v>225</v>
      </c>
      <c r="Q341" s="2" t="s">
        <v>226</v>
      </c>
      <c r="R341" s="2" t="s">
        <v>227</v>
      </c>
      <c r="S341" s="2" t="s">
        <v>2402</v>
      </c>
      <c r="T341" s="2" t="s">
        <v>2100</v>
      </c>
      <c r="U341" s="2" t="s">
        <v>227</v>
      </c>
      <c r="V341" s="2" t="s">
        <v>2101</v>
      </c>
      <c r="W341" s="2" t="s">
        <v>231</v>
      </c>
      <c r="X341" s="2" t="s">
        <v>227</v>
      </c>
      <c r="Y341" s="2" t="s">
        <v>2175</v>
      </c>
      <c r="Z341" s="4">
        <v>174</v>
      </c>
      <c r="AA341" s="4">
        <f>=ROUNDDOWN(6.96,0)</f>
      </c>
      <c r="AB341" s="5">
        <v>25</v>
      </c>
      <c r="AC341" s="2" t="s">
        <v>583</v>
      </c>
      <c r="AD341" s="4">
        <v>375</v>
      </c>
      <c r="AE341" s="4">
        <v>897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227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227</v>
      </c>
      <c r="AW341" s="8" t="s">
        <v>227</v>
      </c>
      <c r="AX341" s="4" t="s">
        <v>227</v>
      </c>
      <c r="AY341" s="8" t="s">
        <v>227</v>
      </c>
      <c r="AZ341" s="7" t="s">
        <v>227</v>
      </c>
      <c r="BA341" s="7" t="s">
        <v>227</v>
      </c>
      <c r="BB341" s="7"/>
      <c r="BC341" s="4" t="s">
        <v>227</v>
      </c>
      <c r="BD341" s="8" t="s">
        <v>227</v>
      </c>
      <c r="BE341" s="4" t="s">
        <v>227</v>
      </c>
      <c r="BF341" s="8" t="s">
        <v>227</v>
      </c>
      <c r="BG341" s="7" t="s">
        <v>227</v>
      </c>
      <c r="BH341" s="7" t="s">
        <v>227</v>
      </c>
      <c r="BI341" s="7"/>
      <c r="BJ341" s="4">
        <v>20</v>
      </c>
      <c r="BK341" s="8">
        <v>589.81</v>
      </c>
      <c r="BL341" s="2" t="s">
        <v>2320</v>
      </c>
      <c r="BM341" s="7"/>
      <c r="BN341" s="7"/>
      <c r="BO341" s="4"/>
      <c r="BP341" s="8"/>
      <c r="BQ341" s="4"/>
      <c r="BR341" s="8"/>
      <c r="BS341" s="7"/>
      <c r="BT341" s="7"/>
      <c r="BU341" s="2" t="s">
        <v>2414</v>
      </c>
      <c r="BV341" s="2" t="s">
        <v>227</v>
      </c>
      <c r="BW341" s="2" t="s">
        <v>227</v>
      </c>
      <c r="BX341" s="2" t="s">
        <v>235</v>
      </c>
      <c r="BY341" s="2" t="s">
        <v>236</v>
      </c>
      <c r="BZ341" s="2" t="s">
        <v>224</v>
      </c>
      <c r="CA341" s="2" t="s">
        <v>2243</v>
      </c>
      <c r="CB341" s="2" t="s">
        <v>2210</v>
      </c>
      <c r="CC341" s="2" t="s">
        <v>239</v>
      </c>
      <c r="CD341" s="2" t="s">
        <v>227</v>
      </c>
      <c r="CE341" s="4">
        <v>174</v>
      </c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>
        <v>375</v>
      </c>
      <c r="DP341" s="4"/>
      <c r="DQ341" s="4"/>
      <c r="DR341" s="4">
        <v>220</v>
      </c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>
        <v>302</v>
      </c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/>
      <c r="GM341" s="4"/>
      <c r="GN341" s="4"/>
      <c r="GO341" s="4"/>
      <c r="GP341" s="4"/>
      <c r="GQ341" s="4"/>
      <c r="GR341" s="4"/>
      <c r="GS341" s="4"/>
      <c r="GT341" s="4"/>
      <c r="GU341" s="4"/>
      <c r="GV341" s="4"/>
      <c r="GW341" s="4"/>
      <c r="GX341" s="4"/>
    </row>
    <row r="342">
      <c r="A342" s="2" t="s">
        <v>2415</v>
      </c>
      <c r="B342" s="2" t="s">
        <v>278</v>
      </c>
      <c r="C342" s="2" t="s">
        <v>2227</v>
      </c>
      <c r="D342" s="2" t="s">
        <v>280</v>
      </c>
      <c r="E342" s="2" t="s">
        <v>281</v>
      </c>
      <c r="F342" s="2" t="s">
        <v>2228</v>
      </c>
      <c r="G342" s="2" t="s">
        <v>2228</v>
      </c>
      <c r="H342" s="2" t="s">
        <v>2228</v>
      </c>
      <c r="I342" s="2" t="s">
        <v>2229</v>
      </c>
      <c r="J342" s="2" t="s">
        <v>247</v>
      </c>
      <c r="K342" s="2" t="s">
        <v>2416</v>
      </c>
      <c r="L342" s="3">
        <v>19.57</v>
      </c>
      <c r="M342" s="3">
        <v>20.55</v>
      </c>
      <c r="N342" s="3">
        <v>42.99</v>
      </c>
      <c r="O342" s="2" t="s">
        <v>224</v>
      </c>
      <c r="P342" s="2" t="s">
        <v>530</v>
      </c>
      <c r="Q342" s="2" t="s">
        <v>226</v>
      </c>
      <c r="R342" s="2" t="s">
        <v>227</v>
      </c>
      <c r="S342" s="2" t="s">
        <v>2417</v>
      </c>
      <c r="T342" s="2" t="s">
        <v>2100</v>
      </c>
      <c r="U342" s="2" t="s">
        <v>287</v>
      </c>
      <c r="V342" s="2" t="s">
        <v>2101</v>
      </c>
      <c r="W342" s="2" t="s">
        <v>231</v>
      </c>
      <c r="X342" s="2" t="s">
        <v>705</v>
      </c>
      <c r="Y342" s="2" t="s">
        <v>2120</v>
      </c>
      <c r="Z342" s="4">
        <v>728</v>
      </c>
      <c r="AA342" s="4">
        <f>=ROUNDDOWN(18.6666666666667,0)</f>
      </c>
      <c r="AB342" s="5">
        <v>39</v>
      </c>
      <c r="AC342" s="2" t="s">
        <v>2234</v>
      </c>
      <c r="AD342" s="4">
        <v>370</v>
      </c>
      <c r="AE342" s="4">
        <v>1011</v>
      </c>
      <c r="AF342" s="6">
        <v>65</v>
      </c>
      <c r="AG342" s="6"/>
      <c r="AH342" s="7">
        <v>0.3871</v>
      </c>
      <c r="AI342" s="4"/>
      <c r="AJ342" s="4">
        <f>=ROUNDDOWN({0},0)</f>
      </c>
      <c r="AK342" s="5"/>
      <c r="AL342" s="2" t="s">
        <v>227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 t="s">
        <v>227</v>
      </c>
      <c r="BD342" s="8" t="s">
        <v>227</v>
      </c>
      <c r="BE342" s="4" t="s">
        <v>227</v>
      </c>
      <c r="BF342" s="8" t="s">
        <v>227</v>
      </c>
      <c r="BG342" s="7" t="s">
        <v>227</v>
      </c>
      <c r="BH342" s="7" t="s">
        <v>227</v>
      </c>
      <c r="BI342" s="7"/>
      <c r="BJ342" s="4">
        <v>18</v>
      </c>
      <c r="BK342" s="8">
        <v>383.98</v>
      </c>
      <c r="BL342" s="2" t="s">
        <v>2418</v>
      </c>
      <c r="BM342" s="7"/>
      <c r="BN342" s="7"/>
      <c r="BO342" s="4"/>
      <c r="BP342" s="8"/>
      <c r="BQ342" s="4"/>
      <c r="BR342" s="8"/>
      <c r="BS342" s="7"/>
      <c r="BT342" s="7"/>
      <c r="BU342" s="2" t="s">
        <v>2419</v>
      </c>
      <c r="BV342" s="2" t="s">
        <v>227</v>
      </c>
      <c r="BW342" s="2" t="s">
        <v>227</v>
      </c>
      <c r="BX342" s="2" t="s">
        <v>235</v>
      </c>
      <c r="BY342" s="2" t="s">
        <v>236</v>
      </c>
      <c r="BZ342" s="2" t="s">
        <v>224</v>
      </c>
      <c r="CA342" s="2" t="s">
        <v>1247</v>
      </c>
      <c r="CB342" s="2" t="s">
        <v>2171</v>
      </c>
      <c r="CC342" s="2" t="s">
        <v>239</v>
      </c>
      <c r="CD342" s="2" t="s">
        <v>227</v>
      </c>
      <c r="CE342" s="4">
        <v>728</v>
      </c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>
        <v>370</v>
      </c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>
        <v>321</v>
      </c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>
        <v>320</v>
      </c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  <c r="GT342" s="4"/>
      <c r="GU342" s="4"/>
      <c r="GV342" s="4"/>
      <c r="GW342" s="4"/>
      <c r="GX342" s="4"/>
    </row>
    <row r="343">
      <c r="A343" s="2" t="s">
        <v>2420</v>
      </c>
      <c r="B343" s="2" t="s">
        <v>278</v>
      </c>
      <c r="C343" s="2" t="s">
        <v>2227</v>
      </c>
      <c r="D343" s="2" t="s">
        <v>280</v>
      </c>
      <c r="E343" s="2" t="s">
        <v>281</v>
      </c>
      <c r="F343" s="2" t="s">
        <v>2228</v>
      </c>
      <c r="G343" s="2" t="s">
        <v>2228</v>
      </c>
      <c r="H343" s="2" t="s">
        <v>2228</v>
      </c>
      <c r="I343" s="2" t="s">
        <v>2229</v>
      </c>
      <c r="J343" s="2" t="s">
        <v>241</v>
      </c>
      <c r="K343" s="2" t="s">
        <v>2421</v>
      </c>
      <c r="L343" s="3">
        <v>16.16</v>
      </c>
      <c r="M343" s="3">
        <v>16.97</v>
      </c>
      <c r="N343" s="3">
        <v>34.99</v>
      </c>
      <c r="O343" s="2" t="s">
        <v>224</v>
      </c>
      <c r="P343" s="2" t="s">
        <v>225</v>
      </c>
      <c r="Q343" s="2" t="s">
        <v>226</v>
      </c>
      <c r="R343" s="2" t="s">
        <v>227</v>
      </c>
      <c r="S343" s="2" t="s">
        <v>2422</v>
      </c>
      <c r="T343" s="2" t="s">
        <v>2100</v>
      </c>
      <c r="U343" s="2" t="s">
        <v>227</v>
      </c>
      <c r="V343" s="2" t="s">
        <v>2101</v>
      </c>
      <c r="W343" s="2" t="s">
        <v>231</v>
      </c>
      <c r="X343" s="2" t="s">
        <v>227</v>
      </c>
      <c r="Y343" s="2" t="s">
        <v>2175</v>
      </c>
      <c r="Z343" s="4">
        <v>53</v>
      </c>
      <c r="AA343" s="4">
        <f>=ROUNDDOWN(4.41666666666667,0)</f>
      </c>
      <c r="AB343" s="5">
        <v>12</v>
      </c>
      <c r="AC343" s="2" t="s">
        <v>583</v>
      </c>
      <c r="AD343" s="4">
        <v>209</v>
      </c>
      <c r="AE343" s="4">
        <v>468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227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 t="s">
        <v>227</v>
      </c>
      <c r="BD343" s="8" t="s">
        <v>227</v>
      </c>
      <c r="BE343" s="4" t="s">
        <v>227</v>
      </c>
      <c r="BF343" s="8" t="s">
        <v>227</v>
      </c>
      <c r="BG343" s="7" t="s">
        <v>227</v>
      </c>
      <c r="BH343" s="7" t="s">
        <v>227</v>
      </c>
      <c r="BI343" s="7"/>
      <c r="BJ343" s="4">
        <v>33</v>
      </c>
      <c r="BK343" s="8">
        <v>606.58</v>
      </c>
      <c r="BL343" s="2" t="s">
        <v>1728</v>
      </c>
      <c r="BM343" s="7"/>
      <c r="BN343" s="7"/>
      <c r="BO343" s="4"/>
      <c r="BP343" s="8"/>
      <c r="BQ343" s="4"/>
      <c r="BR343" s="8"/>
      <c r="BS343" s="7"/>
      <c r="BT343" s="7"/>
      <c r="BU343" s="2" t="s">
        <v>2423</v>
      </c>
      <c r="BV343" s="2" t="s">
        <v>227</v>
      </c>
      <c r="BW343" s="2" t="s">
        <v>227</v>
      </c>
      <c r="BX343" s="2" t="s">
        <v>235</v>
      </c>
      <c r="BY343" s="2" t="s">
        <v>236</v>
      </c>
      <c r="BZ343" s="2" t="s">
        <v>224</v>
      </c>
      <c r="CA343" s="2" t="s">
        <v>2243</v>
      </c>
      <c r="CB343" s="2" t="s">
        <v>2424</v>
      </c>
      <c r="CC343" s="2" t="s">
        <v>239</v>
      </c>
      <c r="CD343" s="2" t="s">
        <v>227</v>
      </c>
      <c r="CE343" s="4">
        <v>53</v>
      </c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>
        <v>209</v>
      </c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>
        <v>100</v>
      </c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>
        <v>159</v>
      </c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  <c r="GT343" s="4"/>
      <c r="GU343" s="4"/>
      <c r="GV343" s="4"/>
      <c r="GW343" s="4"/>
      <c r="GX343" s="4"/>
    </row>
    <row r="344">
      <c r="A344" s="2" t="s">
        <v>2425</v>
      </c>
      <c r="B344" s="2" t="s">
        <v>278</v>
      </c>
      <c r="C344" s="2" t="s">
        <v>2227</v>
      </c>
      <c r="D344" s="2" t="s">
        <v>280</v>
      </c>
      <c r="E344" s="2" t="s">
        <v>281</v>
      </c>
      <c r="F344" s="2" t="s">
        <v>2228</v>
      </c>
      <c r="G344" s="2" t="s">
        <v>2228</v>
      </c>
      <c r="H344" s="2" t="s">
        <v>2228</v>
      </c>
      <c r="I344" s="2" t="s">
        <v>2229</v>
      </c>
      <c r="J344" s="2" t="s">
        <v>222</v>
      </c>
      <c r="K344" s="2" t="s">
        <v>2426</v>
      </c>
      <c r="L344" s="3">
        <v>14.89</v>
      </c>
      <c r="M344" s="3">
        <v>15.63</v>
      </c>
      <c r="N344" s="3">
        <v>31.99</v>
      </c>
      <c r="O344" s="2" t="s">
        <v>224</v>
      </c>
      <c r="P344" s="2" t="s">
        <v>225</v>
      </c>
      <c r="Q344" s="2" t="s">
        <v>226</v>
      </c>
      <c r="R344" s="2" t="s">
        <v>227</v>
      </c>
      <c r="S344" s="2" t="s">
        <v>2427</v>
      </c>
      <c r="T344" s="2" t="s">
        <v>2100</v>
      </c>
      <c r="U344" s="2" t="s">
        <v>227</v>
      </c>
      <c r="V344" s="2" t="s">
        <v>782</v>
      </c>
      <c r="W344" s="2" t="s">
        <v>231</v>
      </c>
      <c r="X344" s="2" t="s">
        <v>227</v>
      </c>
      <c r="Y344" s="2" t="s">
        <v>2112</v>
      </c>
      <c r="Z344" s="4">
        <v>263</v>
      </c>
      <c r="AA344" s="4">
        <f>=ROUNDDOWN(4.69642857142857,0)</f>
      </c>
      <c r="AB344" s="5">
        <v>56</v>
      </c>
      <c r="AC344" s="2" t="s">
        <v>583</v>
      </c>
      <c r="AD344" s="4">
        <v>1099</v>
      </c>
      <c r="AE344" s="4">
        <v>2171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227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227</v>
      </c>
      <c r="AW344" s="8" t="s">
        <v>227</v>
      </c>
      <c r="AX344" s="4" t="s">
        <v>227</v>
      </c>
      <c r="AY344" s="8" t="s">
        <v>227</v>
      </c>
      <c r="AZ344" s="7" t="s">
        <v>227</v>
      </c>
      <c r="BA344" s="7" t="s">
        <v>227</v>
      </c>
      <c r="BB344" s="7"/>
      <c r="BC344" s="4" t="s">
        <v>227</v>
      </c>
      <c r="BD344" s="8" t="s">
        <v>227</v>
      </c>
      <c r="BE344" s="4" t="s">
        <v>227</v>
      </c>
      <c r="BF344" s="8" t="s">
        <v>227</v>
      </c>
      <c r="BG344" s="7" t="s">
        <v>227</v>
      </c>
      <c r="BH344" s="7" t="s">
        <v>227</v>
      </c>
      <c r="BI344" s="7"/>
      <c r="BJ344" s="4">
        <v>145</v>
      </c>
      <c r="BK344" s="8">
        <v>2330.28</v>
      </c>
      <c r="BL344" s="2" t="s">
        <v>2276</v>
      </c>
      <c r="BM344" s="7"/>
      <c r="BN344" s="7"/>
      <c r="BO344" s="4"/>
      <c r="BP344" s="8"/>
      <c r="BQ344" s="4"/>
      <c r="BR344" s="8"/>
      <c r="BS344" s="7"/>
      <c r="BT344" s="7"/>
      <c r="BU344" s="2" t="s">
        <v>2428</v>
      </c>
      <c r="BV344" s="2" t="s">
        <v>227</v>
      </c>
      <c r="BW344" s="2" t="s">
        <v>227</v>
      </c>
      <c r="BX344" s="2" t="s">
        <v>235</v>
      </c>
      <c r="BY344" s="2" t="s">
        <v>236</v>
      </c>
      <c r="BZ344" s="2" t="s">
        <v>224</v>
      </c>
      <c r="CA344" s="2" t="s">
        <v>2243</v>
      </c>
      <c r="CB344" s="2" t="s">
        <v>2254</v>
      </c>
      <c r="CC344" s="2" t="s">
        <v>239</v>
      </c>
      <c r="CD344" s="2" t="s">
        <v>227</v>
      </c>
      <c r="CE344" s="4">
        <v>263</v>
      </c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>
        <v>1099</v>
      </c>
      <c r="DP344" s="4"/>
      <c r="DQ344" s="4"/>
      <c r="DR344" s="4">
        <v>465</v>
      </c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>
        <v>607</v>
      </c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/>
    </row>
    <row r="345">
      <c r="A345" s="2" t="s">
        <v>2429</v>
      </c>
      <c r="B345" s="2" t="s">
        <v>278</v>
      </c>
      <c r="C345" s="2" t="s">
        <v>2227</v>
      </c>
      <c r="D345" s="2" t="s">
        <v>280</v>
      </c>
      <c r="E345" s="2" t="s">
        <v>281</v>
      </c>
      <c r="F345" s="2" t="s">
        <v>2228</v>
      </c>
      <c r="G345" s="2" t="s">
        <v>2228</v>
      </c>
      <c r="H345" s="2" t="s">
        <v>2228</v>
      </c>
      <c r="I345" s="2" t="s">
        <v>2229</v>
      </c>
      <c r="J345" s="2" t="s">
        <v>241</v>
      </c>
      <c r="K345" s="2" t="s">
        <v>2426</v>
      </c>
      <c r="L345" s="3">
        <v>16.16</v>
      </c>
      <c r="M345" s="3">
        <v>16.97</v>
      </c>
      <c r="N345" s="3">
        <v>34.99</v>
      </c>
      <c r="O345" s="2" t="s">
        <v>224</v>
      </c>
      <c r="P345" s="2" t="s">
        <v>225</v>
      </c>
      <c r="Q345" s="2" t="s">
        <v>226</v>
      </c>
      <c r="R345" s="2" t="s">
        <v>227</v>
      </c>
      <c r="S345" s="2" t="s">
        <v>2427</v>
      </c>
      <c r="T345" s="2" t="s">
        <v>2100</v>
      </c>
      <c r="U345" s="2" t="s">
        <v>227</v>
      </c>
      <c r="V345" s="2" t="s">
        <v>782</v>
      </c>
      <c r="W345" s="2" t="s">
        <v>231</v>
      </c>
      <c r="X345" s="2" t="s">
        <v>227</v>
      </c>
      <c r="Y345" s="2" t="s">
        <v>2112</v>
      </c>
      <c r="Z345" s="4"/>
      <c r="AA345" s="4">
        <f>=ROUNDDOWN({0},0)</f>
      </c>
      <c r="AB345" s="5">
        <v>44</v>
      </c>
      <c r="AC345" s="2" t="s">
        <v>583</v>
      </c>
      <c r="AD345" s="4">
        <v>782</v>
      </c>
      <c r="AE345" s="4">
        <v>1650</v>
      </c>
      <c r="AF345" s="6">
        <v>65</v>
      </c>
      <c r="AG345" s="6"/>
      <c r="AH345" s="7">
        <v>0.129</v>
      </c>
      <c r="AI345" s="4"/>
      <c r="AJ345" s="4">
        <f>=ROUNDDOWN({0},0)</f>
      </c>
      <c r="AK345" s="5"/>
      <c r="AL345" s="2" t="s">
        <v>227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227</v>
      </c>
      <c r="AW345" s="8" t="s">
        <v>227</v>
      </c>
      <c r="AX345" s="4" t="s">
        <v>227</v>
      </c>
      <c r="AY345" s="8" t="s">
        <v>227</v>
      </c>
      <c r="AZ345" s="7" t="s">
        <v>227</v>
      </c>
      <c r="BA345" s="7" t="s">
        <v>227</v>
      </c>
      <c r="BB345" s="7"/>
      <c r="BC345" s="4" t="s">
        <v>227</v>
      </c>
      <c r="BD345" s="8" t="s">
        <v>227</v>
      </c>
      <c r="BE345" s="4" t="s">
        <v>227</v>
      </c>
      <c r="BF345" s="8" t="s">
        <v>227</v>
      </c>
      <c r="BG345" s="7" t="s">
        <v>227</v>
      </c>
      <c r="BH345" s="7" t="s">
        <v>227</v>
      </c>
      <c r="BI345" s="7"/>
      <c r="BJ345" s="4">
        <v>147</v>
      </c>
      <c r="BK345" s="8">
        <v>2563.7</v>
      </c>
      <c r="BL345" s="2" t="s">
        <v>2430</v>
      </c>
      <c r="BM345" s="7"/>
      <c r="BN345" s="7"/>
      <c r="BO345" s="4"/>
      <c r="BP345" s="8"/>
      <c r="BQ345" s="4"/>
      <c r="BR345" s="8"/>
      <c r="BS345" s="7"/>
      <c r="BT345" s="7"/>
      <c r="BU345" s="2" t="s">
        <v>2431</v>
      </c>
      <c r="BV345" s="2" t="s">
        <v>227</v>
      </c>
      <c r="BW345" s="2" t="s">
        <v>227</v>
      </c>
      <c r="BX345" s="2" t="s">
        <v>235</v>
      </c>
      <c r="BY345" s="2" t="s">
        <v>236</v>
      </c>
      <c r="BZ345" s="2" t="s">
        <v>224</v>
      </c>
      <c r="CA345" s="2" t="s">
        <v>2243</v>
      </c>
      <c r="CB345" s="2" t="s">
        <v>2432</v>
      </c>
      <c r="CC345" s="2" t="s">
        <v>239</v>
      </c>
      <c r="CD345" s="2" t="s">
        <v>227</v>
      </c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>
        <v>782</v>
      </c>
      <c r="DP345" s="4"/>
      <c r="DQ345" s="4"/>
      <c r="DR345" s="4">
        <v>338</v>
      </c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>
        <v>530</v>
      </c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  <c r="GT345" s="4"/>
      <c r="GU345" s="4"/>
      <c r="GV345" s="4"/>
      <c r="GW345" s="4"/>
      <c r="GX345" s="4"/>
    </row>
    <row r="346">
      <c r="A346" s="2" t="s">
        <v>2433</v>
      </c>
      <c r="B346" s="2" t="s">
        <v>278</v>
      </c>
      <c r="C346" s="2" t="s">
        <v>2227</v>
      </c>
      <c r="D346" s="2" t="s">
        <v>280</v>
      </c>
      <c r="E346" s="2" t="s">
        <v>281</v>
      </c>
      <c r="F346" s="2" t="s">
        <v>2228</v>
      </c>
      <c r="G346" s="2" t="s">
        <v>2228</v>
      </c>
      <c r="H346" s="2" t="s">
        <v>2228</v>
      </c>
      <c r="I346" s="2" t="s">
        <v>2229</v>
      </c>
      <c r="J346" s="2" t="s">
        <v>247</v>
      </c>
      <c r="K346" s="2" t="s">
        <v>2426</v>
      </c>
      <c r="L346" s="3">
        <v>19.57</v>
      </c>
      <c r="M346" s="3">
        <v>20.55</v>
      </c>
      <c r="N346" s="3">
        <v>42.99</v>
      </c>
      <c r="O346" s="2" t="s">
        <v>224</v>
      </c>
      <c r="P346" s="2" t="s">
        <v>225</v>
      </c>
      <c r="Q346" s="2" t="s">
        <v>226</v>
      </c>
      <c r="R346" s="2" t="s">
        <v>227</v>
      </c>
      <c r="S346" s="2" t="s">
        <v>2427</v>
      </c>
      <c r="T346" s="2" t="s">
        <v>2100</v>
      </c>
      <c r="U346" s="2" t="s">
        <v>227</v>
      </c>
      <c r="V346" s="2" t="s">
        <v>782</v>
      </c>
      <c r="W346" s="2" t="s">
        <v>231</v>
      </c>
      <c r="X346" s="2" t="s">
        <v>227</v>
      </c>
      <c r="Y346" s="2" t="s">
        <v>2112</v>
      </c>
      <c r="Z346" s="4">
        <v>310</v>
      </c>
      <c r="AA346" s="4">
        <f>=ROUNDDOWN(7.5609756097561,0)</f>
      </c>
      <c r="AB346" s="5">
        <v>41</v>
      </c>
      <c r="AC346" s="2" t="s">
        <v>583</v>
      </c>
      <c r="AD346" s="4">
        <v>764</v>
      </c>
      <c r="AE346" s="4">
        <v>1585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227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227</v>
      </c>
      <c r="AW346" s="8" t="s">
        <v>227</v>
      </c>
      <c r="AX346" s="4" t="s">
        <v>227</v>
      </c>
      <c r="AY346" s="8" t="s">
        <v>227</v>
      </c>
      <c r="AZ346" s="7" t="s">
        <v>227</v>
      </c>
      <c r="BA346" s="7" t="s">
        <v>227</v>
      </c>
      <c r="BB346" s="7"/>
      <c r="BC346" s="4" t="s">
        <v>227</v>
      </c>
      <c r="BD346" s="8" t="s">
        <v>227</v>
      </c>
      <c r="BE346" s="4" t="s">
        <v>227</v>
      </c>
      <c r="BF346" s="8" t="s">
        <v>227</v>
      </c>
      <c r="BG346" s="7" t="s">
        <v>227</v>
      </c>
      <c r="BH346" s="7" t="s">
        <v>227</v>
      </c>
      <c r="BI346" s="7"/>
      <c r="BJ346" s="4">
        <v>93</v>
      </c>
      <c r="BK346" s="8">
        <v>2002.09</v>
      </c>
      <c r="BL346" s="2" t="s">
        <v>2434</v>
      </c>
      <c r="BM346" s="7"/>
      <c r="BN346" s="7"/>
      <c r="BO346" s="4"/>
      <c r="BP346" s="8"/>
      <c r="BQ346" s="4"/>
      <c r="BR346" s="8"/>
      <c r="BS346" s="7"/>
      <c r="BT346" s="7"/>
      <c r="BU346" s="2" t="s">
        <v>2435</v>
      </c>
      <c r="BV346" s="2" t="s">
        <v>227</v>
      </c>
      <c r="BW346" s="2" t="s">
        <v>227</v>
      </c>
      <c r="BX346" s="2" t="s">
        <v>235</v>
      </c>
      <c r="BY346" s="2" t="s">
        <v>236</v>
      </c>
      <c r="BZ346" s="2" t="s">
        <v>224</v>
      </c>
      <c r="CA346" s="2" t="s">
        <v>2243</v>
      </c>
      <c r="CB346" s="2" t="s">
        <v>2254</v>
      </c>
      <c r="CC346" s="2" t="s">
        <v>239</v>
      </c>
      <c r="CD346" s="2" t="s">
        <v>227</v>
      </c>
      <c r="CE346" s="4">
        <v>310</v>
      </c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>
        <v>764</v>
      </c>
      <c r="DP346" s="4"/>
      <c r="DQ346" s="4"/>
      <c r="DR346" s="4">
        <v>345</v>
      </c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>
        <v>476</v>
      </c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  <c r="GU346" s="4"/>
      <c r="GV346" s="4"/>
      <c r="GW346" s="4"/>
      <c r="GX346" s="4"/>
    </row>
    <row r="347">
      <c r="A347" s="2" t="s">
        <v>2436</v>
      </c>
      <c r="B347" s="2" t="s">
        <v>278</v>
      </c>
      <c r="C347" s="2" t="s">
        <v>2227</v>
      </c>
      <c r="D347" s="2" t="s">
        <v>280</v>
      </c>
      <c r="E347" s="2" t="s">
        <v>281</v>
      </c>
      <c r="F347" s="2" t="s">
        <v>2228</v>
      </c>
      <c r="G347" s="2" t="s">
        <v>2228</v>
      </c>
      <c r="H347" s="2" t="s">
        <v>2228</v>
      </c>
      <c r="I347" s="2" t="s">
        <v>2229</v>
      </c>
      <c r="J347" s="2" t="s">
        <v>252</v>
      </c>
      <c r="K347" s="2" t="s">
        <v>2426</v>
      </c>
      <c r="L347" s="3">
        <v>22.21</v>
      </c>
      <c r="M347" s="3">
        <v>23.32</v>
      </c>
      <c r="N347" s="3">
        <v>47.99</v>
      </c>
      <c r="O347" s="2" t="s">
        <v>224</v>
      </c>
      <c r="P347" s="2" t="s">
        <v>485</v>
      </c>
      <c r="Q347" s="2" t="s">
        <v>226</v>
      </c>
      <c r="R347" s="2" t="s">
        <v>227</v>
      </c>
      <c r="S347" s="2" t="s">
        <v>2427</v>
      </c>
      <c r="T347" s="2" t="s">
        <v>2100</v>
      </c>
      <c r="U347" s="2" t="s">
        <v>227</v>
      </c>
      <c r="V347" s="2" t="s">
        <v>782</v>
      </c>
      <c r="W347" s="2" t="s">
        <v>231</v>
      </c>
      <c r="X347" s="2" t="s">
        <v>227</v>
      </c>
      <c r="Y347" s="2" t="s">
        <v>2112</v>
      </c>
      <c r="Z347" s="4">
        <v>179</v>
      </c>
      <c r="AA347" s="4">
        <f>=ROUNDDOWN(3.97777777777778,0)</f>
      </c>
      <c r="AB347" s="5">
        <v>45</v>
      </c>
      <c r="AC347" s="2" t="s">
        <v>583</v>
      </c>
      <c r="AD347" s="4">
        <v>820</v>
      </c>
      <c r="AE347" s="4">
        <v>1725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227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227</v>
      </c>
      <c r="AW347" s="8" t="s">
        <v>227</v>
      </c>
      <c r="AX347" s="4" t="s">
        <v>227</v>
      </c>
      <c r="AY347" s="8" t="s">
        <v>227</v>
      </c>
      <c r="AZ347" s="7" t="s">
        <v>227</v>
      </c>
      <c r="BA347" s="7" t="s">
        <v>227</v>
      </c>
      <c r="BB347" s="7"/>
      <c r="BC347" s="4" t="s">
        <v>227</v>
      </c>
      <c r="BD347" s="8" t="s">
        <v>227</v>
      </c>
      <c r="BE347" s="4" t="s">
        <v>227</v>
      </c>
      <c r="BF347" s="8" t="s">
        <v>227</v>
      </c>
      <c r="BG347" s="7" t="s">
        <v>227</v>
      </c>
      <c r="BH347" s="7" t="s">
        <v>227</v>
      </c>
      <c r="BI347" s="7"/>
      <c r="BJ347" s="4">
        <v>114</v>
      </c>
      <c r="BK347" s="8">
        <v>2734.83</v>
      </c>
      <c r="BL347" s="2" t="s">
        <v>2057</v>
      </c>
      <c r="BM347" s="7"/>
      <c r="BN347" s="7"/>
      <c r="BO347" s="4"/>
      <c r="BP347" s="8"/>
      <c r="BQ347" s="4"/>
      <c r="BR347" s="8"/>
      <c r="BS347" s="7"/>
      <c r="BT347" s="7"/>
      <c r="BU347" s="2" t="s">
        <v>2437</v>
      </c>
      <c r="BV347" s="2" t="s">
        <v>227</v>
      </c>
      <c r="BW347" s="2" t="s">
        <v>227</v>
      </c>
      <c r="BX347" s="2" t="s">
        <v>235</v>
      </c>
      <c r="BY347" s="2" t="s">
        <v>236</v>
      </c>
      <c r="BZ347" s="2" t="s">
        <v>224</v>
      </c>
      <c r="CA347" s="2" t="s">
        <v>2243</v>
      </c>
      <c r="CB347" s="2" t="s">
        <v>2278</v>
      </c>
      <c r="CC347" s="2" t="s">
        <v>239</v>
      </c>
      <c r="CD347" s="2" t="s">
        <v>227</v>
      </c>
      <c r="CE347" s="4">
        <v>179</v>
      </c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>
        <v>820</v>
      </c>
      <c r="DP347" s="4"/>
      <c r="DQ347" s="4"/>
      <c r="DR347" s="4">
        <v>382</v>
      </c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>
        <v>523</v>
      </c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  <c r="GU347" s="4"/>
      <c r="GV347" s="4"/>
      <c r="GW347" s="4"/>
      <c r="GX347" s="4"/>
    </row>
    <row r="348">
      <c r="A348" s="2" t="s">
        <v>2438</v>
      </c>
      <c r="B348" s="2" t="s">
        <v>278</v>
      </c>
      <c r="C348" s="2" t="s">
        <v>2227</v>
      </c>
      <c r="D348" s="2" t="s">
        <v>280</v>
      </c>
      <c r="E348" s="2" t="s">
        <v>281</v>
      </c>
      <c r="F348" s="2" t="s">
        <v>2228</v>
      </c>
      <c r="G348" s="2" t="s">
        <v>2228</v>
      </c>
      <c r="H348" s="2" t="s">
        <v>2228</v>
      </c>
      <c r="I348" s="2" t="s">
        <v>2229</v>
      </c>
      <c r="J348" s="2" t="s">
        <v>257</v>
      </c>
      <c r="K348" s="2" t="s">
        <v>2426</v>
      </c>
      <c r="L348" s="3">
        <v>27.39</v>
      </c>
      <c r="M348" s="3">
        <v>28.76</v>
      </c>
      <c r="N348" s="3">
        <v>62.99</v>
      </c>
      <c r="O348" s="2" t="s">
        <v>224</v>
      </c>
      <c r="P348" s="2" t="s">
        <v>225</v>
      </c>
      <c r="Q348" s="2" t="s">
        <v>226</v>
      </c>
      <c r="R348" s="2" t="s">
        <v>227</v>
      </c>
      <c r="S348" s="2" t="s">
        <v>2427</v>
      </c>
      <c r="T348" s="2" t="s">
        <v>2100</v>
      </c>
      <c r="U348" s="2" t="s">
        <v>227</v>
      </c>
      <c r="V348" s="2" t="s">
        <v>782</v>
      </c>
      <c r="W348" s="2" t="s">
        <v>231</v>
      </c>
      <c r="X348" s="2" t="s">
        <v>227</v>
      </c>
      <c r="Y348" s="2" t="s">
        <v>2112</v>
      </c>
      <c r="Z348" s="4">
        <v>181</v>
      </c>
      <c r="AA348" s="4">
        <f>=ROUNDDOWN(8.22727272727273,0)</f>
      </c>
      <c r="AB348" s="5">
        <v>22</v>
      </c>
      <c r="AC348" s="2" t="s">
        <v>583</v>
      </c>
      <c r="AD348" s="4">
        <v>375</v>
      </c>
      <c r="AE348" s="4">
        <v>856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227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227</v>
      </c>
      <c r="AW348" s="8" t="s">
        <v>227</v>
      </c>
      <c r="AX348" s="4" t="s">
        <v>227</v>
      </c>
      <c r="AY348" s="8" t="s">
        <v>227</v>
      </c>
      <c r="AZ348" s="7" t="s">
        <v>227</v>
      </c>
      <c r="BA348" s="7" t="s">
        <v>227</v>
      </c>
      <c r="BB348" s="7"/>
      <c r="BC348" s="4" t="s">
        <v>227</v>
      </c>
      <c r="BD348" s="8" t="s">
        <v>227</v>
      </c>
      <c r="BE348" s="4" t="s">
        <v>227</v>
      </c>
      <c r="BF348" s="8" t="s">
        <v>227</v>
      </c>
      <c r="BG348" s="7" t="s">
        <v>227</v>
      </c>
      <c r="BH348" s="7" t="s">
        <v>227</v>
      </c>
      <c r="BI348" s="7"/>
      <c r="BJ348" s="4">
        <v>10</v>
      </c>
      <c r="BK348" s="8">
        <v>301.2</v>
      </c>
      <c r="BL348" s="2" t="s">
        <v>2083</v>
      </c>
      <c r="BM348" s="7"/>
      <c r="BN348" s="7"/>
      <c r="BO348" s="4"/>
      <c r="BP348" s="8"/>
      <c r="BQ348" s="4"/>
      <c r="BR348" s="8"/>
      <c r="BS348" s="7"/>
      <c r="BT348" s="7"/>
      <c r="BU348" s="2" t="s">
        <v>2439</v>
      </c>
      <c r="BV348" s="2" t="s">
        <v>227</v>
      </c>
      <c r="BW348" s="2" t="s">
        <v>227</v>
      </c>
      <c r="BX348" s="2" t="s">
        <v>235</v>
      </c>
      <c r="BY348" s="2" t="s">
        <v>236</v>
      </c>
      <c r="BZ348" s="2" t="s">
        <v>224</v>
      </c>
      <c r="CA348" s="2" t="s">
        <v>2243</v>
      </c>
      <c r="CB348" s="2" t="s">
        <v>2440</v>
      </c>
      <c r="CC348" s="2" t="s">
        <v>239</v>
      </c>
      <c r="CD348" s="2" t="s">
        <v>227</v>
      </c>
      <c r="CE348" s="4">
        <v>181</v>
      </c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>
        <v>375</v>
      </c>
      <c r="DP348" s="4"/>
      <c r="DQ348" s="4"/>
      <c r="DR348" s="4">
        <v>197</v>
      </c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>
        <v>284</v>
      </c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  <c r="GU348" s="4"/>
      <c r="GV348" s="4"/>
      <c r="GW348" s="4"/>
      <c r="GX348" s="4"/>
    </row>
    <row r="349">
      <c r="A349" s="2" t="s">
        <v>2441</v>
      </c>
      <c r="B349" s="2" t="s">
        <v>278</v>
      </c>
      <c r="C349" s="2" t="s">
        <v>2227</v>
      </c>
      <c r="D349" s="2" t="s">
        <v>280</v>
      </c>
      <c r="E349" s="2" t="s">
        <v>281</v>
      </c>
      <c r="F349" s="2" t="s">
        <v>2228</v>
      </c>
      <c r="G349" s="2" t="s">
        <v>2228</v>
      </c>
      <c r="H349" s="2" t="s">
        <v>2228</v>
      </c>
      <c r="I349" s="2" t="s">
        <v>2229</v>
      </c>
      <c r="J349" s="2" t="s">
        <v>222</v>
      </c>
      <c r="K349" s="2" t="s">
        <v>2442</v>
      </c>
      <c r="L349" s="3">
        <v>14.89</v>
      </c>
      <c r="M349" s="3">
        <v>15.63</v>
      </c>
      <c r="N349" s="3">
        <v>31.99</v>
      </c>
      <c r="O349" s="2" t="s">
        <v>224</v>
      </c>
      <c r="P349" s="2" t="s">
        <v>530</v>
      </c>
      <c r="Q349" s="2" t="s">
        <v>226</v>
      </c>
      <c r="R349" s="2" t="s">
        <v>227</v>
      </c>
      <c r="S349" s="2" t="s">
        <v>2443</v>
      </c>
      <c r="T349" s="2" t="s">
        <v>2100</v>
      </c>
      <c r="U349" s="2" t="s">
        <v>227</v>
      </c>
      <c r="V349" s="2" t="s">
        <v>2101</v>
      </c>
      <c r="W349" s="2" t="s">
        <v>231</v>
      </c>
      <c r="X349" s="2" t="s">
        <v>227</v>
      </c>
      <c r="Y349" s="2" t="s">
        <v>2291</v>
      </c>
      <c r="Z349" s="4">
        <v>164</v>
      </c>
      <c r="AA349" s="4">
        <f>=ROUNDDOWN(1.88505747126437,0)</f>
      </c>
      <c r="AB349" s="5">
        <v>87</v>
      </c>
      <c r="AC349" s="2" t="s">
        <v>583</v>
      </c>
      <c r="AD349" s="4">
        <v>1676</v>
      </c>
      <c r="AE349" s="4">
        <v>3337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227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227</v>
      </c>
      <c r="AW349" s="8" t="s">
        <v>227</v>
      </c>
      <c r="AX349" s="4" t="s">
        <v>227</v>
      </c>
      <c r="AY349" s="8" t="s">
        <v>227</v>
      </c>
      <c r="AZ349" s="7" t="s">
        <v>227</v>
      </c>
      <c r="BA349" s="7" t="s">
        <v>227</v>
      </c>
      <c r="BB349" s="7"/>
      <c r="BC349" s="4" t="s">
        <v>227</v>
      </c>
      <c r="BD349" s="8" t="s">
        <v>227</v>
      </c>
      <c r="BE349" s="4" t="s">
        <v>227</v>
      </c>
      <c r="BF349" s="8" t="s">
        <v>227</v>
      </c>
      <c r="BG349" s="7" t="s">
        <v>227</v>
      </c>
      <c r="BH349" s="7" t="s">
        <v>227</v>
      </c>
      <c r="BI349" s="7"/>
      <c r="BJ349" s="4">
        <v>357</v>
      </c>
      <c r="BK349" s="8">
        <v>5656.86</v>
      </c>
      <c r="BL349" s="2" t="s">
        <v>2305</v>
      </c>
      <c r="BM349" s="7"/>
      <c r="BN349" s="7"/>
      <c r="BO349" s="4"/>
      <c r="BP349" s="8"/>
      <c r="BQ349" s="4"/>
      <c r="BR349" s="8"/>
      <c r="BS349" s="7"/>
      <c r="BT349" s="7"/>
      <c r="BU349" s="2" t="s">
        <v>2444</v>
      </c>
      <c r="BV349" s="2" t="s">
        <v>227</v>
      </c>
      <c r="BW349" s="2" t="s">
        <v>227</v>
      </c>
      <c r="BX349" s="2" t="s">
        <v>235</v>
      </c>
      <c r="BY349" s="2" t="s">
        <v>236</v>
      </c>
      <c r="BZ349" s="2" t="s">
        <v>224</v>
      </c>
      <c r="CA349" s="2" t="s">
        <v>2144</v>
      </c>
      <c r="CB349" s="2" t="s">
        <v>2445</v>
      </c>
      <c r="CC349" s="2" t="s">
        <v>239</v>
      </c>
      <c r="CD349" s="2" t="s">
        <v>227</v>
      </c>
      <c r="CE349" s="4">
        <v>164</v>
      </c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>
        <v>1676</v>
      </c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>
        <v>717</v>
      </c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>
        <v>944</v>
      </c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/>
      <c r="GM349" s="4"/>
      <c r="GN349" s="4"/>
      <c r="GO349" s="4"/>
      <c r="GP349" s="4"/>
      <c r="GQ349" s="4"/>
      <c r="GR349" s="4"/>
      <c r="GS349" s="4"/>
      <c r="GT349" s="4"/>
      <c r="GU349" s="4"/>
      <c r="GV349" s="4"/>
      <c r="GW349" s="4"/>
      <c r="GX349" s="4"/>
    </row>
    <row r="350">
      <c r="A350" s="2" t="s">
        <v>2446</v>
      </c>
      <c r="B350" s="2" t="s">
        <v>278</v>
      </c>
      <c r="C350" s="2" t="s">
        <v>2227</v>
      </c>
      <c r="D350" s="2" t="s">
        <v>280</v>
      </c>
      <c r="E350" s="2" t="s">
        <v>281</v>
      </c>
      <c r="F350" s="2" t="s">
        <v>2228</v>
      </c>
      <c r="G350" s="2" t="s">
        <v>2228</v>
      </c>
      <c r="H350" s="2" t="s">
        <v>2228</v>
      </c>
      <c r="I350" s="2" t="s">
        <v>2229</v>
      </c>
      <c r="J350" s="2" t="s">
        <v>241</v>
      </c>
      <c r="K350" s="2" t="s">
        <v>2442</v>
      </c>
      <c r="L350" s="3">
        <v>16.16</v>
      </c>
      <c r="M350" s="3">
        <v>16.97</v>
      </c>
      <c r="N350" s="3">
        <v>34.99</v>
      </c>
      <c r="O350" s="2" t="s">
        <v>224</v>
      </c>
      <c r="P350" s="2" t="s">
        <v>550</v>
      </c>
      <c r="Q350" s="2" t="s">
        <v>226</v>
      </c>
      <c r="R350" s="2" t="s">
        <v>227</v>
      </c>
      <c r="S350" s="2" t="s">
        <v>2443</v>
      </c>
      <c r="T350" s="2" t="s">
        <v>2100</v>
      </c>
      <c r="U350" s="2" t="s">
        <v>227</v>
      </c>
      <c r="V350" s="2" t="s">
        <v>2101</v>
      </c>
      <c r="W350" s="2" t="s">
        <v>231</v>
      </c>
      <c r="X350" s="2" t="s">
        <v>227</v>
      </c>
      <c r="Y350" s="2" t="s">
        <v>2291</v>
      </c>
      <c r="Z350" s="4"/>
      <c r="AA350" s="4">
        <f>=ROUNDDOWN({0},0)</f>
      </c>
      <c r="AB350" s="5">
        <v>50</v>
      </c>
      <c r="AC350" s="2" t="s">
        <v>583</v>
      </c>
      <c r="AD350" s="4">
        <v>890</v>
      </c>
      <c r="AE350" s="4">
        <v>1921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227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227</v>
      </c>
      <c r="AW350" s="8" t="s">
        <v>227</v>
      </c>
      <c r="AX350" s="4" t="s">
        <v>227</v>
      </c>
      <c r="AY350" s="8" t="s">
        <v>227</v>
      </c>
      <c r="AZ350" s="7" t="s">
        <v>227</v>
      </c>
      <c r="BA350" s="7" t="s">
        <v>227</v>
      </c>
      <c r="BB350" s="7"/>
      <c r="BC350" s="4" t="s">
        <v>227</v>
      </c>
      <c r="BD350" s="8" t="s">
        <v>227</v>
      </c>
      <c r="BE350" s="4" t="s">
        <v>227</v>
      </c>
      <c r="BF350" s="8" t="s">
        <v>227</v>
      </c>
      <c r="BG350" s="7" t="s">
        <v>227</v>
      </c>
      <c r="BH350" s="7" t="s">
        <v>227</v>
      </c>
      <c r="BI350" s="7"/>
      <c r="BJ350" s="4">
        <v>269</v>
      </c>
      <c r="BK350" s="8">
        <v>4770.76</v>
      </c>
      <c r="BL350" s="2" t="s">
        <v>2447</v>
      </c>
      <c r="BM350" s="7"/>
      <c r="BN350" s="7"/>
      <c r="BO350" s="4"/>
      <c r="BP350" s="8"/>
      <c r="BQ350" s="4"/>
      <c r="BR350" s="8"/>
      <c r="BS350" s="7"/>
      <c r="BT350" s="7"/>
      <c r="BU350" s="2" t="s">
        <v>2448</v>
      </c>
      <c r="BV350" s="2" t="s">
        <v>227</v>
      </c>
      <c r="BW350" s="2" t="s">
        <v>227</v>
      </c>
      <c r="BX350" s="2" t="s">
        <v>235</v>
      </c>
      <c r="BY350" s="2" t="s">
        <v>236</v>
      </c>
      <c r="BZ350" s="2" t="s">
        <v>224</v>
      </c>
      <c r="CA350" s="2" t="s">
        <v>2449</v>
      </c>
      <c r="CB350" s="2" t="s">
        <v>2194</v>
      </c>
      <c r="CC350" s="2" t="s">
        <v>239</v>
      </c>
      <c r="CD350" s="2" t="s">
        <v>227</v>
      </c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>
        <v>890</v>
      </c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>
        <v>430</v>
      </c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>
        <v>601</v>
      </c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/>
      <c r="GJ350" s="4"/>
      <c r="GK350" s="4"/>
      <c r="GL350" s="4"/>
      <c r="GM350" s="4"/>
      <c r="GN350" s="4"/>
      <c r="GO350" s="4"/>
      <c r="GP350" s="4"/>
      <c r="GQ350" s="4"/>
      <c r="GR350" s="4"/>
      <c r="GS350" s="4"/>
      <c r="GT350" s="4"/>
      <c r="GU350" s="4"/>
      <c r="GV350" s="4"/>
      <c r="GW350" s="4"/>
      <c r="GX350" s="4"/>
    </row>
    <row r="351">
      <c r="A351" s="2" t="s">
        <v>2450</v>
      </c>
      <c r="B351" s="2" t="s">
        <v>278</v>
      </c>
      <c r="C351" s="2" t="s">
        <v>2227</v>
      </c>
      <c r="D351" s="2" t="s">
        <v>280</v>
      </c>
      <c r="E351" s="2" t="s">
        <v>281</v>
      </c>
      <c r="F351" s="2" t="s">
        <v>2228</v>
      </c>
      <c r="G351" s="2" t="s">
        <v>2228</v>
      </c>
      <c r="H351" s="2" t="s">
        <v>2228</v>
      </c>
      <c r="I351" s="2" t="s">
        <v>2229</v>
      </c>
      <c r="J351" s="2" t="s">
        <v>247</v>
      </c>
      <c r="K351" s="2" t="s">
        <v>2442</v>
      </c>
      <c r="L351" s="3">
        <v>19.57</v>
      </c>
      <c r="M351" s="3">
        <v>20.55</v>
      </c>
      <c r="N351" s="3">
        <v>42.99</v>
      </c>
      <c r="O351" s="2" t="s">
        <v>224</v>
      </c>
      <c r="P351" s="2" t="s">
        <v>225</v>
      </c>
      <c r="Q351" s="2" t="s">
        <v>226</v>
      </c>
      <c r="R351" s="2" t="s">
        <v>227</v>
      </c>
      <c r="S351" s="2" t="s">
        <v>2443</v>
      </c>
      <c r="T351" s="2" t="s">
        <v>2100</v>
      </c>
      <c r="U351" s="2" t="s">
        <v>227</v>
      </c>
      <c r="V351" s="2" t="s">
        <v>2101</v>
      </c>
      <c r="W351" s="2" t="s">
        <v>231</v>
      </c>
      <c r="X351" s="2" t="s">
        <v>227</v>
      </c>
      <c r="Y351" s="2" t="s">
        <v>2291</v>
      </c>
      <c r="Z351" s="4">
        <v>250</v>
      </c>
      <c r="AA351" s="4">
        <f>=ROUNDDOWN(5.95238095238095,0)</f>
      </c>
      <c r="AB351" s="5">
        <v>42</v>
      </c>
      <c r="AC351" s="2" t="s">
        <v>583</v>
      </c>
      <c r="AD351" s="4">
        <v>723</v>
      </c>
      <c r="AE351" s="4">
        <v>1611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227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227</v>
      </c>
      <c r="AW351" s="8" t="s">
        <v>227</v>
      </c>
      <c r="AX351" s="4" t="s">
        <v>227</v>
      </c>
      <c r="AY351" s="8" t="s">
        <v>227</v>
      </c>
      <c r="AZ351" s="7" t="s">
        <v>227</v>
      </c>
      <c r="BA351" s="7" t="s">
        <v>227</v>
      </c>
      <c r="BB351" s="7"/>
      <c r="BC351" s="4" t="s">
        <v>227</v>
      </c>
      <c r="BD351" s="8" t="s">
        <v>227</v>
      </c>
      <c r="BE351" s="4" t="s">
        <v>227</v>
      </c>
      <c r="BF351" s="8" t="s">
        <v>227</v>
      </c>
      <c r="BG351" s="7" t="s">
        <v>227</v>
      </c>
      <c r="BH351" s="7" t="s">
        <v>227</v>
      </c>
      <c r="BI351" s="7"/>
      <c r="BJ351" s="4">
        <v>71</v>
      </c>
      <c r="BK351" s="8">
        <v>1519.68</v>
      </c>
      <c r="BL351" s="2" t="s">
        <v>2057</v>
      </c>
      <c r="BM351" s="7"/>
      <c r="BN351" s="7"/>
      <c r="BO351" s="4"/>
      <c r="BP351" s="8"/>
      <c r="BQ351" s="4"/>
      <c r="BR351" s="8"/>
      <c r="BS351" s="7"/>
      <c r="BT351" s="7"/>
      <c r="BU351" s="2" t="s">
        <v>2451</v>
      </c>
      <c r="BV351" s="2" t="s">
        <v>227</v>
      </c>
      <c r="BW351" s="2" t="s">
        <v>227</v>
      </c>
      <c r="BX351" s="2" t="s">
        <v>235</v>
      </c>
      <c r="BY351" s="2" t="s">
        <v>236</v>
      </c>
      <c r="BZ351" s="2" t="s">
        <v>224</v>
      </c>
      <c r="CA351" s="2" t="s">
        <v>2144</v>
      </c>
      <c r="CB351" s="2" t="s">
        <v>335</v>
      </c>
      <c r="CC351" s="2" t="s">
        <v>239</v>
      </c>
      <c r="CD351" s="2" t="s">
        <v>227</v>
      </c>
      <c r="CE351" s="4">
        <v>250</v>
      </c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>
        <v>723</v>
      </c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>
        <v>366</v>
      </c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>
        <v>522</v>
      </c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  <c r="GT351" s="4"/>
      <c r="GU351" s="4"/>
      <c r="GV351" s="4"/>
      <c r="GW351" s="4"/>
      <c r="GX351" s="4"/>
    </row>
    <row r="352">
      <c r="A352" s="2" t="s">
        <v>2452</v>
      </c>
      <c r="B352" s="2" t="s">
        <v>278</v>
      </c>
      <c r="C352" s="2" t="s">
        <v>2227</v>
      </c>
      <c r="D352" s="2" t="s">
        <v>280</v>
      </c>
      <c r="E352" s="2" t="s">
        <v>281</v>
      </c>
      <c r="F352" s="2" t="s">
        <v>2228</v>
      </c>
      <c r="G352" s="2" t="s">
        <v>2228</v>
      </c>
      <c r="H352" s="2" t="s">
        <v>2228</v>
      </c>
      <c r="I352" s="2" t="s">
        <v>2229</v>
      </c>
      <c r="J352" s="2" t="s">
        <v>252</v>
      </c>
      <c r="K352" s="2" t="s">
        <v>2442</v>
      </c>
      <c r="L352" s="3">
        <v>22.21</v>
      </c>
      <c r="M352" s="3">
        <v>23.32</v>
      </c>
      <c r="N352" s="3">
        <v>47.99</v>
      </c>
      <c r="O352" s="2" t="s">
        <v>224</v>
      </c>
      <c r="P352" s="2" t="s">
        <v>530</v>
      </c>
      <c r="Q352" s="2" t="s">
        <v>226</v>
      </c>
      <c r="R352" s="2" t="s">
        <v>227</v>
      </c>
      <c r="S352" s="2" t="s">
        <v>2443</v>
      </c>
      <c r="T352" s="2" t="s">
        <v>2100</v>
      </c>
      <c r="U352" s="2" t="s">
        <v>227</v>
      </c>
      <c r="V352" s="2" t="s">
        <v>2101</v>
      </c>
      <c r="W352" s="2" t="s">
        <v>231</v>
      </c>
      <c r="X352" s="2" t="s">
        <v>227</v>
      </c>
      <c r="Y352" s="2" t="s">
        <v>2291</v>
      </c>
      <c r="Z352" s="4">
        <v>307</v>
      </c>
      <c r="AA352" s="4">
        <f>=ROUNDDOWN(3.69879518072289,0)</f>
      </c>
      <c r="AB352" s="5">
        <v>83</v>
      </c>
      <c r="AC352" s="2" t="s">
        <v>583</v>
      </c>
      <c r="AD352" s="4">
        <v>1529</v>
      </c>
      <c r="AE352" s="4">
        <v>3164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227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227</v>
      </c>
      <c r="AW352" s="8" t="s">
        <v>227</v>
      </c>
      <c r="AX352" s="4" t="s">
        <v>227</v>
      </c>
      <c r="AY352" s="8" t="s">
        <v>227</v>
      </c>
      <c r="AZ352" s="7" t="s">
        <v>227</v>
      </c>
      <c r="BA352" s="7" t="s">
        <v>227</v>
      </c>
      <c r="BB352" s="7"/>
      <c r="BC352" s="4" t="s">
        <v>227</v>
      </c>
      <c r="BD352" s="8" t="s">
        <v>227</v>
      </c>
      <c r="BE352" s="4" t="s">
        <v>227</v>
      </c>
      <c r="BF352" s="8" t="s">
        <v>227</v>
      </c>
      <c r="BG352" s="7" t="s">
        <v>227</v>
      </c>
      <c r="BH352" s="7" t="s">
        <v>227</v>
      </c>
      <c r="BI352" s="7"/>
      <c r="BJ352" s="4">
        <v>249</v>
      </c>
      <c r="BK352" s="8">
        <v>6051.63</v>
      </c>
      <c r="BL352" s="2" t="s">
        <v>2453</v>
      </c>
      <c r="BM352" s="7"/>
      <c r="BN352" s="7"/>
      <c r="BO352" s="4"/>
      <c r="BP352" s="8"/>
      <c r="BQ352" s="4"/>
      <c r="BR352" s="8"/>
      <c r="BS352" s="7"/>
      <c r="BT352" s="7"/>
      <c r="BU352" s="2" t="s">
        <v>2454</v>
      </c>
      <c r="BV352" s="2" t="s">
        <v>227</v>
      </c>
      <c r="BW352" s="2" t="s">
        <v>227</v>
      </c>
      <c r="BX352" s="2" t="s">
        <v>235</v>
      </c>
      <c r="BY352" s="2" t="s">
        <v>236</v>
      </c>
      <c r="BZ352" s="2" t="s">
        <v>224</v>
      </c>
      <c r="CA352" s="2" t="s">
        <v>2144</v>
      </c>
      <c r="CB352" s="2" t="s">
        <v>1093</v>
      </c>
      <c r="CC352" s="2" t="s">
        <v>239</v>
      </c>
      <c r="CD352" s="2" t="s">
        <v>227</v>
      </c>
      <c r="CE352" s="4">
        <v>307</v>
      </c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>
        <v>1529</v>
      </c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>
        <v>694</v>
      </c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>
        <v>941</v>
      </c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  <c r="GU352" s="4"/>
      <c r="GV352" s="4"/>
      <c r="GW352" s="4"/>
      <c r="GX352" s="4"/>
    </row>
    <row r="353">
      <c r="A353" s="2" t="s">
        <v>2455</v>
      </c>
      <c r="B353" s="2" t="s">
        <v>278</v>
      </c>
      <c r="C353" s="2" t="s">
        <v>2227</v>
      </c>
      <c r="D353" s="2" t="s">
        <v>280</v>
      </c>
      <c r="E353" s="2" t="s">
        <v>281</v>
      </c>
      <c r="F353" s="2" t="s">
        <v>2228</v>
      </c>
      <c r="G353" s="2" t="s">
        <v>2228</v>
      </c>
      <c r="H353" s="2" t="s">
        <v>2228</v>
      </c>
      <c r="I353" s="2" t="s">
        <v>2229</v>
      </c>
      <c r="J353" s="2" t="s">
        <v>257</v>
      </c>
      <c r="K353" s="2" t="s">
        <v>2442</v>
      </c>
      <c r="L353" s="3">
        <v>27.39</v>
      </c>
      <c r="M353" s="3">
        <v>28.76</v>
      </c>
      <c r="N353" s="3">
        <v>62.99</v>
      </c>
      <c r="O353" s="2" t="s">
        <v>224</v>
      </c>
      <c r="P353" s="2" t="s">
        <v>485</v>
      </c>
      <c r="Q353" s="2" t="s">
        <v>226</v>
      </c>
      <c r="R353" s="2" t="s">
        <v>227</v>
      </c>
      <c r="S353" s="2" t="s">
        <v>2443</v>
      </c>
      <c r="T353" s="2" t="s">
        <v>2100</v>
      </c>
      <c r="U353" s="2" t="s">
        <v>227</v>
      </c>
      <c r="V353" s="2" t="s">
        <v>2101</v>
      </c>
      <c r="W353" s="2" t="s">
        <v>231</v>
      </c>
      <c r="X353" s="2" t="s">
        <v>227</v>
      </c>
      <c r="Y353" s="2" t="s">
        <v>2456</v>
      </c>
      <c r="Z353" s="4">
        <v>298</v>
      </c>
      <c r="AA353" s="4">
        <f>=ROUNDDOWN(7.0952380952381,0)</f>
      </c>
      <c r="AB353" s="5">
        <v>42</v>
      </c>
      <c r="AC353" s="2" t="s">
        <v>583</v>
      </c>
      <c r="AD353" s="4">
        <v>739</v>
      </c>
      <c r="AE353" s="4">
        <v>1616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227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227</v>
      </c>
      <c r="AW353" s="8" t="s">
        <v>227</v>
      </c>
      <c r="AX353" s="4" t="s">
        <v>227</v>
      </c>
      <c r="AY353" s="8" t="s">
        <v>227</v>
      </c>
      <c r="AZ353" s="7" t="s">
        <v>227</v>
      </c>
      <c r="BA353" s="7" t="s">
        <v>227</v>
      </c>
      <c r="BB353" s="7"/>
      <c r="BC353" s="4" t="s">
        <v>227</v>
      </c>
      <c r="BD353" s="8" t="s">
        <v>227</v>
      </c>
      <c r="BE353" s="4" t="s">
        <v>227</v>
      </c>
      <c r="BF353" s="8" t="s">
        <v>227</v>
      </c>
      <c r="BG353" s="7" t="s">
        <v>227</v>
      </c>
      <c r="BH353" s="7" t="s">
        <v>227</v>
      </c>
      <c r="BI353" s="7"/>
      <c r="BJ353" s="4">
        <v>47</v>
      </c>
      <c r="BK353" s="8">
        <v>1371.86</v>
      </c>
      <c r="BL353" s="2" t="s">
        <v>2312</v>
      </c>
      <c r="BM353" s="7"/>
      <c r="BN353" s="7"/>
      <c r="BO353" s="4"/>
      <c r="BP353" s="8"/>
      <c r="BQ353" s="4"/>
      <c r="BR353" s="8"/>
      <c r="BS353" s="7"/>
      <c r="BT353" s="7"/>
      <c r="BU353" s="2" t="s">
        <v>2457</v>
      </c>
      <c r="BV353" s="2" t="s">
        <v>227</v>
      </c>
      <c r="BW353" s="2" t="s">
        <v>227</v>
      </c>
      <c r="BX353" s="2" t="s">
        <v>235</v>
      </c>
      <c r="BY353" s="2" t="s">
        <v>236</v>
      </c>
      <c r="BZ353" s="2" t="s">
        <v>224</v>
      </c>
      <c r="CA353" s="2" t="s">
        <v>2144</v>
      </c>
      <c r="CB353" s="2" t="s">
        <v>1089</v>
      </c>
      <c r="CC353" s="2" t="s">
        <v>239</v>
      </c>
      <c r="CD353" s="2" t="s">
        <v>227</v>
      </c>
      <c r="CE353" s="4">
        <v>298</v>
      </c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>
        <v>739</v>
      </c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>
        <v>364</v>
      </c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>
        <v>513</v>
      </c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  <c r="GU353" s="4"/>
      <c r="GV353" s="4"/>
      <c r="GW353" s="4"/>
      <c r="GX353" s="4"/>
    </row>
    <row r="354">
      <c r="A354" s="2" t="s">
        <v>2458</v>
      </c>
      <c r="B354" s="2" t="s">
        <v>278</v>
      </c>
      <c r="C354" s="2" t="s">
        <v>2227</v>
      </c>
      <c r="D354" s="2" t="s">
        <v>280</v>
      </c>
      <c r="E354" s="2" t="s">
        <v>281</v>
      </c>
      <c r="F354" s="2" t="s">
        <v>2228</v>
      </c>
      <c r="G354" s="2" t="s">
        <v>2228</v>
      </c>
      <c r="H354" s="2" t="s">
        <v>2228</v>
      </c>
      <c r="I354" s="2" t="s">
        <v>2229</v>
      </c>
      <c r="J354" s="2" t="s">
        <v>247</v>
      </c>
      <c r="K354" s="2" t="s">
        <v>2183</v>
      </c>
      <c r="L354" s="3">
        <v>19.57</v>
      </c>
      <c r="M354" s="3">
        <v>20.55</v>
      </c>
      <c r="N354" s="3">
        <v>42.99</v>
      </c>
      <c r="O354" s="2" t="s">
        <v>224</v>
      </c>
      <c r="P354" s="2" t="s">
        <v>485</v>
      </c>
      <c r="Q354" s="2" t="s">
        <v>226</v>
      </c>
      <c r="R354" s="2" t="s">
        <v>227</v>
      </c>
      <c r="S354" s="2" t="s">
        <v>2459</v>
      </c>
      <c r="T354" s="2" t="s">
        <v>2100</v>
      </c>
      <c r="U354" s="2" t="s">
        <v>227</v>
      </c>
      <c r="V354" s="2" t="s">
        <v>782</v>
      </c>
      <c r="W354" s="2" t="s">
        <v>231</v>
      </c>
      <c r="X354" s="2" t="s">
        <v>227</v>
      </c>
      <c r="Y354" s="2" t="s">
        <v>232</v>
      </c>
      <c r="Z354" s="4">
        <v>238</v>
      </c>
      <c r="AA354" s="4">
        <f>=ROUNDDOWN(7.67741935483871,0)</f>
      </c>
      <c r="AB354" s="5">
        <v>31</v>
      </c>
      <c r="AC354" s="2" t="s">
        <v>2460</v>
      </c>
      <c r="AD354" s="4">
        <v>539</v>
      </c>
      <c r="AE354" s="4">
        <v>1207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227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227</v>
      </c>
      <c r="AW354" s="8" t="s">
        <v>227</v>
      </c>
      <c r="AX354" s="4" t="s">
        <v>227</v>
      </c>
      <c r="AY354" s="8" t="s">
        <v>227</v>
      </c>
      <c r="AZ354" s="7" t="s">
        <v>227</v>
      </c>
      <c r="BA354" s="7" t="s">
        <v>227</v>
      </c>
      <c r="BB354" s="7"/>
      <c r="BC354" s="4" t="s">
        <v>227</v>
      </c>
      <c r="BD354" s="8" t="s">
        <v>227</v>
      </c>
      <c r="BE354" s="4" t="s">
        <v>227</v>
      </c>
      <c r="BF354" s="8" t="s">
        <v>227</v>
      </c>
      <c r="BG354" s="7" t="s">
        <v>227</v>
      </c>
      <c r="BH354" s="7" t="s">
        <v>227</v>
      </c>
      <c r="BI354" s="7"/>
      <c r="BJ354" s="4">
        <v>26</v>
      </c>
      <c r="BK354" s="8">
        <v>570.05</v>
      </c>
      <c r="BL354" s="2" t="s">
        <v>2461</v>
      </c>
      <c r="BM354" s="7"/>
      <c r="BN354" s="7"/>
      <c r="BO354" s="4"/>
      <c r="BP354" s="8"/>
      <c r="BQ354" s="4"/>
      <c r="BR354" s="8"/>
      <c r="BS354" s="7"/>
      <c r="BT354" s="7"/>
      <c r="BU354" s="2" t="s">
        <v>2462</v>
      </c>
      <c r="BV354" s="2" t="s">
        <v>227</v>
      </c>
      <c r="BW354" s="2" t="s">
        <v>227</v>
      </c>
      <c r="BX354" s="2" t="s">
        <v>235</v>
      </c>
      <c r="BY354" s="2" t="s">
        <v>236</v>
      </c>
      <c r="BZ354" s="2" t="s">
        <v>224</v>
      </c>
      <c r="CA354" s="2" t="s">
        <v>2144</v>
      </c>
      <c r="CB354" s="2" t="s">
        <v>335</v>
      </c>
      <c r="CC354" s="2" t="s">
        <v>239</v>
      </c>
      <c r="CD354" s="2" t="s">
        <v>227</v>
      </c>
      <c r="CE354" s="4">
        <v>238</v>
      </c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>
        <v>539</v>
      </c>
      <c r="DT354" s="4"/>
      <c r="DU354" s="4"/>
      <c r="DV354" s="4"/>
      <c r="DW354" s="4"/>
      <c r="DX354" s="4"/>
      <c r="DY354" s="4"/>
      <c r="DZ354" s="4"/>
      <c r="EA354" s="4"/>
      <c r="EB354" s="4">
        <v>275</v>
      </c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>
        <v>393</v>
      </c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/>
      <c r="GI354" s="4"/>
      <c r="GJ354" s="4"/>
      <c r="GK354" s="4"/>
      <c r="GL354" s="4"/>
      <c r="GM354" s="4"/>
      <c r="GN354" s="4"/>
      <c r="GO354" s="4"/>
      <c r="GP354" s="4"/>
      <c r="GQ354" s="4"/>
      <c r="GR354" s="4"/>
      <c r="GS354" s="4"/>
      <c r="GT354" s="4"/>
      <c r="GU354" s="4"/>
      <c r="GV354" s="4"/>
      <c r="GW354" s="4"/>
      <c r="GX354" s="4"/>
    </row>
    <row r="355">
      <c r="A355" s="2" t="s">
        <v>2463</v>
      </c>
      <c r="B355" s="2" t="s">
        <v>278</v>
      </c>
      <c r="C355" s="2" t="s">
        <v>2227</v>
      </c>
      <c r="D355" s="2" t="s">
        <v>280</v>
      </c>
      <c r="E355" s="2" t="s">
        <v>281</v>
      </c>
      <c r="F355" s="2" t="s">
        <v>2228</v>
      </c>
      <c r="G355" s="2" t="s">
        <v>2228</v>
      </c>
      <c r="H355" s="2" t="s">
        <v>2228</v>
      </c>
      <c r="I355" s="2" t="s">
        <v>2229</v>
      </c>
      <c r="J355" s="2" t="s">
        <v>252</v>
      </c>
      <c r="K355" s="2" t="s">
        <v>2183</v>
      </c>
      <c r="L355" s="3">
        <v>22.21</v>
      </c>
      <c r="M355" s="3">
        <v>23.32</v>
      </c>
      <c r="N355" s="3">
        <v>47.99</v>
      </c>
      <c r="O355" s="2" t="s">
        <v>224</v>
      </c>
      <c r="P355" s="2" t="s">
        <v>485</v>
      </c>
      <c r="Q355" s="2" t="s">
        <v>226</v>
      </c>
      <c r="R355" s="2" t="s">
        <v>227</v>
      </c>
      <c r="S355" s="2" t="s">
        <v>2459</v>
      </c>
      <c r="T355" s="2" t="s">
        <v>2100</v>
      </c>
      <c r="U355" s="2" t="s">
        <v>227</v>
      </c>
      <c r="V355" s="2" t="s">
        <v>782</v>
      </c>
      <c r="W355" s="2" t="s">
        <v>231</v>
      </c>
      <c r="X355" s="2" t="s">
        <v>227</v>
      </c>
      <c r="Y355" s="2" t="s">
        <v>232</v>
      </c>
      <c r="Z355" s="4">
        <v>349</v>
      </c>
      <c r="AA355" s="4">
        <f>=ROUNDDOWN(7.12244897959184,0)</f>
      </c>
      <c r="AB355" s="5">
        <v>49</v>
      </c>
      <c r="AC355" s="2" t="s">
        <v>2460</v>
      </c>
      <c r="AD355" s="4">
        <v>851</v>
      </c>
      <c r="AE355" s="4">
        <v>1910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227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227</v>
      </c>
      <c r="AW355" s="8" t="s">
        <v>227</v>
      </c>
      <c r="AX355" s="4" t="s">
        <v>227</v>
      </c>
      <c r="AY355" s="8" t="s">
        <v>227</v>
      </c>
      <c r="AZ355" s="7" t="s">
        <v>227</v>
      </c>
      <c r="BA355" s="7" t="s">
        <v>227</v>
      </c>
      <c r="BB355" s="7"/>
      <c r="BC355" s="4" t="s">
        <v>227</v>
      </c>
      <c r="BD355" s="8" t="s">
        <v>227</v>
      </c>
      <c r="BE355" s="4" t="s">
        <v>227</v>
      </c>
      <c r="BF355" s="8" t="s">
        <v>227</v>
      </c>
      <c r="BG355" s="7" t="s">
        <v>227</v>
      </c>
      <c r="BH355" s="7" t="s">
        <v>227</v>
      </c>
      <c r="BI355" s="7"/>
      <c r="BJ355" s="4">
        <v>40</v>
      </c>
      <c r="BK355" s="8">
        <v>986.18</v>
      </c>
      <c r="BL355" s="2" t="s">
        <v>2061</v>
      </c>
      <c r="BM355" s="7"/>
      <c r="BN355" s="7"/>
      <c r="BO355" s="4"/>
      <c r="BP355" s="8"/>
      <c r="BQ355" s="4"/>
      <c r="BR355" s="8"/>
      <c r="BS355" s="7"/>
      <c r="BT355" s="7"/>
      <c r="BU355" s="2" t="s">
        <v>2464</v>
      </c>
      <c r="BV355" s="2" t="s">
        <v>227</v>
      </c>
      <c r="BW355" s="2" t="s">
        <v>227</v>
      </c>
      <c r="BX355" s="2" t="s">
        <v>235</v>
      </c>
      <c r="BY355" s="2" t="s">
        <v>236</v>
      </c>
      <c r="BZ355" s="2" t="s">
        <v>224</v>
      </c>
      <c r="CA355" s="2" t="s">
        <v>2144</v>
      </c>
      <c r="CB355" s="2" t="s">
        <v>2465</v>
      </c>
      <c r="CC355" s="2" t="s">
        <v>239</v>
      </c>
      <c r="CD355" s="2" t="s">
        <v>227</v>
      </c>
      <c r="CE355" s="4">
        <v>349</v>
      </c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>
        <v>851</v>
      </c>
      <c r="DT355" s="4"/>
      <c r="DU355" s="4"/>
      <c r="DV355" s="4"/>
      <c r="DW355" s="4"/>
      <c r="DX355" s="4"/>
      <c r="DY355" s="4"/>
      <c r="DZ355" s="4"/>
      <c r="EA355" s="4"/>
      <c r="EB355" s="4">
        <v>435</v>
      </c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>
        <v>624</v>
      </c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4"/>
      <c r="GR355" s="4"/>
      <c r="GS355" s="4"/>
      <c r="GT355" s="4"/>
      <c r="GU355" s="4"/>
      <c r="GV355" s="4"/>
      <c r="GW355" s="4"/>
      <c r="GX355" s="4"/>
    </row>
    <row r="356">
      <c r="A356" s="2" t="s">
        <v>2466</v>
      </c>
      <c r="B356" s="2" t="s">
        <v>278</v>
      </c>
      <c r="C356" s="2" t="s">
        <v>2227</v>
      </c>
      <c r="D356" s="2" t="s">
        <v>280</v>
      </c>
      <c r="E356" s="2" t="s">
        <v>281</v>
      </c>
      <c r="F356" s="2" t="s">
        <v>2228</v>
      </c>
      <c r="G356" s="2" t="s">
        <v>2228</v>
      </c>
      <c r="H356" s="2" t="s">
        <v>2228</v>
      </c>
      <c r="I356" s="2" t="s">
        <v>2229</v>
      </c>
      <c r="J356" s="2" t="s">
        <v>252</v>
      </c>
      <c r="K356" s="2" t="s">
        <v>2467</v>
      </c>
      <c r="L356" s="3">
        <v>22.21</v>
      </c>
      <c r="M356" s="3">
        <v>23.32</v>
      </c>
      <c r="N356" s="3">
        <v>47.99</v>
      </c>
      <c r="O356" s="2" t="s">
        <v>224</v>
      </c>
      <c r="P356" s="2" t="s">
        <v>2038</v>
      </c>
      <c r="Q356" s="2" t="s">
        <v>226</v>
      </c>
      <c r="R356" s="2" t="s">
        <v>227</v>
      </c>
      <c r="S356" s="2" t="s">
        <v>2468</v>
      </c>
      <c r="T356" s="2" t="s">
        <v>2100</v>
      </c>
      <c r="U356" s="2" t="s">
        <v>287</v>
      </c>
      <c r="V356" s="2" t="s">
        <v>906</v>
      </c>
      <c r="W356" s="2" t="s">
        <v>231</v>
      </c>
      <c r="X356" s="2" t="s">
        <v>581</v>
      </c>
      <c r="Y356" s="2" t="s">
        <v>1575</v>
      </c>
      <c r="Z356" s="4">
        <v>1</v>
      </c>
      <c r="AA356" s="4">
        <f>=ROUNDDOWN(0.00925925925925926,0)</f>
      </c>
      <c r="AB356" s="5">
        <v>108</v>
      </c>
      <c r="AC356" s="2" t="s">
        <v>583</v>
      </c>
      <c r="AD356" s="4">
        <v>1962</v>
      </c>
      <c r="AE356" s="4">
        <v>4117</v>
      </c>
      <c r="AF356" s="6">
        <v>65</v>
      </c>
      <c r="AG356" s="6"/>
      <c r="AH356" s="7">
        <v>0.8065</v>
      </c>
      <c r="AI356" s="4"/>
      <c r="AJ356" s="4">
        <f>=ROUNDDOWN({0},0)</f>
      </c>
      <c r="AK356" s="5"/>
      <c r="AL356" s="2" t="s">
        <v>227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227</v>
      </c>
      <c r="AW356" s="8" t="s">
        <v>227</v>
      </c>
      <c r="AX356" s="4" t="s">
        <v>227</v>
      </c>
      <c r="AY356" s="8" t="s">
        <v>227</v>
      </c>
      <c r="AZ356" s="7" t="s">
        <v>227</v>
      </c>
      <c r="BA356" s="7" t="s">
        <v>227</v>
      </c>
      <c r="BB356" s="7"/>
      <c r="BC356" s="4" t="s">
        <v>227</v>
      </c>
      <c r="BD356" s="8" t="s">
        <v>227</v>
      </c>
      <c r="BE356" s="4" t="s">
        <v>227</v>
      </c>
      <c r="BF356" s="8" t="s">
        <v>227</v>
      </c>
      <c r="BG356" s="7" t="s">
        <v>227</v>
      </c>
      <c r="BH356" s="7" t="s">
        <v>227</v>
      </c>
      <c r="BI356" s="7"/>
      <c r="BJ356" s="4">
        <v>312</v>
      </c>
      <c r="BK356" s="8">
        <v>7868.69</v>
      </c>
      <c r="BL356" s="2" t="s">
        <v>2469</v>
      </c>
      <c r="BM356" s="7"/>
      <c r="BN356" s="7"/>
      <c r="BO356" s="4"/>
      <c r="BP356" s="8"/>
      <c r="BQ356" s="4"/>
      <c r="BR356" s="8"/>
      <c r="BS356" s="7"/>
      <c r="BT356" s="7"/>
      <c r="BU356" s="2" t="s">
        <v>2470</v>
      </c>
      <c r="BV356" s="2" t="s">
        <v>227</v>
      </c>
      <c r="BW356" s="2" t="s">
        <v>227</v>
      </c>
      <c r="BX356" s="2" t="s">
        <v>235</v>
      </c>
      <c r="BY356" s="2" t="s">
        <v>236</v>
      </c>
      <c r="BZ356" s="2" t="s">
        <v>224</v>
      </c>
      <c r="CA356" s="2" t="s">
        <v>2259</v>
      </c>
      <c r="CB356" s="2" t="s">
        <v>2471</v>
      </c>
      <c r="CC356" s="2" t="s">
        <v>239</v>
      </c>
      <c r="CD356" s="2" t="s">
        <v>227</v>
      </c>
      <c r="CE356" s="4">
        <v>1</v>
      </c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>
        <v>1962</v>
      </c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>
        <v>909</v>
      </c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>
        <v>1246</v>
      </c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  <c r="GU356" s="4"/>
      <c r="GV356" s="4"/>
      <c r="GW356" s="4"/>
      <c r="GX356" s="4"/>
    </row>
    <row r="357">
      <c r="A357" s="2" t="s">
        <v>2472</v>
      </c>
      <c r="B357" s="2" t="s">
        <v>278</v>
      </c>
      <c r="C357" s="2" t="s">
        <v>2227</v>
      </c>
      <c r="D357" s="2" t="s">
        <v>280</v>
      </c>
      <c r="E357" s="2" t="s">
        <v>281</v>
      </c>
      <c r="F357" s="2" t="s">
        <v>2228</v>
      </c>
      <c r="G357" s="2" t="s">
        <v>2228</v>
      </c>
      <c r="H357" s="2" t="s">
        <v>2228</v>
      </c>
      <c r="I357" s="2" t="s">
        <v>2229</v>
      </c>
      <c r="J357" s="2" t="s">
        <v>257</v>
      </c>
      <c r="K357" s="2" t="s">
        <v>2467</v>
      </c>
      <c r="L357" s="3">
        <v>27.39</v>
      </c>
      <c r="M357" s="3">
        <v>28.76</v>
      </c>
      <c r="N357" s="3">
        <v>62.99</v>
      </c>
      <c r="O357" s="2" t="s">
        <v>224</v>
      </c>
      <c r="P357" s="2" t="s">
        <v>225</v>
      </c>
      <c r="Q357" s="2" t="s">
        <v>226</v>
      </c>
      <c r="R357" s="2" t="s">
        <v>227</v>
      </c>
      <c r="S357" s="2" t="s">
        <v>2468</v>
      </c>
      <c r="T357" s="2" t="s">
        <v>2100</v>
      </c>
      <c r="U357" s="2" t="s">
        <v>287</v>
      </c>
      <c r="V357" s="2" t="s">
        <v>906</v>
      </c>
      <c r="W357" s="2" t="s">
        <v>231</v>
      </c>
      <c r="X357" s="2" t="s">
        <v>581</v>
      </c>
      <c r="Y357" s="2" t="s">
        <v>1575</v>
      </c>
      <c r="Z357" s="4">
        <v>175</v>
      </c>
      <c r="AA357" s="4">
        <f>=ROUNDDOWN(7,0)</f>
      </c>
      <c r="AB357" s="5">
        <v>25</v>
      </c>
      <c r="AC357" s="2" t="s">
        <v>583</v>
      </c>
      <c r="AD357" s="4">
        <v>449</v>
      </c>
      <c r="AE357" s="4">
        <v>991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227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227</v>
      </c>
      <c r="AW357" s="8" t="s">
        <v>227</v>
      </c>
      <c r="AX357" s="4" t="s">
        <v>227</v>
      </c>
      <c r="AY357" s="8" t="s">
        <v>227</v>
      </c>
      <c r="AZ357" s="7" t="s">
        <v>227</v>
      </c>
      <c r="BA357" s="7" t="s">
        <v>227</v>
      </c>
      <c r="BB357" s="7"/>
      <c r="BC357" s="4" t="s">
        <v>227</v>
      </c>
      <c r="BD357" s="8" t="s">
        <v>227</v>
      </c>
      <c r="BE357" s="4" t="s">
        <v>227</v>
      </c>
      <c r="BF357" s="8" t="s">
        <v>227</v>
      </c>
      <c r="BG357" s="7" t="s">
        <v>227</v>
      </c>
      <c r="BH357" s="7" t="s">
        <v>227</v>
      </c>
      <c r="BI357" s="7"/>
      <c r="BJ357" s="4">
        <v>40</v>
      </c>
      <c r="BK357" s="8">
        <v>1176.24</v>
      </c>
      <c r="BL357" s="2" t="s">
        <v>2473</v>
      </c>
      <c r="BM357" s="7"/>
      <c r="BN357" s="7"/>
      <c r="BO357" s="4"/>
      <c r="BP357" s="8"/>
      <c r="BQ357" s="4"/>
      <c r="BR357" s="8"/>
      <c r="BS357" s="7"/>
      <c r="BT357" s="7"/>
      <c r="BU357" s="2" t="s">
        <v>2474</v>
      </c>
      <c r="BV357" s="2" t="s">
        <v>227</v>
      </c>
      <c r="BW357" s="2" t="s">
        <v>227</v>
      </c>
      <c r="BX357" s="2" t="s">
        <v>235</v>
      </c>
      <c r="BY357" s="2" t="s">
        <v>236</v>
      </c>
      <c r="BZ357" s="2" t="s">
        <v>224</v>
      </c>
      <c r="CA357" s="2" t="s">
        <v>2259</v>
      </c>
      <c r="CB357" s="2" t="s">
        <v>2475</v>
      </c>
      <c r="CC357" s="2" t="s">
        <v>239</v>
      </c>
      <c r="CD357" s="2" t="s">
        <v>227</v>
      </c>
      <c r="CE357" s="4">
        <v>175</v>
      </c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>
        <v>449</v>
      </c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>
        <v>224</v>
      </c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>
        <v>318</v>
      </c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  <c r="GU357" s="4"/>
      <c r="GV357" s="4"/>
      <c r="GW357" s="4"/>
      <c r="GX357" s="4"/>
    </row>
    <row r="358">
      <c r="A358" s="2" t="s">
        <v>2476</v>
      </c>
      <c r="B358" s="2" t="s">
        <v>278</v>
      </c>
      <c r="C358" s="2" t="s">
        <v>2227</v>
      </c>
      <c r="D358" s="2" t="s">
        <v>280</v>
      </c>
      <c r="E358" s="2" t="s">
        <v>281</v>
      </c>
      <c r="F358" s="2" t="s">
        <v>2228</v>
      </c>
      <c r="G358" s="2" t="s">
        <v>2228</v>
      </c>
      <c r="H358" s="2" t="s">
        <v>2228</v>
      </c>
      <c r="I358" s="2" t="s">
        <v>2229</v>
      </c>
      <c r="J358" s="2" t="s">
        <v>247</v>
      </c>
      <c r="K358" s="2" t="s">
        <v>2477</v>
      </c>
      <c r="L358" s="3">
        <v>19.57</v>
      </c>
      <c r="M358" s="3">
        <v>20.55</v>
      </c>
      <c r="N358" s="3">
        <v>42.99</v>
      </c>
      <c r="O358" s="2" t="s">
        <v>224</v>
      </c>
      <c r="P358" s="2" t="s">
        <v>225</v>
      </c>
      <c r="Q358" s="2" t="s">
        <v>226</v>
      </c>
      <c r="R358" s="2" t="s">
        <v>227</v>
      </c>
      <c r="S358" s="2" t="s">
        <v>2478</v>
      </c>
      <c r="T358" s="2" t="s">
        <v>2100</v>
      </c>
      <c r="U358" s="2" t="s">
        <v>227</v>
      </c>
      <c r="V358" s="2" t="s">
        <v>782</v>
      </c>
      <c r="W358" s="2" t="s">
        <v>231</v>
      </c>
      <c r="X358" s="2" t="s">
        <v>227</v>
      </c>
      <c r="Y358" s="2" t="s">
        <v>232</v>
      </c>
      <c r="Z358" s="4">
        <v>204</v>
      </c>
      <c r="AA358" s="4">
        <f>=ROUNDDOWN(8.16,0)</f>
      </c>
      <c r="AB358" s="5">
        <v>25</v>
      </c>
      <c r="AC358" s="2" t="s">
        <v>2460</v>
      </c>
      <c r="AD358" s="4">
        <v>444</v>
      </c>
      <c r="AE358" s="4">
        <v>978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227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 t="s">
        <v>227</v>
      </c>
      <c r="BD358" s="8" t="s">
        <v>227</v>
      </c>
      <c r="BE358" s="4" t="s">
        <v>227</v>
      </c>
      <c r="BF358" s="8" t="s">
        <v>227</v>
      </c>
      <c r="BG358" s="7" t="s">
        <v>227</v>
      </c>
      <c r="BH358" s="7" t="s">
        <v>227</v>
      </c>
      <c r="BI358" s="7"/>
      <c r="BJ358" s="4">
        <v>22</v>
      </c>
      <c r="BK358" s="8">
        <v>480</v>
      </c>
      <c r="BL358" s="2" t="s">
        <v>2479</v>
      </c>
      <c r="BM358" s="7"/>
      <c r="BN358" s="7"/>
      <c r="BO358" s="4"/>
      <c r="BP358" s="8"/>
      <c r="BQ358" s="4"/>
      <c r="BR358" s="8"/>
      <c r="BS358" s="7"/>
      <c r="BT358" s="7"/>
      <c r="BU358" s="2" t="s">
        <v>2480</v>
      </c>
      <c r="BV358" s="2" t="s">
        <v>227</v>
      </c>
      <c r="BW358" s="2" t="s">
        <v>227</v>
      </c>
      <c r="BX358" s="2" t="s">
        <v>235</v>
      </c>
      <c r="BY358" s="2" t="s">
        <v>236</v>
      </c>
      <c r="BZ358" s="2" t="s">
        <v>224</v>
      </c>
      <c r="CA358" s="2" t="s">
        <v>2144</v>
      </c>
      <c r="CB358" s="2" t="s">
        <v>353</v>
      </c>
      <c r="CC358" s="2" t="s">
        <v>239</v>
      </c>
      <c r="CD358" s="2" t="s">
        <v>227</v>
      </c>
      <c r="CE358" s="4">
        <v>204</v>
      </c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>
        <v>444</v>
      </c>
      <c r="DT358" s="4"/>
      <c r="DU358" s="4"/>
      <c r="DV358" s="4"/>
      <c r="DW358" s="4"/>
      <c r="DX358" s="4"/>
      <c r="DY358" s="4"/>
      <c r="DZ358" s="4"/>
      <c r="EA358" s="4"/>
      <c r="EB358" s="4">
        <v>221</v>
      </c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>
        <v>313</v>
      </c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  <c r="GT358" s="4"/>
      <c r="GU358" s="4"/>
      <c r="GV358" s="4"/>
      <c r="GW358" s="4"/>
      <c r="GX358" s="4"/>
    </row>
    <row r="359">
      <c r="A359" s="2" t="s">
        <v>2481</v>
      </c>
      <c r="B359" s="2" t="s">
        <v>278</v>
      </c>
      <c r="C359" s="2" t="s">
        <v>2227</v>
      </c>
      <c r="D359" s="2" t="s">
        <v>280</v>
      </c>
      <c r="E359" s="2" t="s">
        <v>281</v>
      </c>
      <c r="F359" s="2" t="s">
        <v>2228</v>
      </c>
      <c r="G359" s="2" t="s">
        <v>2228</v>
      </c>
      <c r="H359" s="2" t="s">
        <v>2228</v>
      </c>
      <c r="I359" s="2" t="s">
        <v>2229</v>
      </c>
      <c r="J359" s="2" t="s">
        <v>384</v>
      </c>
      <c r="K359" s="2" t="s">
        <v>2482</v>
      </c>
      <c r="L359" s="3">
        <v>27.39</v>
      </c>
      <c r="M359" s="3">
        <v>28.76</v>
      </c>
      <c r="N359" s="3">
        <v>62.99</v>
      </c>
      <c r="O359" s="2" t="s">
        <v>224</v>
      </c>
      <c r="P359" s="2" t="s">
        <v>225</v>
      </c>
      <c r="Q359" s="2" t="s">
        <v>226</v>
      </c>
      <c r="R359" s="2" t="s">
        <v>227</v>
      </c>
      <c r="S359" s="2" t="s">
        <v>2483</v>
      </c>
      <c r="T359" s="2" t="s">
        <v>2100</v>
      </c>
      <c r="U359" s="2" t="s">
        <v>227</v>
      </c>
      <c r="V359" s="2" t="s">
        <v>230</v>
      </c>
      <c r="W359" s="2" t="s">
        <v>231</v>
      </c>
      <c r="X359" s="2" t="s">
        <v>227</v>
      </c>
      <c r="Y359" s="2" t="s">
        <v>232</v>
      </c>
      <c r="Z359" s="4">
        <v>53</v>
      </c>
      <c r="AA359" s="4">
        <f>=ROUNDDOWN(7.57142857142857,0)</f>
      </c>
      <c r="AB359" s="5">
        <v>7</v>
      </c>
      <c r="AC359" s="2" t="s">
        <v>2484</v>
      </c>
      <c r="AD359" s="4">
        <v>146</v>
      </c>
      <c r="AE359" s="4">
        <v>312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227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/>
      <c r="AW359" s="8"/>
      <c r="AX359" s="4"/>
      <c r="AY359" s="8"/>
      <c r="AZ359" s="7"/>
      <c r="BA359" s="7"/>
      <c r="BB359" s="7"/>
      <c r="BC359" s="4" t="s">
        <v>227</v>
      </c>
      <c r="BD359" s="8" t="s">
        <v>227</v>
      </c>
      <c r="BE359" s="4" t="s">
        <v>227</v>
      </c>
      <c r="BF359" s="8" t="s">
        <v>227</v>
      </c>
      <c r="BG359" s="7" t="s">
        <v>227</v>
      </c>
      <c r="BH359" s="7" t="s">
        <v>227</v>
      </c>
      <c r="BI359" s="7"/>
      <c r="BJ359" s="4">
        <v>6</v>
      </c>
      <c r="BK359" s="8">
        <v>176.28</v>
      </c>
      <c r="BL359" s="2" t="s">
        <v>2434</v>
      </c>
      <c r="BM359" s="7"/>
      <c r="BN359" s="7"/>
      <c r="BO359" s="4"/>
      <c r="BP359" s="8"/>
      <c r="BQ359" s="4"/>
      <c r="BR359" s="8"/>
      <c r="BS359" s="7"/>
      <c r="BT359" s="7"/>
      <c r="BU359" s="2" t="s">
        <v>2485</v>
      </c>
      <c r="BV359" s="2" t="s">
        <v>227</v>
      </c>
      <c r="BW359" s="2" t="s">
        <v>227</v>
      </c>
      <c r="BX359" s="2" t="s">
        <v>235</v>
      </c>
      <c r="BY359" s="2" t="s">
        <v>236</v>
      </c>
      <c r="BZ359" s="2" t="s">
        <v>224</v>
      </c>
      <c r="CA359" s="2" t="s">
        <v>2144</v>
      </c>
      <c r="CB359" s="2" t="s">
        <v>276</v>
      </c>
      <c r="CC359" s="2" t="s">
        <v>239</v>
      </c>
      <c r="CD359" s="2" t="s">
        <v>227</v>
      </c>
      <c r="CE359" s="4">
        <v>53</v>
      </c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>
        <v>146</v>
      </c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>
        <v>73</v>
      </c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>
        <v>93</v>
      </c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4"/>
      <c r="GR359" s="4"/>
      <c r="GS359" s="4"/>
      <c r="GT359" s="4"/>
      <c r="GU359" s="4"/>
      <c r="GV359" s="4"/>
      <c r="GW359" s="4"/>
      <c r="GX359" s="4"/>
    </row>
    <row r="360">
      <c r="A360" s="2" t="s">
        <v>2486</v>
      </c>
      <c r="B360" s="2" t="s">
        <v>278</v>
      </c>
      <c r="C360" s="2" t="s">
        <v>2227</v>
      </c>
      <c r="D360" s="2" t="s">
        <v>280</v>
      </c>
      <c r="E360" s="2" t="s">
        <v>281</v>
      </c>
      <c r="F360" s="2" t="s">
        <v>2228</v>
      </c>
      <c r="G360" s="2" t="s">
        <v>2228</v>
      </c>
      <c r="H360" s="2" t="s">
        <v>2228</v>
      </c>
      <c r="I360" s="2" t="s">
        <v>2229</v>
      </c>
      <c r="J360" s="2" t="s">
        <v>222</v>
      </c>
      <c r="K360" s="2" t="s">
        <v>2487</v>
      </c>
      <c r="L360" s="3">
        <v>14.89</v>
      </c>
      <c r="M360" s="3">
        <v>15.63</v>
      </c>
      <c r="N360" s="3">
        <v>31.99</v>
      </c>
      <c r="O360" s="2" t="s">
        <v>224</v>
      </c>
      <c r="P360" s="2" t="s">
        <v>225</v>
      </c>
      <c r="Q360" s="2" t="s">
        <v>226</v>
      </c>
      <c r="R360" s="2" t="s">
        <v>227</v>
      </c>
      <c r="S360" s="2" t="s">
        <v>2488</v>
      </c>
      <c r="T360" s="2" t="s">
        <v>2100</v>
      </c>
      <c r="U360" s="2" t="s">
        <v>227</v>
      </c>
      <c r="V360" s="2" t="s">
        <v>2101</v>
      </c>
      <c r="W360" s="2" t="s">
        <v>231</v>
      </c>
      <c r="X360" s="2" t="s">
        <v>227</v>
      </c>
      <c r="Y360" s="2" t="s">
        <v>232</v>
      </c>
      <c r="Z360" s="4">
        <v>335</v>
      </c>
      <c r="AA360" s="4">
        <f>=ROUNDDOWN(8.375,0)</f>
      </c>
      <c r="AB360" s="5">
        <v>40</v>
      </c>
      <c r="AC360" s="2" t="s">
        <v>2297</v>
      </c>
      <c r="AD360" s="4">
        <v>689</v>
      </c>
      <c r="AE360" s="4">
        <v>1543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227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227</v>
      </c>
      <c r="AW360" s="8" t="s">
        <v>227</v>
      </c>
      <c r="AX360" s="4" t="s">
        <v>227</v>
      </c>
      <c r="AY360" s="8" t="s">
        <v>227</v>
      </c>
      <c r="AZ360" s="7" t="s">
        <v>227</v>
      </c>
      <c r="BA360" s="7" t="s">
        <v>227</v>
      </c>
      <c r="BB360" s="7"/>
      <c r="BC360" s="4" t="s">
        <v>227</v>
      </c>
      <c r="BD360" s="8" t="s">
        <v>227</v>
      </c>
      <c r="BE360" s="4" t="s">
        <v>227</v>
      </c>
      <c r="BF360" s="8" t="s">
        <v>227</v>
      </c>
      <c r="BG360" s="7" t="s">
        <v>227</v>
      </c>
      <c r="BH360" s="7" t="s">
        <v>227</v>
      </c>
      <c r="BI360" s="7"/>
      <c r="BJ360" s="4">
        <v>19</v>
      </c>
      <c r="BK360" s="8">
        <v>307.62</v>
      </c>
      <c r="BL360" s="2" t="s">
        <v>2342</v>
      </c>
      <c r="BM360" s="7"/>
      <c r="BN360" s="7"/>
      <c r="BO360" s="4"/>
      <c r="BP360" s="8"/>
      <c r="BQ360" s="4"/>
      <c r="BR360" s="8"/>
      <c r="BS360" s="7"/>
      <c r="BT360" s="7"/>
      <c r="BU360" s="2" t="s">
        <v>2489</v>
      </c>
      <c r="BV360" s="2" t="s">
        <v>227</v>
      </c>
      <c r="BW360" s="2" t="s">
        <v>227</v>
      </c>
      <c r="BX360" s="2" t="s">
        <v>235</v>
      </c>
      <c r="BY360" s="2" t="s">
        <v>236</v>
      </c>
      <c r="BZ360" s="2" t="s">
        <v>224</v>
      </c>
      <c r="CA360" s="2" t="s">
        <v>2144</v>
      </c>
      <c r="CB360" s="2" t="s">
        <v>2490</v>
      </c>
      <c r="CC360" s="2" t="s">
        <v>239</v>
      </c>
      <c r="CD360" s="2" t="s">
        <v>227</v>
      </c>
      <c r="CE360" s="4">
        <v>335</v>
      </c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>
        <v>689</v>
      </c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>
        <v>351</v>
      </c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>
        <v>503</v>
      </c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  <c r="GT360" s="4"/>
      <c r="GU360" s="4"/>
      <c r="GV360" s="4"/>
      <c r="GW360" s="4"/>
      <c r="GX360" s="4"/>
    </row>
    <row r="361">
      <c r="A361" s="2" t="s">
        <v>2491</v>
      </c>
      <c r="B361" s="2" t="s">
        <v>278</v>
      </c>
      <c r="C361" s="2" t="s">
        <v>2227</v>
      </c>
      <c r="D361" s="2" t="s">
        <v>280</v>
      </c>
      <c r="E361" s="2" t="s">
        <v>281</v>
      </c>
      <c r="F361" s="2" t="s">
        <v>2228</v>
      </c>
      <c r="G361" s="2" t="s">
        <v>2228</v>
      </c>
      <c r="H361" s="2" t="s">
        <v>2228</v>
      </c>
      <c r="I361" s="2" t="s">
        <v>2229</v>
      </c>
      <c r="J361" s="2" t="s">
        <v>252</v>
      </c>
      <c r="K361" s="2" t="s">
        <v>2487</v>
      </c>
      <c r="L361" s="3">
        <v>22.21</v>
      </c>
      <c r="M361" s="3">
        <v>23.32</v>
      </c>
      <c r="N361" s="3">
        <v>47.99</v>
      </c>
      <c r="O361" s="2" t="s">
        <v>224</v>
      </c>
      <c r="P361" s="2" t="s">
        <v>225</v>
      </c>
      <c r="Q361" s="2" t="s">
        <v>226</v>
      </c>
      <c r="R361" s="2" t="s">
        <v>227</v>
      </c>
      <c r="S361" s="2" t="s">
        <v>2488</v>
      </c>
      <c r="T361" s="2" t="s">
        <v>2100</v>
      </c>
      <c r="U361" s="2" t="s">
        <v>227</v>
      </c>
      <c r="V361" s="2" t="s">
        <v>2101</v>
      </c>
      <c r="W361" s="2" t="s">
        <v>231</v>
      </c>
      <c r="X361" s="2" t="s">
        <v>227</v>
      </c>
      <c r="Y361" s="2" t="s">
        <v>232</v>
      </c>
      <c r="Z361" s="4">
        <v>277</v>
      </c>
      <c r="AA361" s="4">
        <f>=ROUNDDOWN(7.1025641025641,0)</f>
      </c>
      <c r="AB361" s="5">
        <v>39</v>
      </c>
      <c r="AC361" s="2" t="s">
        <v>2297</v>
      </c>
      <c r="AD361" s="4">
        <v>622</v>
      </c>
      <c r="AE361" s="4">
        <v>1504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227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227</v>
      </c>
      <c r="AW361" s="8" t="s">
        <v>227</v>
      </c>
      <c r="AX361" s="4" t="s">
        <v>227</v>
      </c>
      <c r="AY361" s="8" t="s">
        <v>227</v>
      </c>
      <c r="AZ361" s="7" t="s">
        <v>227</v>
      </c>
      <c r="BA361" s="7" t="s">
        <v>227</v>
      </c>
      <c r="BB361" s="7"/>
      <c r="BC361" s="4" t="s">
        <v>227</v>
      </c>
      <c r="BD361" s="8" t="s">
        <v>227</v>
      </c>
      <c r="BE361" s="4" t="s">
        <v>227</v>
      </c>
      <c r="BF361" s="8" t="s">
        <v>227</v>
      </c>
      <c r="BG361" s="7" t="s">
        <v>227</v>
      </c>
      <c r="BH361" s="7" t="s">
        <v>227</v>
      </c>
      <c r="BI361" s="7"/>
      <c r="BJ361" s="4">
        <v>61</v>
      </c>
      <c r="BK361" s="8">
        <v>1474.56</v>
      </c>
      <c r="BL361" s="2" t="s">
        <v>2107</v>
      </c>
      <c r="BM361" s="7"/>
      <c r="BN361" s="7"/>
      <c r="BO361" s="4"/>
      <c r="BP361" s="8"/>
      <c r="BQ361" s="4"/>
      <c r="BR361" s="8"/>
      <c r="BS361" s="7"/>
      <c r="BT361" s="7"/>
      <c r="BU361" s="2" t="s">
        <v>2492</v>
      </c>
      <c r="BV361" s="2" t="s">
        <v>227</v>
      </c>
      <c r="BW361" s="2" t="s">
        <v>227</v>
      </c>
      <c r="BX361" s="2" t="s">
        <v>235</v>
      </c>
      <c r="BY361" s="2" t="s">
        <v>236</v>
      </c>
      <c r="BZ361" s="2" t="s">
        <v>224</v>
      </c>
      <c r="CA361" s="2" t="s">
        <v>2144</v>
      </c>
      <c r="CB361" s="2" t="s">
        <v>339</v>
      </c>
      <c r="CC361" s="2" t="s">
        <v>239</v>
      </c>
      <c r="CD361" s="2" t="s">
        <v>227</v>
      </c>
      <c r="CE361" s="4">
        <v>277</v>
      </c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>
        <v>622</v>
      </c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>
        <v>353</v>
      </c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>
        <v>529</v>
      </c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  <c r="GU361" s="4"/>
      <c r="GV361" s="4"/>
      <c r="GW361" s="4"/>
      <c r="GX361" s="4"/>
    </row>
    <row r="362">
      <c r="A362" s="2" t="s">
        <v>2493</v>
      </c>
      <c r="B362" s="2" t="s">
        <v>278</v>
      </c>
      <c r="C362" s="2" t="s">
        <v>1299</v>
      </c>
      <c r="D362" s="2" t="s">
        <v>280</v>
      </c>
      <c r="E362" s="2" t="s">
        <v>281</v>
      </c>
      <c r="F362" s="2" t="s">
        <v>2494</v>
      </c>
      <c r="G362" s="2" t="s">
        <v>2494</v>
      </c>
      <c r="H362" s="2" t="s">
        <v>2494</v>
      </c>
      <c r="I362" s="2" t="s">
        <v>2495</v>
      </c>
      <c r="J362" s="2" t="s">
        <v>247</v>
      </c>
      <c r="K362" s="2" t="s">
        <v>2496</v>
      </c>
      <c r="L362" s="3">
        <v>19.13</v>
      </c>
      <c r="M362" s="3">
        <v>20.09</v>
      </c>
      <c r="N362" s="3">
        <v>42.99</v>
      </c>
      <c r="O362" s="2" t="s">
        <v>224</v>
      </c>
      <c r="P362" s="2" t="s">
        <v>485</v>
      </c>
      <c r="Q362" s="2" t="s">
        <v>226</v>
      </c>
      <c r="R362" s="2" t="s">
        <v>227</v>
      </c>
      <c r="S362" s="2" t="s">
        <v>2497</v>
      </c>
      <c r="T362" s="2" t="s">
        <v>2100</v>
      </c>
      <c r="U362" s="2" t="s">
        <v>287</v>
      </c>
      <c r="V362" s="2" t="s">
        <v>2101</v>
      </c>
      <c r="W362" s="2" t="s">
        <v>231</v>
      </c>
      <c r="X362" s="2" t="s">
        <v>581</v>
      </c>
      <c r="Y362" s="2" t="s">
        <v>2498</v>
      </c>
      <c r="Z362" s="4">
        <v>254</v>
      </c>
      <c r="AA362" s="4">
        <f>=ROUNDDOWN(14.1111111111111,0)</f>
      </c>
      <c r="AB362" s="5">
        <v>18</v>
      </c>
      <c r="AC362" s="2" t="s">
        <v>158</v>
      </c>
      <c r="AD362" s="4">
        <v>147</v>
      </c>
      <c r="AE362" s="4">
        <v>297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227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 t="s">
        <v>227</v>
      </c>
      <c r="BD362" s="8" t="s">
        <v>227</v>
      </c>
      <c r="BE362" s="4" t="s">
        <v>227</v>
      </c>
      <c r="BF362" s="8" t="s">
        <v>227</v>
      </c>
      <c r="BG362" s="7" t="s">
        <v>227</v>
      </c>
      <c r="BH362" s="7" t="s">
        <v>227</v>
      </c>
      <c r="BI362" s="7"/>
      <c r="BJ362" s="4">
        <v>204</v>
      </c>
      <c r="BK362" s="8">
        <v>4602.52</v>
      </c>
      <c r="BL362" s="2" t="s">
        <v>2499</v>
      </c>
      <c r="BM362" s="7"/>
      <c r="BN362" s="7"/>
      <c r="BO362" s="4"/>
      <c r="BP362" s="8"/>
      <c r="BQ362" s="4"/>
      <c r="BR362" s="8"/>
      <c r="BS362" s="7"/>
      <c r="BT362" s="7"/>
      <c r="BU362" s="2" t="s">
        <v>2500</v>
      </c>
      <c r="BV362" s="2" t="s">
        <v>227</v>
      </c>
      <c r="BW362" s="2" t="s">
        <v>227</v>
      </c>
      <c r="BX362" s="2" t="s">
        <v>235</v>
      </c>
      <c r="BY362" s="2" t="s">
        <v>236</v>
      </c>
      <c r="BZ362" s="2" t="s">
        <v>224</v>
      </c>
      <c r="CA362" s="2" t="s">
        <v>2501</v>
      </c>
      <c r="CB362" s="2" t="s">
        <v>2502</v>
      </c>
      <c r="CC362" s="2" t="s">
        <v>239</v>
      </c>
      <c r="CD362" s="2" t="s">
        <v>227</v>
      </c>
      <c r="CE362" s="4">
        <v>254</v>
      </c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>
        <v>147</v>
      </c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>
        <v>150</v>
      </c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  <c r="GT362" s="4"/>
      <c r="GU362" s="4"/>
      <c r="GV362" s="4"/>
      <c r="GW362" s="4"/>
      <c r="GX362" s="4"/>
    </row>
    <row r="363">
      <c r="A363" s="2" t="s">
        <v>2503</v>
      </c>
      <c r="B363" s="2" t="s">
        <v>278</v>
      </c>
      <c r="C363" s="2" t="s">
        <v>1299</v>
      </c>
      <c r="D363" s="2" t="s">
        <v>280</v>
      </c>
      <c r="E363" s="2" t="s">
        <v>281</v>
      </c>
      <c r="F363" s="2" t="s">
        <v>2494</v>
      </c>
      <c r="G363" s="2" t="s">
        <v>2494</v>
      </c>
      <c r="H363" s="2" t="s">
        <v>2494</v>
      </c>
      <c r="I363" s="2" t="s">
        <v>2495</v>
      </c>
      <c r="J363" s="2" t="s">
        <v>222</v>
      </c>
      <c r="K363" s="2" t="s">
        <v>2504</v>
      </c>
      <c r="L363" s="3">
        <v>14.89</v>
      </c>
      <c r="M363" s="3">
        <v>15.63</v>
      </c>
      <c r="N363" s="3">
        <v>31.99</v>
      </c>
      <c r="O363" s="2" t="s">
        <v>224</v>
      </c>
      <c r="P363" s="2" t="s">
        <v>225</v>
      </c>
      <c r="Q363" s="2" t="s">
        <v>226</v>
      </c>
      <c r="R363" s="2" t="s">
        <v>227</v>
      </c>
      <c r="S363" s="2" t="s">
        <v>2505</v>
      </c>
      <c r="T363" s="2" t="s">
        <v>2100</v>
      </c>
      <c r="U363" s="2" t="s">
        <v>674</v>
      </c>
      <c r="V363" s="2" t="s">
        <v>1153</v>
      </c>
      <c r="W363" s="2" t="s">
        <v>231</v>
      </c>
      <c r="X363" s="2" t="s">
        <v>581</v>
      </c>
      <c r="Y363" s="2" t="s">
        <v>2506</v>
      </c>
      <c r="Z363" s="4">
        <v>585</v>
      </c>
      <c r="AA363" s="4">
        <f>=ROUNDDOWN(25.4347826086956,0)</f>
      </c>
      <c r="AB363" s="5">
        <v>23</v>
      </c>
      <c r="AC363" s="2" t="s">
        <v>158</v>
      </c>
      <c r="AD363" s="4">
        <v>189</v>
      </c>
      <c r="AE363" s="4">
        <v>454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227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227</v>
      </c>
      <c r="BD363" s="8" t="s">
        <v>227</v>
      </c>
      <c r="BE363" s="4" t="s">
        <v>227</v>
      </c>
      <c r="BF363" s="8" t="s">
        <v>227</v>
      </c>
      <c r="BG363" s="7" t="s">
        <v>227</v>
      </c>
      <c r="BH363" s="7" t="s">
        <v>227</v>
      </c>
      <c r="BI363" s="7"/>
      <c r="BJ363" s="4">
        <v>48</v>
      </c>
      <c r="BK363" s="8">
        <v>817.31</v>
      </c>
      <c r="BL363" s="2" t="s">
        <v>928</v>
      </c>
      <c r="BM363" s="7"/>
      <c r="BN363" s="7"/>
      <c r="BO363" s="4"/>
      <c r="BP363" s="8"/>
      <c r="BQ363" s="4"/>
      <c r="BR363" s="8"/>
      <c r="BS363" s="7"/>
      <c r="BT363" s="7"/>
      <c r="BU363" s="2" t="s">
        <v>2507</v>
      </c>
      <c r="BV363" s="2" t="s">
        <v>227</v>
      </c>
      <c r="BW363" s="2" t="s">
        <v>227</v>
      </c>
      <c r="BX363" s="2" t="s">
        <v>235</v>
      </c>
      <c r="BY363" s="2" t="s">
        <v>236</v>
      </c>
      <c r="BZ363" s="2" t="s">
        <v>224</v>
      </c>
      <c r="CA363" s="2" t="s">
        <v>2508</v>
      </c>
      <c r="CB363" s="2" t="s">
        <v>2509</v>
      </c>
      <c r="CC363" s="2" t="s">
        <v>239</v>
      </c>
      <c r="CD363" s="2" t="s">
        <v>227</v>
      </c>
      <c r="CE363" s="4">
        <v>585</v>
      </c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>
        <v>189</v>
      </c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>
        <v>265</v>
      </c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  <c r="GT363" s="4"/>
      <c r="GU363" s="4"/>
      <c r="GV363" s="4"/>
      <c r="GW363" s="4"/>
      <c r="GX363" s="4"/>
    </row>
    <row r="364">
      <c r="A364" s="2" t="s">
        <v>2510</v>
      </c>
      <c r="B364" s="2" t="s">
        <v>278</v>
      </c>
      <c r="C364" s="2" t="s">
        <v>1299</v>
      </c>
      <c r="D364" s="2" t="s">
        <v>280</v>
      </c>
      <c r="E364" s="2" t="s">
        <v>281</v>
      </c>
      <c r="F364" s="2" t="s">
        <v>2494</v>
      </c>
      <c r="G364" s="2" t="s">
        <v>2494</v>
      </c>
      <c r="H364" s="2" t="s">
        <v>2494</v>
      </c>
      <c r="I364" s="2" t="s">
        <v>2495</v>
      </c>
      <c r="J364" s="2" t="s">
        <v>241</v>
      </c>
      <c r="K364" s="2" t="s">
        <v>2511</v>
      </c>
      <c r="L364" s="3">
        <v>15.22</v>
      </c>
      <c r="M364" s="3">
        <v>15.98</v>
      </c>
      <c r="N364" s="3">
        <v>32.99</v>
      </c>
      <c r="O364" s="2" t="s">
        <v>224</v>
      </c>
      <c r="P364" s="2" t="s">
        <v>485</v>
      </c>
      <c r="Q364" s="2" t="s">
        <v>226</v>
      </c>
      <c r="R364" s="2" t="s">
        <v>227</v>
      </c>
      <c r="S364" s="2" t="s">
        <v>2512</v>
      </c>
      <c r="T364" s="2" t="s">
        <v>2100</v>
      </c>
      <c r="U364" s="2" t="s">
        <v>674</v>
      </c>
      <c r="V364" s="2" t="s">
        <v>2101</v>
      </c>
      <c r="W364" s="2" t="s">
        <v>231</v>
      </c>
      <c r="X364" s="2" t="s">
        <v>581</v>
      </c>
      <c r="Y364" s="2" t="s">
        <v>2498</v>
      </c>
      <c r="Z364" s="4">
        <v>204</v>
      </c>
      <c r="AA364" s="4">
        <f>=ROUNDDOWN(8.5,0)</f>
      </c>
      <c r="AB364" s="5">
        <v>24</v>
      </c>
      <c r="AC364" s="2" t="s">
        <v>158</v>
      </c>
      <c r="AD364" s="4">
        <v>193</v>
      </c>
      <c r="AE364" s="4">
        <v>439</v>
      </c>
      <c r="AF364" s="6">
        <v>65</v>
      </c>
      <c r="AG364" s="6"/>
      <c r="AH364" s="7">
        <v>0.6452</v>
      </c>
      <c r="AI364" s="4"/>
      <c r="AJ364" s="4">
        <f>=ROUNDDOWN({0},0)</f>
      </c>
      <c r="AK364" s="5"/>
      <c r="AL364" s="2" t="s">
        <v>227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227</v>
      </c>
      <c r="AW364" s="8" t="s">
        <v>227</v>
      </c>
      <c r="AX364" s="4" t="s">
        <v>227</v>
      </c>
      <c r="AY364" s="8" t="s">
        <v>227</v>
      </c>
      <c r="AZ364" s="7" t="s">
        <v>227</v>
      </c>
      <c r="BA364" s="7" t="s">
        <v>227</v>
      </c>
      <c r="BB364" s="7"/>
      <c r="BC364" s="4" t="s">
        <v>227</v>
      </c>
      <c r="BD364" s="8" t="s">
        <v>227</v>
      </c>
      <c r="BE364" s="4" t="s">
        <v>227</v>
      </c>
      <c r="BF364" s="8" t="s">
        <v>227</v>
      </c>
      <c r="BG364" s="7" t="s">
        <v>227</v>
      </c>
      <c r="BH364" s="7" t="s">
        <v>227</v>
      </c>
      <c r="BI364" s="7"/>
      <c r="BJ364" s="4">
        <v>338</v>
      </c>
      <c r="BK364" s="8">
        <v>6179.62</v>
      </c>
      <c r="BL364" s="2" t="s">
        <v>2513</v>
      </c>
      <c r="BM364" s="7"/>
      <c r="BN364" s="7"/>
      <c r="BO364" s="4"/>
      <c r="BP364" s="8"/>
      <c r="BQ364" s="4"/>
      <c r="BR364" s="8"/>
      <c r="BS364" s="7"/>
      <c r="BT364" s="7"/>
      <c r="BU364" s="2" t="s">
        <v>2514</v>
      </c>
      <c r="BV364" s="2" t="s">
        <v>227</v>
      </c>
      <c r="BW364" s="2" t="s">
        <v>227</v>
      </c>
      <c r="BX364" s="2" t="s">
        <v>235</v>
      </c>
      <c r="BY364" s="2" t="s">
        <v>236</v>
      </c>
      <c r="BZ364" s="2" t="s">
        <v>224</v>
      </c>
      <c r="CA364" s="2" t="s">
        <v>2501</v>
      </c>
      <c r="CB364" s="2" t="s">
        <v>2515</v>
      </c>
      <c r="CC364" s="2" t="s">
        <v>239</v>
      </c>
      <c r="CD364" s="2" t="s">
        <v>227</v>
      </c>
      <c r="CE364" s="4">
        <v>204</v>
      </c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>
        <v>193</v>
      </c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>
        <v>246</v>
      </c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4"/>
      <c r="GR364" s="4"/>
      <c r="GS364" s="4"/>
      <c r="GT364" s="4"/>
      <c r="GU364" s="4"/>
      <c r="GV364" s="4"/>
      <c r="GW364" s="4"/>
      <c r="GX364" s="4"/>
    </row>
    <row r="365">
      <c r="A365" s="2" t="s">
        <v>2516</v>
      </c>
      <c r="B365" s="2" t="s">
        <v>278</v>
      </c>
      <c r="C365" s="2" t="s">
        <v>1299</v>
      </c>
      <c r="D365" s="2" t="s">
        <v>280</v>
      </c>
      <c r="E365" s="2" t="s">
        <v>281</v>
      </c>
      <c r="F365" s="2" t="s">
        <v>2494</v>
      </c>
      <c r="G365" s="2" t="s">
        <v>2494</v>
      </c>
      <c r="H365" s="2" t="s">
        <v>2494</v>
      </c>
      <c r="I365" s="2" t="s">
        <v>2495</v>
      </c>
      <c r="J365" s="2" t="s">
        <v>247</v>
      </c>
      <c r="K365" s="2" t="s">
        <v>2511</v>
      </c>
      <c r="L365" s="3">
        <v>19.13</v>
      </c>
      <c r="M365" s="3">
        <v>20.09</v>
      </c>
      <c r="N365" s="3">
        <v>42.99</v>
      </c>
      <c r="O365" s="2" t="s">
        <v>224</v>
      </c>
      <c r="P365" s="2" t="s">
        <v>225</v>
      </c>
      <c r="Q365" s="2" t="s">
        <v>226</v>
      </c>
      <c r="R365" s="2" t="s">
        <v>227</v>
      </c>
      <c r="S365" s="2" t="s">
        <v>2512</v>
      </c>
      <c r="T365" s="2" t="s">
        <v>2100</v>
      </c>
      <c r="U365" s="2" t="s">
        <v>287</v>
      </c>
      <c r="V365" s="2" t="s">
        <v>2101</v>
      </c>
      <c r="W365" s="2" t="s">
        <v>231</v>
      </c>
      <c r="X365" s="2" t="s">
        <v>581</v>
      </c>
      <c r="Y365" s="2" t="s">
        <v>2498</v>
      </c>
      <c r="Z365" s="4">
        <v>430</v>
      </c>
      <c r="AA365" s="4">
        <f>=ROUNDDOWN(28.6666666666667,0)</f>
      </c>
      <c r="AB365" s="5">
        <v>15</v>
      </c>
      <c r="AC365" s="2" t="s">
        <v>158</v>
      </c>
      <c r="AD365" s="4">
        <v>129</v>
      </c>
      <c r="AE365" s="4">
        <v>299</v>
      </c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227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227</v>
      </c>
      <c r="AW365" s="8" t="s">
        <v>227</v>
      </c>
      <c r="AX365" s="4" t="s">
        <v>227</v>
      </c>
      <c r="AY365" s="8" t="s">
        <v>227</v>
      </c>
      <c r="AZ365" s="7" t="s">
        <v>227</v>
      </c>
      <c r="BA365" s="7" t="s">
        <v>227</v>
      </c>
      <c r="BB365" s="7"/>
      <c r="BC365" s="4" t="s">
        <v>227</v>
      </c>
      <c r="BD365" s="8" t="s">
        <v>227</v>
      </c>
      <c r="BE365" s="4" t="s">
        <v>227</v>
      </c>
      <c r="BF365" s="8" t="s">
        <v>227</v>
      </c>
      <c r="BG365" s="7" t="s">
        <v>227</v>
      </c>
      <c r="BH365" s="7" t="s">
        <v>227</v>
      </c>
      <c r="BI365" s="7"/>
      <c r="BJ365" s="4">
        <v>31</v>
      </c>
      <c r="BK365" s="8">
        <v>734.4</v>
      </c>
      <c r="BL365" s="2" t="s">
        <v>2517</v>
      </c>
      <c r="BM365" s="7"/>
      <c r="BN365" s="7"/>
      <c r="BO365" s="4"/>
      <c r="BP365" s="8"/>
      <c r="BQ365" s="4"/>
      <c r="BR365" s="8"/>
      <c r="BS365" s="7"/>
      <c r="BT365" s="7"/>
      <c r="BU365" s="2" t="s">
        <v>2518</v>
      </c>
      <c r="BV365" s="2" t="s">
        <v>227</v>
      </c>
      <c r="BW365" s="2" t="s">
        <v>227</v>
      </c>
      <c r="BX365" s="2" t="s">
        <v>235</v>
      </c>
      <c r="BY365" s="2" t="s">
        <v>236</v>
      </c>
      <c r="BZ365" s="2" t="s">
        <v>224</v>
      </c>
      <c r="CA365" s="2" t="s">
        <v>2501</v>
      </c>
      <c r="CB365" s="2" t="s">
        <v>2519</v>
      </c>
      <c r="CC365" s="2" t="s">
        <v>239</v>
      </c>
      <c r="CD365" s="2" t="s">
        <v>227</v>
      </c>
      <c r="CE365" s="4">
        <v>430</v>
      </c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>
        <v>129</v>
      </c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>
        <v>170</v>
      </c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  <c r="GT365" s="4"/>
      <c r="GU365" s="4"/>
      <c r="GV365" s="4"/>
      <c r="GW365" s="4"/>
      <c r="GX365" s="4"/>
    </row>
    <row r="366">
      <c r="A366" s="2" t="s">
        <v>2520</v>
      </c>
      <c r="B366" s="2" t="s">
        <v>278</v>
      </c>
      <c r="C366" s="2" t="s">
        <v>1299</v>
      </c>
      <c r="D366" s="2" t="s">
        <v>280</v>
      </c>
      <c r="E366" s="2" t="s">
        <v>281</v>
      </c>
      <c r="F366" s="2" t="s">
        <v>2494</v>
      </c>
      <c r="G366" s="2" t="s">
        <v>2494</v>
      </c>
      <c r="H366" s="2" t="s">
        <v>2494</v>
      </c>
      <c r="I366" s="2" t="s">
        <v>2495</v>
      </c>
      <c r="J366" s="2" t="s">
        <v>252</v>
      </c>
      <c r="K366" s="2" t="s">
        <v>2511</v>
      </c>
      <c r="L366" s="3">
        <v>21.27</v>
      </c>
      <c r="M366" s="3">
        <v>22.33</v>
      </c>
      <c r="N366" s="3">
        <v>47.99</v>
      </c>
      <c r="O366" s="2" t="s">
        <v>224</v>
      </c>
      <c r="P366" s="2" t="s">
        <v>485</v>
      </c>
      <c r="Q366" s="2" t="s">
        <v>226</v>
      </c>
      <c r="R366" s="2" t="s">
        <v>227</v>
      </c>
      <c r="S366" s="2" t="s">
        <v>2512</v>
      </c>
      <c r="T366" s="2" t="s">
        <v>2100</v>
      </c>
      <c r="U366" s="2" t="s">
        <v>287</v>
      </c>
      <c r="V366" s="2" t="s">
        <v>2101</v>
      </c>
      <c r="W366" s="2" t="s">
        <v>231</v>
      </c>
      <c r="X366" s="2" t="s">
        <v>581</v>
      </c>
      <c r="Y366" s="2" t="s">
        <v>2498</v>
      </c>
      <c r="Z366" s="4">
        <v>724</v>
      </c>
      <c r="AA366" s="4">
        <f>=ROUNDDOWN(26.8148148148148,0)</f>
      </c>
      <c r="AB366" s="5">
        <v>27</v>
      </c>
      <c r="AC366" s="2" t="s">
        <v>158</v>
      </c>
      <c r="AD366" s="4">
        <v>214</v>
      </c>
      <c r="AE366" s="4">
        <v>498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227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227</v>
      </c>
      <c r="AW366" s="8" t="s">
        <v>227</v>
      </c>
      <c r="AX366" s="4" t="s">
        <v>227</v>
      </c>
      <c r="AY366" s="8" t="s">
        <v>227</v>
      </c>
      <c r="AZ366" s="7" t="s">
        <v>227</v>
      </c>
      <c r="BA366" s="7" t="s">
        <v>227</v>
      </c>
      <c r="BB366" s="7"/>
      <c r="BC366" s="4" t="s">
        <v>227</v>
      </c>
      <c r="BD366" s="8" t="s">
        <v>227</v>
      </c>
      <c r="BE366" s="4" t="s">
        <v>227</v>
      </c>
      <c r="BF366" s="8" t="s">
        <v>227</v>
      </c>
      <c r="BG366" s="7" t="s">
        <v>227</v>
      </c>
      <c r="BH366" s="7" t="s">
        <v>227</v>
      </c>
      <c r="BI366" s="7"/>
      <c r="BJ366" s="4">
        <v>45</v>
      </c>
      <c r="BK366" s="8">
        <v>1111.77</v>
      </c>
      <c r="BL366" s="2" t="s">
        <v>2521</v>
      </c>
      <c r="BM366" s="7"/>
      <c r="BN366" s="7"/>
      <c r="BO366" s="4"/>
      <c r="BP366" s="8"/>
      <c r="BQ366" s="4"/>
      <c r="BR366" s="8"/>
      <c r="BS366" s="7"/>
      <c r="BT366" s="7"/>
      <c r="BU366" s="2" t="s">
        <v>2522</v>
      </c>
      <c r="BV366" s="2" t="s">
        <v>227</v>
      </c>
      <c r="BW366" s="2" t="s">
        <v>227</v>
      </c>
      <c r="BX366" s="2" t="s">
        <v>235</v>
      </c>
      <c r="BY366" s="2" t="s">
        <v>236</v>
      </c>
      <c r="BZ366" s="2" t="s">
        <v>224</v>
      </c>
      <c r="CA366" s="2" t="s">
        <v>2501</v>
      </c>
      <c r="CB366" s="2" t="s">
        <v>2362</v>
      </c>
      <c r="CC366" s="2" t="s">
        <v>239</v>
      </c>
      <c r="CD366" s="2" t="s">
        <v>227</v>
      </c>
      <c r="CE366" s="4">
        <v>724</v>
      </c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>
        <v>214</v>
      </c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>
        <v>284</v>
      </c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  <c r="GT366" s="4"/>
      <c r="GU366" s="4"/>
      <c r="GV366" s="4"/>
      <c r="GW366" s="4"/>
      <c r="GX366" s="4"/>
    </row>
    <row r="367">
      <c r="A367" s="2" t="s">
        <v>2523</v>
      </c>
      <c r="B367" s="2" t="s">
        <v>278</v>
      </c>
      <c r="C367" s="2" t="s">
        <v>1299</v>
      </c>
      <c r="D367" s="2" t="s">
        <v>280</v>
      </c>
      <c r="E367" s="2" t="s">
        <v>281</v>
      </c>
      <c r="F367" s="2" t="s">
        <v>2494</v>
      </c>
      <c r="G367" s="2" t="s">
        <v>2494</v>
      </c>
      <c r="H367" s="2" t="s">
        <v>2494</v>
      </c>
      <c r="I367" s="2" t="s">
        <v>2495</v>
      </c>
      <c r="J367" s="2" t="s">
        <v>222</v>
      </c>
      <c r="K367" s="2" t="s">
        <v>2524</v>
      </c>
      <c r="L367" s="3">
        <v>14.89</v>
      </c>
      <c r="M367" s="3">
        <v>15.63</v>
      </c>
      <c r="N367" s="3">
        <v>31.99</v>
      </c>
      <c r="O367" s="2" t="s">
        <v>224</v>
      </c>
      <c r="P367" s="2" t="s">
        <v>225</v>
      </c>
      <c r="Q367" s="2" t="s">
        <v>226</v>
      </c>
      <c r="R367" s="2" t="s">
        <v>227</v>
      </c>
      <c r="S367" s="2" t="s">
        <v>2525</v>
      </c>
      <c r="T367" s="2" t="s">
        <v>2100</v>
      </c>
      <c r="U367" s="2" t="s">
        <v>674</v>
      </c>
      <c r="V367" s="2" t="s">
        <v>2101</v>
      </c>
      <c r="W367" s="2" t="s">
        <v>231</v>
      </c>
      <c r="X367" s="2" t="s">
        <v>581</v>
      </c>
      <c r="Y367" s="2" t="s">
        <v>2498</v>
      </c>
      <c r="Z367" s="4"/>
      <c r="AA367" s="4">
        <f>=ROUNDDOWN({0},0)</f>
      </c>
      <c r="AB367" s="5">
        <v>28</v>
      </c>
      <c r="AC367" s="2" t="s">
        <v>2460</v>
      </c>
      <c r="AD367" s="4">
        <v>576</v>
      </c>
      <c r="AE367" s="4">
        <v>1119</v>
      </c>
      <c r="AF367" s="6">
        <v>65</v>
      </c>
      <c r="AG367" s="6"/>
      <c r="AH367" s="7">
        <v>0.5806</v>
      </c>
      <c r="AI367" s="4"/>
      <c r="AJ367" s="4">
        <f>=ROUNDDOWN({0},0)</f>
      </c>
      <c r="AK367" s="5"/>
      <c r="AL367" s="2" t="s">
        <v>227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227</v>
      </c>
      <c r="AW367" s="8" t="s">
        <v>227</v>
      </c>
      <c r="AX367" s="4" t="s">
        <v>227</v>
      </c>
      <c r="AY367" s="8" t="s">
        <v>227</v>
      </c>
      <c r="AZ367" s="7" t="s">
        <v>227</v>
      </c>
      <c r="BA367" s="7" t="s">
        <v>227</v>
      </c>
      <c r="BB367" s="7"/>
      <c r="BC367" s="4" t="s">
        <v>227</v>
      </c>
      <c r="BD367" s="8" t="s">
        <v>227</v>
      </c>
      <c r="BE367" s="4" t="s">
        <v>227</v>
      </c>
      <c r="BF367" s="8" t="s">
        <v>227</v>
      </c>
      <c r="BG367" s="7" t="s">
        <v>227</v>
      </c>
      <c r="BH367" s="7" t="s">
        <v>227</v>
      </c>
      <c r="BI367" s="7"/>
      <c r="BJ367" s="4">
        <v>148</v>
      </c>
      <c r="BK367" s="8">
        <v>2642.49</v>
      </c>
      <c r="BL367" s="2" t="s">
        <v>2526</v>
      </c>
      <c r="BM367" s="7"/>
      <c r="BN367" s="7"/>
      <c r="BO367" s="4"/>
      <c r="BP367" s="8"/>
      <c r="BQ367" s="4"/>
      <c r="BR367" s="8"/>
      <c r="BS367" s="7"/>
      <c r="BT367" s="7"/>
      <c r="BU367" s="2" t="s">
        <v>2527</v>
      </c>
      <c r="BV367" s="2" t="s">
        <v>227</v>
      </c>
      <c r="BW367" s="2" t="s">
        <v>227</v>
      </c>
      <c r="BX367" s="2" t="s">
        <v>235</v>
      </c>
      <c r="BY367" s="2" t="s">
        <v>236</v>
      </c>
      <c r="BZ367" s="2" t="s">
        <v>224</v>
      </c>
      <c r="CA367" s="2" t="s">
        <v>2501</v>
      </c>
      <c r="CB367" s="2" t="s">
        <v>2528</v>
      </c>
      <c r="CC367" s="2" t="s">
        <v>239</v>
      </c>
      <c r="CD367" s="2" t="s">
        <v>227</v>
      </c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>
        <v>576</v>
      </c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>
        <v>232</v>
      </c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>
        <v>311</v>
      </c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  <c r="GT367" s="4"/>
      <c r="GU367" s="4"/>
      <c r="GV367" s="4"/>
      <c r="GW367" s="4"/>
      <c r="GX367" s="4"/>
    </row>
    <row r="368">
      <c r="A368" s="2" t="s">
        <v>2529</v>
      </c>
      <c r="B368" s="2" t="s">
        <v>278</v>
      </c>
      <c r="C368" s="2" t="s">
        <v>1299</v>
      </c>
      <c r="D368" s="2" t="s">
        <v>280</v>
      </c>
      <c r="E368" s="2" t="s">
        <v>281</v>
      </c>
      <c r="F368" s="2" t="s">
        <v>2494</v>
      </c>
      <c r="G368" s="2" t="s">
        <v>2494</v>
      </c>
      <c r="H368" s="2" t="s">
        <v>2494</v>
      </c>
      <c r="I368" s="2" t="s">
        <v>2495</v>
      </c>
      <c r="J368" s="2" t="s">
        <v>241</v>
      </c>
      <c r="K368" s="2" t="s">
        <v>2524</v>
      </c>
      <c r="L368" s="3">
        <v>15.22</v>
      </c>
      <c r="M368" s="3">
        <v>15.98</v>
      </c>
      <c r="N368" s="3">
        <v>32.99</v>
      </c>
      <c r="O368" s="2" t="s">
        <v>224</v>
      </c>
      <c r="P368" s="2" t="s">
        <v>225</v>
      </c>
      <c r="Q368" s="2" t="s">
        <v>226</v>
      </c>
      <c r="R368" s="2" t="s">
        <v>227</v>
      </c>
      <c r="S368" s="2" t="s">
        <v>2525</v>
      </c>
      <c r="T368" s="2" t="s">
        <v>2100</v>
      </c>
      <c r="U368" s="2" t="s">
        <v>674</v>
      </c>
      <c r="V368" s="2" t="s">
        <v>2101</v>
      </c>
      <c r="W368" s="2" t="s">
        <v>231</v>
      </c>
      <c r="X368" s="2" t="s">
        <v>581</v>
      </c>
      <c r="Y368" s="2" t="s">
        <v>2498</v>
      </c>
      <c r="Z368" s="4">
        <v>78</v>
      </c>
      <c r="AA368" s="4">
        <f>=ROUNDDOWN(6,0)</f>
      </c>
      <c r="AB368" s="5">
        <v>13</v>
      </c>
      <c r="AC368" s="2" t="s">
        <v>583</v>
      </c>
      <c r="AD368" s="4">
        <v>248</v>
      </c>
      <c r="AE368" s="4">
        <v>531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227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227</v>
      </c>
      <c r="AW368" s="8" t="s">
        <v>227</v>
      </c>
      <c r="AX368" s="4" t="s">
        <v>227</v>
      </c>
      <c r="AY368" s="8" t="s">
        <v>227</v>
      </c>
      <c r="AZ368" s="7" t="s">
        <v>227</v>
      </c>
      <c r="BA368" s="7" t="s">
        <v>227</v>
      </c>
      <c r="BB368" s="7"/>
      <c r="BC368" s="4" t="s">
        <v>227</v>
      </c>
      <c r="BD368" s="8" t="s">
        <v>227</v>
      </c>
      <c r="BE368" s="4" t="s">
        <v>227</v>
      </c>
      <c r="BF368" s="8" t="s">
        <v>227</v>
      </c>
      <c r="BG368" s="7" t="s">
        <v>227</v>
      </c>
      <c r="BH368" s="7" t="s">
        <v>227</v>
      </c>
      <c r="BI368" s="7"/>
      <c r="BJ368" s="4">
        <v>33</v>
      </c>
      <c r="BK368" s="8">
        <v>754.05</v>
      </c>
      <c r="BL368" s="2" t="s">
        <v>2530</v>
      </c>
      <c r="BM368" s="7"/>
      <c r="BN368" s="7"/>
      <c r="BO368" s="4"/>
      <c r="BP368" s="8"/>
      <c r="BQ368" s="4"/>
      <c r="BR368" s="8"/>
      <c r="BS368" s="7"/>
      <c r="BT368" s="7"/>
      <c r="BU368" s="2" t="s">
        <v>2531</v>
      </c>
      <c r="BV368" s="2" t="s">
        <v>227</v>
      </c>
      <c r="BW368" s="2" t="s">
        <v>227</v>
      </c>
      <c r="BX368" s="2" t="s">
        <v>235</v>
      </c>
      <c r="BY368" s="2" t="s">
        <v>236</v>
      </c>
      <c r="BZ368" s="2" t="s">
        <v>224</v>
      </c>
      <c r="CA368" s="2" t="s">
        <v>2501</v>
      </c>
      <c r="CB368" s="2" t="s">
        <v>2532</v>
      </c>
      <c r="CC368" s="2" t="s">
        <v>239</v>
      </c>
      <c r="CD368" s="2" t="s">
        <v>227</v>
      </c>
      <c r="CE368" s="4">
        <v>78</v>
      </c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>
        <v>248</v>
      </c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>
        <v>115</v>
      </c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>
        <v>168</v>
      </c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  <c r="GT368" s="4"/>
      <c r="GU368" s="4"/>
      <c r="GV368" s="4"/>
      <c r="GW368" s="4"/>
      <c r="GX368" s="4"/>
    </row>
    <row r="369">
      <c r="A369" s="2" t="s">
        <v>2533</v>
      </c>
      <c r="B369" s="2" t="s">
        <v>278</v>
      </c>
      <c r="C369" s="2" t="s">
        <v>1299</v>
      </c>
      <c r="D369" s="2" t="s">
        <v>280</v>
      </c>
      <c r="E369" s="2" t="s">
        <v>281</v>
      </c>
      <c r="F369" s="2" t="s">
        <v>2494</v>
      </c>
      <c r="G369" s="2" t="s">
        <v>2494</v>
      </c>
      <c r="H369" s="2" t="s">
        <v>2494</v>
      </c>
      <c r="I369" s="2" t="s">
        <v>2495</v>
      </c>
      <c r="J369" s="2" t="s">
        <v>252</v>
      </c>
      <c r="K369" s="2" t="s">
        <v>2524</v>
      </c>
      <c r="L369" s="3">
        <v>21.27</v>
      </c>
      <c r="M369" s="3">
        <v>22.33</v>
      </c>
      <c r="N369" s="3">
        <v>47.99</v>
      </c>
      <c r="O369" s="2" t="s">
        <v>224</v>
      </c>
      <c r="P369" s="2" t="s">
        <v>485</v>
      </c>
      <c r="Q369" s="2" t="s">
        <v>226</v>
      </c>
      <c r="R369" s="2" t="s">
        <v>227</v>
      </c>
      <c r="S369" s="2" t="s">
        <v>2525</v>
      </c>
      <c r="T369" s="2" t="s">
        <v>2100</v>
      </c>
      <c r="U369" s="2" t="s">
        <v>287</v>
      </c>
      <c r="V369" s="2" t="s">
        <v>2101</v>
      </c>
      <c r="W369" s="2" t="s">
        <v>231</v>
      </c>
      <c r="X369" s="2" t="s">
        <v>581</v>
      </c>
      <c r="Y369" s="2" t="s">
        <v>2498</v>
      </c>
      <c r="Z369" s="4"/>
      <c r="AA369" s="4">
        <f>=ROUNDDOWN({0},0)</f>
      </c>
      <c r="AB369" s="5">
        <v>25</v>
      </c>
      <c r="AC369" s="2" t="s">
        <v>583</v>
      </c>
      <c r="AD369" s="4">
        <v>451</v>
      </c>
      <c r="AE369" s="4">
        <v>992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227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227</v>
      </c>
      <c r="AW369" s="8" t="s">
        <v>227</v>
      </c>
      <c r="AX369" s="4" t="s">
        <v>227</v>
      </c>
      <c r="AY369" s="8" t="s">
        <v>227</v>
      </c>
      <c r="AZ369" s="7" t="s">
        <v>227</v>
      </c>
      <c r="BA369" s="7" t="s">
        <v>227</v>
      </c>
      <c r="BB369" s="7"/>
      <c r="BC369" s="4" t="s">
        <v>227</v>
      </c>
      <c r="BD369" s="8" t="s">
        <v>227</v>
      </c>
      <c r="BE369" s="4" t="s">
        <v>227</v>
      </c>
      <c r="BF369" s="8" t="s">
        <v>227</v>
      </c>
      <c r="BG369" s="7" t="s">
        <v>227</v>
      </c>
      <c r="BH369" s="7" t="s">
        <v>227</v>
      </c>
      <c r="BI369" s="7"/>
      <c r="BJ369" s="4">
        <v>134</v>
      </c>
      <c r="BK369" s="8">
        <v>3452.92</v>
      </c>
      <c r="BL369" s="2" t="s">
        <v>2534</v>
      </c>
      <c r="BM369" s="7"/>
      <c r="BN369" s="7"/>
      <c r="BO369" s="4"/>
      <c r="BP369" s="8"/>
      <c r="BQ369" s="4"/>
      <c r="BR369" s="8"/>
      <c r="BS369" s="7"/>
      <c r="BT369" s="7"/>
      <c r="BU369" s="2" t="s">
        <v>2535</v>
      </c>
      <c r="BV369" s="2" t="s">
        <v>227</v>
      </c>
      <c r="BW369" s="2" t="s">
        <v>227</v>
      </c>
      <c r="BX369" s="2" t="s">
        <v>235</v>
      </c>
      <c r="BY369" s="2" t="s">
        <v>236</v>
      </c>
      <c r="BZ369" s="2" t="s">
        <v>224</v>
      </c>
      <c r="CA369" s="2" t="s">
        <v>2501</v>
      </c>
      <c r="CB369" s="2" t="s">
        <v>2536</v>
      </c>
      <c r="CC369" s="2" t="s">
        <v>239</v>
      </c>
      <c r="CD369" s="2" t="s">
        <v>227</v>
      </c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>
        <v>451</v>
      </c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>
        <v>217</v>
      </c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>
        <v>324</v>
      </c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  <c r="GT369" s="4"/>
      <c r="GU369" s="4"/>
      <c r="GV369" s="4"/>
      <c r="GW369" s="4"/>
      <c r="GX369" s="4"/>
    </row>
    <row r="370">
      <c r="A370" s="2" t="s">
        <v>2537</v>
      </c>
      <c r="B370" s="2" t="s">
        <v>278</v>
      </c>
      <c r="C370" s="2" t="s">
        <v>1299</v>
      </c>
      <c r="D370" s="2" t="s">
        <v>280</v>
      </c>
      <c r="E370" s="2" t="s">
        <v>281</v>
      </c>
      <c r="F370" s="2" t="s">
        <v>2494</v>
      </c>
      <c r="G370" s="2" t="s">
        <v>2494</v>
      </c>
      <c r="H370" s="2" t="s">
        <v>2494</v>
      </c>
      <c r="I370" s="2" t="s">
        <v>2495</v>
      </c>
      <c r="J370" s="2" t="s">
        <v>222</v>
      </c>
      <c r="K370" s="2" t="s">
        <v>2538</v>
      </c>
      <c r="L370" s="3">
        <v>14.89</v>
      </c>
      <c r="M370" s="3">
        <v>15.63</v>
      </c>
      <c r="N370" s="3">
        <v>31.99</v>
      </c>
      <c r="O370" s="2" t="s">
        <v>224</v>
      </c>
      <c r="P370" s="2" t="s">
        <v>485</v>
      </c>
      <c r="Q370" s="2" t="s">
        <v>226</v>
      </c>
      <c r="R370" s="2" t="s">
        <v>227</v>
      </c>
      <c r="S370" s="2" t="s">
        <v>2539</v>
      </c>
      <c r="T370" s="2" t="s">
        <v>2100</v>
      </c>
      <c r="U370" s="2" t="s">
        <v>674</v>
      </c>
      <c r="V370" s="2" t="s">
        <v>2101</v>
      </c>
      <c r="W370" s="2" t="s">
        <v>231</v>
      </c>
      <c r="X370" s="2" t="s">
        <v>581</v>
      </c>
      <c r="Y370" s="2" t="s">
        <v>2498</v>
      </c>
      <c r="Z370" s="4">
        <v>239</v>
      </c>
      <c r="AA370" s="4">
        <f>=ROUNDDOWN(11.3809523809524,0)</f>
      </c>
      <c r="AB370" s="5">
        <v>21</v>
      </c>
      <c r="AC370" s="2" t="s">
        <v>583</v>
      </c>
      <c r="AD370" s="4">
        <v>129</v>
      </c>
      <c r="AE370" s="4">
        <v>698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227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227</v>
      </c>
      <c r="AW370" s="8" t="s">
        <v>227</v>
      </c>
      <c r="AX370" s="4" t="s">
        <v>227</v>
      </c>
      <c r="AY370" s="8" t="s">
        <v>227</v>
      </c>
      <c r="AZ370" s="7" t="s">
        <v>227</v>
      </c>
      <c r="BA370" s="7" t="s">
        <v>227</v>
      </c>
      <c r="BB370" s="7"/>
      <c r="BC370" s="4" t="s">
        <v>227</v>
      </c>
      <c r="BD370" s="8" t="s">
        <v>227</v>
      </c>
      <c r="BE370" s="4" t="s">
        <v>227</v>
      </c>
      <c r="BF370" s="8" t="s">
        <v>227</v>
      </c>
      <c r="BG370" s="7" t="s">
        <v>227</v>
      </c>
      <c r="BH370" s="7" t="s">
        <v>227</v>
      </c>
      <c r="BI370" s="7"/>
      <c r="BJ370" s="4">
        <v>79</v>
      </c>
      <c r="BK370" s="8">
        <v>1376.5</v>
      </c>
      <c r="BL370" s="2" t="s">
        <v>2403</v>
      </c>
      <c r="BM370" s="7"/>
      <c r="BN370" s="7"/>
      <c r="BO370" s="4"/>
      <c r="BP370" s="8"/>
      <c r="BQ370" s="4"/>
      <c r="BR370" s="8"/>
      <c r="BS370" s="7"/>
      <c r="BT370" s="7"/>
      <c r="BU370" s="2" t="s">
        <v>2540</v>
      </c>
      <c r="BV370" s="2" t="s">
        <v>227</v>
      </c>
      <c r="BW370" s="2" t="s">
        <v>227</v>
      </c>
      <c r="BX370" s="2" t="s">
        <v>235</v>
      </c>
      <c r="BY370" s="2" t="s">
        <v>236</v>
      </c>
      <c r="BZ370" s="2" t="s">
        <v>224</v>
      </c>
      <c r="CA370" s="2" t="s">
        <v>2501</v>
      </c>
      <c r="CB370" s="2" t="s">
        <v>2541</v>
      </c>
      <c r="CC370" s="2" t="s">
        <v>239</v>
      </c>
      <c r="CD370" s="2" t="s">
        <v>227</v>
      </c>
      <c r="CE370" s="4">
        <v>239</v>
      </c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>
        <v>129</v>
      </c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>
        <v>169</v>
      </c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>
        <v>400</v>
      </c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4"/>
      <c r="GR370" s="4"/>
      <c r="GS370" s="4"/>
      <c r="GT370" s="4"/>
      <c r="GU370" s="4"/>
      <c r="GV370" s="4"/>
      <c r="GW370" s="4"/>
      <c r="GX370" s="4"/>
    </row>
    <row r="371">
      <c r="A371" s="2" t="s">
        <v>2542</v>
      </c>
      <c r="B371" s="2" t="s">
        <v>278</v>
      </c>
      <c r="C371" s="2" t="s">
        <v>1299</v>
      </c>
      <c r="D371" s="2" t="s">
        <v>280</v>
      </c>
      <c r="E371" s="2" t="s">
        <v>281</v>
      </c>
      <c r="F371" s="2" t="s">
        <v>2494</v>
      </c>
      <c r="G371" s="2" t="s">
        <v>2494</v>
      </c>
      <c r="H371" s="2" t="s">
        <v>2494</v>
      </c>
      <c r="I371" s="2" t="s">
        <v>2495</v>
      </c>
      <c r="J371" s="2" t="s">
        <v>241</v>
      </c>
      <c r="K371" s="2" t="s">
        <v>2538</v>
      </c>
      <c r="L371" s="3">
        <v>15.22</v>
      </c>
      <c r="M371" s="3">
        <v>15.98</v>
      </c>
      <c r="N371" s="3">
        <v>32.99</v>
      </c>
      <c r="O371" s="2" t="s">
        <v>224</v>
      </c>
      <c r="P371" s="2" t="s">
        <v>225</v>
      </c>
      <c r="Q371" s="2" t="s">
        <v>226</v>
      </c>
      <c r="R371" s="2" t="s">
        <v>227</v>
      </c>
      <c r="S371" s="2" t="s">
        <v>2539</v>
      </c>
      <c r="T371" s="2" t="s">
        <v>2100</v>
      </c>
      <c r="U371" s="2" t="s">
        <v>674</v>
      </c>
      <c r="V371" s="2" t="s">
        <v>2101</v>
      </c>
      <c r="W371" s="2" t="s">
        <v>231</v>
      </c>
      <c r="X371" s="2" t="s">
        <v>581</v>
      </c>
      <c r="Y371" s="2" t="s">
        <v>2498</v>
      </c>
      <c r="Z371" s="4">
        <v>122</v>
      </c>
      <c r="AA371" s="4">
        <f>=ROUNDDOWN(11.0909090909091,0)</f>
      </c>
      <c r="AB371" s="5">
        <v>11</v>
      </c>
      <c r="AC371" s="2" t="s">
        <v>583</v>
      </c>
      <c r="AD371" s="4">
        <v>28</v>
      </c>
      <c r="AE371" s="4">
        <v>222</v>
      </c>
      <c r="AF371" s="6">
        <v>65</v>
      </c>
      <c r="AG371" s="6"/>
      <c r="AH371" s="7">
        <v>0.4839</v>
      </c>
      <c r="AI371" s="4"/>
      <c r="AJ371" s="4">
        <f>=ROUNDDOWN({0},0)</f>
      </c>
      <c r="AK371" s="5"/>
      <c r="AL371" s="2" t="s">
        <v>227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227</v>
      </c>
      <c r="AW371" s="8" t="s">
        <v>227</v>
      </c>
      <c r="AX371" s="4" t="s">
        <v>227</v>
      </c>
      <c r="AY371" s="8" t="s">
        <v>227</v>
      </c>
      <c r="AZ371" s="7" t="s">
        <v>227</v>
      </c>
      <c r="BA371" s="7" t="s">
        <v>227</v>
      </c>
      <c r="BB371" s="7"/>
      <c r="BC371" s="4" t="s">
        <v>227</v>
      </c>
      <c r="BD371" s="8" t="s">
        <v>227</v>
      </c>
      <c r="BE371" s="4" t="s">
        <v>227</v>
      </c>
      <c r="BF371" s="8" t="s">
        <v>227</v>
      </c>
      <c r="BG371" s="7" t="s">
        <v>227</v>
      </c>
      <c r="BH371" s="7" t="s">
        <v>227</v>
      </c>
      <c r="BI371" s="7"/>
      <c r="BJ371" s="4">
        <v>80</v>
      </c>
      <c r="BK371" s="8">
        <v>1444.8</v>
      </c>
      <c r="BL371" s="2" t="s">
        <v>2543</v>
      </c>
      <c r="BM371" s="7"/>
      <c r="BN371" s="7"/>
      <c r="BO371" s="4"/>
      <c r="BP371" s="8"/>
      <c r="BQ371" s="4"/>
      <c r="BR371" s="8"/>
      <c r="BS371" s="7"/>
      <c r="BT371" s="7"/>
      <c r="BU371" s="2" t="s">
        <v>2544</v>
      </c>
      <c r="BV371" s="2" t="s">
        <v>227</v>
      </c>
      <c r="BW371" s="2" t="s">
        <v>227</v>
      </c>
      <c r="BX371" s="2" t="s">
        <v>235</v>
      </c>
      <c r="BY371" s="2" t="s">
        <v>236</v>
      </c>
      <c r="BZ371" s="2" t="s">
        <v>224</v>
      </c>
      <c r="CA371" s="2" t="s">
        <v>2501</v>
      </c>
      <c r="CB371" s="2" t="s">
        <v>2545</v>
      </c>
      <c r="CC371" s="2" t="s">
        <v>239</v>
      </c>
      <c r="CD371" s="2" t="s">
        <v>227</v>
      </c>
      <c r="CE371" s="4">
        <v>122</v>
      </c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>
        <v>28</v>
      </c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>
        <v>94</v>
      </c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>
        <v>100</v>
      </c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  <c r="GT371" s="4"/>
      <c r="GU371" s="4"/>
      <c r="GV371" s="4"/>
      <c r="GW371" s="4"/>
      <c r="GX371" s="4"/>
    </row>
    <row r="372">
      <c r="A372" s="2" t="s">
        <v>2546</v>
      </c>
      <c r="B372" s="2" t="s">
        <v>278</v>
      </c>
      <c r="C372" s="2" t="s">
        <v>1299</v>
      </c>
      <c r="D372" s="2" t="s">
        <v>280</v>
      </c>
      <c r="E372" s="2" t="s">
        <v>281</v>
      </c>
      <c r="F372" s="2" t="s">
        <v>2494</v>
      </c>
      <c r="G372" s="2" t="s">
        <v>2494</v>
      </c>
      <c r="H372" s="2" t="s">
        <v>2494</v>
      </c>
      <c r="I372" s="2" t="s">
        <v>2495</v>
      </c>
      <c r="J372" s="2" t="s">
        <v>247</v>
      </c>
      <c r="K372" s="2" t="s">
        <v>2538</v>
      </c>
      <c r="L372" s="3">
        <v>19.13</v>
      </c>
      <c r="M372" s="3">
        <v>20.09</v>
      </c>
      <c r="N372" s="3">
        <v>42.99</v>
      </c>
      <c r="O372" s="2" t="s">
        <v>224</v>
      </c>
      <c r="P372" s="2" t="s">
        <v>225</v>
      </c>
      <c r="Q372" s="2" t="s">
        <v>226</v>
      </c>
      <c r="R372" s="2" t="s">
        <v>227</v>
      </c>
      <c r="S372" s="2" t="s">
        <v>2539</v>
      </c>
      <c r="T372" s="2" t="s">
        <v>2100</v>
      </c>
      <c r="U372" s="2" t="s">
        <v>287</v>
      </c>
      <c r="V372" s="2" t="s">
        <v>2101</v>
      </c>
      <c r="W372" s="2" t="s">
        <v>231</v>
      </c>
      <c r="X372" s="2" t="s">
        <v>581</v>
      </c>
      <c r="Y372" s="2" t="s">
        <v>2498</v>
      </c>
      <c r="Z372" s="4">
        <v>341</v>
      </c>
      <c r="AA372" s="4">
        <f>=ROUNDDOWN(28.4166666666667,0)</f>
      </c>
      <c r="AB372" s="5">
        <v>12</v>
      </c>
      <c r="AC372" s="2" t="s">
        <v>158</v>
      </c>
      <c r="AD372" s="4">
        <v>107</v>
      </c>
      <c r="AE372" s="4">
        <v>187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227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227</v>
      </c>
      <c r="AW372" s="8" t="s">
        <v>227</v>
      </c>
      <c r="AX372" s="4" t="s">
        <v>227</v>
      </c>
      <c r="AY372" s="8" t="s">
        <v>227</v>
      </c>
      <c r="AZ372" s="7" t="s">
        <v>227</v>
      </c>
      <c r="BA372" s="7" t="s">
        <v>227</v>
      </c>
      <c r="BB372" s="7"/>
      <c r="BC372" s="4" t="s">
        <v>227</v>
      </c>
      <c r="BD372" s="8" t="s">
        <v>227</v>
      </c>
      <c r="BE372" s="4" t="s">
        <v>227</v>
      </c>
      <c r="BF372" s="8" t="s">
        <v>227</v>
      </c>
      <c r="BG372" s="7" t="s">
        <v>227</v>
      </c>
      <c r="BH372" s="7" t="s">
        <v>227</v>
      </c>
      <c r="BI372" s="7"/>
      <c r="BJ372" s="4">
        <v>20</v>
      </c>
      <c r="BK372" s="8">
        <v>475.78</v>
      </c>
      <c r="BL372" s="2" t="s">
        <v>2547</v>
      </c>
      <c r="BM372" s="7"/>
      <c r="BN372" s="7"/>
      <c r="BO372" s="4"/>
      <c r="BP372" s="8"/>
      <c r="BQ372" s="4"/>
      <c r="BR372" s="8"/>
      <c r="BS372" s="7"/>
      <c r="BT372" s="7"/>
      <c r="BU372" s="2" t="s">
        <v>2548</v>
      </c>
      <c r="BV372" s="2" t="s">
        <v>227</v>
      </c>
      <c r="BW372" s="2" t="s">
        <v>227</v>
      </c>
      <c r="BX372" s="2" t="s">
        <v>235</v>
      </c>
      <c r="BY372" s="2" t="s">
        <v>236</v>
      </c>
      <c r="BZ372" s="2" t="s">
        <v>224</v>
      </c>
      <c r="CA372" s="2" t="s">
        <v>2501</v>
      </c>
      <c r="CB372" s="2" t="s">
        <v>2549</v>
      </c>
      <c r="CC372" s="2" t="s">
        <v>239</v>
      </c>
      <c r="CD372" s="2" t="s">
        <v>227</v>
      </c>
      <c r="CE372" s="4">
        <v>341</v>
      </c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>
        <v>107</v>
      </c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>
        <v>80</v>
      </c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  <c r="GT372" s="4"/>
      <c r="GU372" s="4"/>
      <c r="GV372" s="4"/>
      <c r="GW372" s="4"/>
      <c r="GX372" s="4"/>
    </row>
    <row r="373">
      <c r="A373" s="2" t="s">
        <v>2550</v>
      </c>
      <c r="B373" s="2" t="s">
        <v>278</v>
      </c>
      <c r="C373" s="2" t="s">
        <v>1299</v>
      </c>
      <c r="D373" s="2" t="s">
        <v>280</v>
      </c>
      <c r="E373" s="2" t="s">
        <v>281</v>
      </c>
      <c r="F373" s="2" t="s">
        <v>2494</v>
      </c>
      <c r="G373" s="2" t="s">
        <v>2494</v>
      </c>
      <c r="H373" s="2" t="s">
        <v>2494</v>
      </c>
      <c r="I373" s="2" t="s">
        <v>2495</v>
      </c>
      <c r="J373" s="2" t="s">
        <v>252</v>
      </c>
      <c r="K373" s="2" t="s">
        <v>2538</v>
      </c>
      <c r="L373" s="3">
        <v>21.27</v>
      </c>
      <c r="M373" s="3">
        <v>22.33</v>
      </c>
      <c r="N373" s="3">
        <v>47.99</v>
      </c>
      <c r="O373" s="2" t="s">
        <v>224</v>
      </c>
      <c r="P373" s="2" t="s">
        <v>225</v>
      </c>
      <c r="Q373" s="2" t="s">
        <v>226</v>
      </c>
      <c r="R373" s="2" t="s">
        <v>227</v>
      </c>
      <c r="S373" s="2" t="s">
        <v>2539</v>
      </c>
      <c r="T373" s="2" t="s">
        <v>2100</v>
      </c>
      <c r="U373" s="2" t="s">
        <v>287</v>
      </c>
      <c r="V373" s="2" t="s">
        <v>2101</v>
      </c>
      <c r="W373" s="2" t="s">
        <v>231</v>
      </c>
      <c r="X373" s="2" t="s">
        <v>581</v>
      </c>
      <c r="Y373" s="2" t="s">
        <v>2498</v>
      </c>
      <c r="Z373" s="4">
        <v>153</v>
      </c>
      <c r="AA373" s="4">
        <f>=ROUNDDOWN(13.9090909090909,0)</f>
      </c>
      <c r="AB373" s="5">
        <v>11</v>
      </c>
      <c r="AC373" s="2" t="s">
        <v>158</v>
      </c>
      <c r="AD373" s="4">
        <v>96</v>
      </c>
      <c r="AE373" s="4">
        <v>176</v>
      </c>
      <c r="AF373" s="6">
        <v>65</v>
      </c>
      <c r="AG373" s="6"/>
      <c r="AH373" s="7">
        <v>0.9355</v>
      </c>
      <c r="AI373" s="4"/>
      <c r="AJ373" s="4">
        <f>=ROUNDDOWN({0},0)</f>
      </c>
      <c r="AK373" s="5"/>
      <c r="AL373" s="2" t="s">
        <v>227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227</v>
      </c>
      <c r="AW373" s="8" t="s">
        <v>227</v>
      </c>
      <c r="AX373" s="4" t="s">
        <v>227</v>
      </c>
      <c r="AY373" s="8" t="s">
        <v>227</v>
      </c>
      <c r="AZ373" s="7" t="s">
        <v>227</v>
      </c>
      <c r="BA373" s="7" t="s">
        <v>227</v>
      </c>
      <c r="BB373" s="7"/>
      <c r="BC373" s="4" t="s">
        <v>227</v>
      </c>
      <c r="BD373" s="8" t="s">
        <v>227</v>
      </c>
      <c r="BE373" s="4" t="s">
        <v>227</v>
      </c>
      <c r="BF373" s="8" t="s">
        <v>227</v>
      </c>
      <c r="BG373" s="7" t="s">
        <v>227</v>
      </c>
      <c r="BH373" s="7" t="s">
        <v>227</v>
      </c>
      <c r="BI373" s="7"/>
      <c r="BJ373" s="4">
        <v>126</v>
      </c>
      <c r="BK373" s="8">
        <v>3211.51</v>
      </c>
      <c r="BL373" s="2" t="s">
        <v>2551</v>
      </c>
      <c r="BM373" s="7"/>
      <c r="BN373" s="7"/>
      <c r="BO373" s="4"/>
      <c r="BP373" s="8"/>
      <c r="BQ373" s="4"/>
      <c r="BR373" s="8"/>
      <c r="BS373" s="7"/>
      <c r="BT373" s="7"/>
      <c r="BU373" s="2" t="s">
        <v>2552</v>
      </c>
      <c r="BV373" s="2" t="s">
        <v>227</v>
      </c>
      <c r="BW373" s="2" t="s">
        <v>227</v>
      </c>
      <c r="BX373" s="2" t="s">
        <v>235</v>
      </c>
      <c r="BY373" s="2" t="s">
        <v>236</v>
      </c>
      <c r="BZ373" s="2" t="s">
        <v>224</v>
      </c>
      <c r="CA373" s="2" t="s">
        <v>2501</v>
      </c>
      <c r="CB373" s="2" t="s">
        <v>2553</v>
      </c>
      <c r="CC373" s="2" t="s">
        <v>239</v>
      </c>
      <c r="CD373" s="2" t="s">
        <v>227</v>
      </c>
      <c r="CE373" s="4">
        <v>153</v>
      </c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>
        <v>96</v>
      </c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>
        <v>80</v>
      </c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  <c r="GU373" s="4"/>
      <c r="GV373" s="4"/>
      <c r="GW373" s="4"/>
      <c r="GX373" s="4"/>
    </row>
    <row r="374">
      <c r="A374" s="2" t="s">
        <v>2554</v>
      </c>
      <c r="B374" s="2" t="s">
        <v>278</v>
      </c>
      <c r="C374" s="2" t="s">
        <v>1299</v>
      </c>
      <c r="D374" s="2" t="s">
        <v>280</v>
      </c>
      <c r="E374" s="2" t="s">
        <v>281</v>
      </c>
      <c r="F374" s="2" t="s">
        <v>2494</v>
      </c>
      <c r="G374" s="2" t="s">
        <v>2494</v>
      </c>
      <c r="H374" s="2" t="s">
        <v>2494</v>
      </c>
      <c r="I374" s="2" t="s">
        <v>2495</v>
      </c>
      <c r="J374" s="2" t="s">
        <v>241</v>
      </c>
      <c r="K374" s="2" t="s">
        <v>2555</v>
      </c>
      <c r="L374" s="3">
        <v>15.22</v>
      </c>
      <c r="M374" s="3">
        <v>15.98</v>
      </c>
      <c r="N374" s="3">
        <v>32.99</v>
      </c>
      <c r="O374" s="2" t="s">
        <v>224</v>
      </c>
      <c r="P374" s="2" t="s">
        <v>225</v>
      </c>
      <c r="Q374" s="2" t="s">
        <v>226</v>
      </c>
      <c r="R374" s="2" t="s">
        <v>227</v>
      </c>
      <c r="S374" s="2" t="s">
        <v>2556</v>
      </c>
      <c r="T374" s="2" t="s">
        <v>2100</v>
      </c>
      <c r="U374" s="2" t="s">
        <v>674</v>
      </c>
      <c r="V374" s="2" t="s">
        <v>2101</v>
      </c>
      <c r="W374" s="2" t="s">
        <v>231</v>
      </c>
      <c r="X374" s="2" t="s">
        <v>581</v>
      </c>
      <c r="Y374" s="2" t="s">
        <v>2498</v>
      </c>
      <c r="Z374" s="4">
        <v>49</v>
      </c>
      <c r="AA374" s="4">
        <f>=ROUNDDOWN(5.44444444444444,0)</f>
      </c>
      <c r="AB374" s="5">
        <v>9</v>
      </c>
      <c r="AC374" s="2" t="s">
        <v>583</v>
      </c>
      <c r="AD374" s="4">
        <v>84</v>
      </c>
      <c r="AE374" s="4">
        <v>278</v>
      </c>
      <c r="AF374" s="6">
        <v>65</v>
      </c>
      <c r="AG374" s="6"/>
      <c r="AH374" s="7">
        <v>0.6774</v>
      </c>
      <c r="AI374" s="4"/>
      <c r="AJ374" s="4">
        <f>=ROUNDDOWN({0},0)</f>
      </c>
      <c r="AK374" s="5"/>
      <c r="AL374" s="2" t="s">
        <v>227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227</v>
      </c>
      <c r="AW374" s="8" t="s">
        <v>227</v>
      </c>
      <c r="AX374" s="4" t="s">
        <v>227</v>
      </c>
      <c r="AY374" s="8" t="s">
        <v>227</v>
      </c>
      <c r="AZ374" s="7" t="s">
        <v>227</v>
      </c>
      <c r="BA374" s="7" t="s">
        <v>227</v>
      </c>
      <c r="BB374" s="7"/>
      <c r="BC374" s="4" t="s">
        <v>227</v>
      </c>
      <c r="BD374" s="8" t="s">
        <v>227</v>
      </c>
      <c r="BE374" s="4" t="s">
        <v>227</v>
      </c>
      <c r="BF374" s="8" t="s">
        <v>227</v>
      </c>
      <c r="BG374" s="7" t="s">
        <v>227</v>
      </c>
      <c r="BH374" s="7" t="s">
        <v>227</v>
      </c>
      <c r="BI374" s="7"/>
      <c r="BJ374" s="4">
        <v>51</v>
      </c>
      <c r="BK374" s="8">
        <v>917.68</v>
      </c>
      <c r="BL374" s="2" t="s">
        <v>2165</v>
      </c>
      <c r="BM374" s="7"/>
      <c r="BN374" s="7"/>
      <c r="BO374" s="4"/>
      <c r="BP374" s="8"/>
      <c r="BQ374" s="4"/>
      <c r="BR374" s="8"/>
      <c r="BS374" s="7"/>
      <c r="BT374" s="7"/>
      <c r="BU374" s="2" t="s">
        <v>2557</v>
      </c>
      <c r="BV374" s="2" t="s">
        <v>227</v>
      </c>
      <c r="BW374" s="2" t="s">
        <v>227</v>
      </c>
      <c r="BX374" s="2" t="s">
        <v>235</v>
      </c>
      <c r="BY374" s="2" t="s">
        <v>236</v>
      </c>
      <c r="BZ374" s="2" t="s">
        <v>224</v>
      </c>
      <c r="CA374" s="2" t="s">
        <v>2501</v>
      </c>
      <c r="CB374" s="2" t="s">
        <v>1876</v>
      </c>
      <c r="CC374" s="2" t="s">
        <v>239</v>
      </c>
      <c r="CD374" s="2" t="s">
        <v>227</v>
      </c>
      <c r="CE374" s="4">
        <v>49</v>
      </c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>
        <v>84</v>
      </c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>
        <v>78</v>
      </c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>
        <v>116</v>
      </c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/>
      <c r="GI374" s="4"/>
      <c r="GJ374" s="4"/>
      <c r="GK374" s="4"/>
      <c r="GL374" s="4"/>
      <c r="GM374" s="4"/>
      <c r="GN374" s="4"/>
      <c r="GO374" s="4"/>
      <c r="GP374" s="4"/>
      <c r="GQ374" s="4"/>
      <c r="GR374" s="4"/>
      <c r="GS374" s="4"/>
      <c r="GT374" s="4"/>
      <c r="GU374" s="4"/>
      <c r="GV374" s="4"/>
      <c r="GW374" s="4"/>
      <c r="GX374" s="4"/>
    </row>
    <row r="375">
      <c r="A375" s="2" t="s">
        <v>2558</v>
      </c>
      <c r="B375" s="2" t="s">
        <v>278</v>
      </c>
      <c r="C375" s="2" t="s">
        <v>1299</v>
      </c>
      <c r="D375" s="2" t="s">
        <v>280</v>
      </c>
      <c r="E375" s="2" t="s">
        <v>281</v>
      </c>
      <c r="F375" s="2" t="s">
        <v>2494</v>
      </c>
      <c r="G375" s="2" t="s">
        <v>2494</v>
      </c>
      <c r="H375" s="2" t="s">
        <v>2494</v>
      </c>
      <c r="I375" s="2" t="s">
        <v>2495</v>
      </c>
      <c r="J375" s="2" t="s">
        <v>252</v>
      </c>
      <c r="K375" s="2" t="s">
        <v>2555</v>
      </c>
      <c r="L375" s="3">
        <v>21.27</v>
      </c>
      <c r="M375" s="3">
        <v>22.33</v>
      </c>
      <c r="N375" s="3">
        <v>47.99</v>
      </c>
      <c r="O375" s="2" t="s">
        <v>224</v>
      </c>
      <c r="P375" s="2" t="s">
        <v>225</v>
      </c>
      <c r="Q375" s="2" t="s">
        <v>226</v>
      </c>
      <c r="R375" s="2" t="s">
        <v>227</v>
      </c>
      <c r="S375" s="2" t="s">
        <v>2556</v>
      </c>
      <c r="T375" s="2" t="s">
        <v>2100</v>
      </c>
      <c r="U375" s="2" t="s">
        <v>287</v>
      </c>
      <c r="V375" s="2" t="s">
        <v>2101</v>
      </c>
      <c r="W375" s="2" t="s">
        <v>231</v>
      </c>
      <c r="X375" s="2" t="s">
        <v>581</v>
      </c>
      <c r="Y375" s="2" t="s">
        <v>2498</v>
      </c>
      <c r="Z375" s="4">
        <v>316</v>
      </c>
      <c r="AA375" s="4">
        <f>=ROUNDDOWN(19.75,0)</f>
      </c>
      <c r="AB375" s="5">
        <v>16</v>
      </c>
      <c r="AC375" s="2" t="s">
        <v>158</v>
      </c>
      <c r="AD375" s="4">
        <v>137</v>
      </c>
      <c r="AE375" s="4">
        <v>331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227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227</v>
      </c>
      <c r="AW375" s="8" t="s">
        <v>227</v>
      </c>
      <c r="AX375" s="4" t="s">
        <v>227</v>
      </c>
      <c r="AY375" s="8" t="s">
        <v>227</v>
      </c>
      <c r="AZ375" s="7" t="s">
        <v>227</v>
      </c>
      <c r="BA375" s="7" t="s">
        <v>227</v>
      </c>
      <c r="BB375" s="7"/>
      <c r="BC375" s="4" t="s">
        <v>227</v>
      </c>
      <c r="BD375" s="8" t="s">
        <v>227</v>
      </c>
      <c r="BE375" s="4" t="s">
        <v>227</v>
      </c>
      <c r="BF375" s="8" t="s">
        <v>227</v>
      </c>
      <c r="BG375" s="7" t="s">
        <v>227</v>
      </c>
      <c r="BH375" s="7" t="s">
        <v>227</v>
      </c>
      <c r="BI375" s="7"/>
      <c r="BJ375" s="4">
        <v>113</v>
      </c>
      <c r="BK375" s="8">
        <v>2890.46</v>
      </c>
      <c r="BL375" s="2" t="s">
        <v>2559</v>
      </c>
      <c r="BM375" s="7"/>
      <c r="BN375" s="7"/>
      <c r="BO375" s="4"/>
      <c r="BP375" s="8"/>
      <c r="BQ375" s="4"/>
      <c r="BR375" s="8"/>
      <c r="BS375" s="7"/>
      <c r="BT375" s="7"/>
      <c r="BU375" s="2" t="s">
        <v>2560</v>
      </c>
      <c r="BV375" s="2" t="s">
        <v>227</v>
      </c>
      <c r="BW375" s="2" t="s">
        <v>227</v>
      </c>
      <c r="BX375" s="2" t="s">
        <v>235</v>
      </c>
      <c r="BY375" s="2" t="s">
        <v>236</v>
      </c>
      <c r="BZ375" s="2" t="s">
        <v>224</v>
      </c>
      <c r="CA375" s="2" t="s">
        <v>2501</v>
      </c>
      <c r="CB375" s="2" t="s">
        <v>2561</v>
      </c>
      <c r="CC375" s="2" t="s">
        <v>239</v>
      </c>
      <c r="CD375" s="2" t="s">
        <v>227</v>
      </c>
      <c r="CE375" s="4">
        <v>316</v>
      </c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>
        <v>137</v>
      </c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>
        <v>194</v>
      </c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4"/>
      <c r="GR375" s="4"/>
      <c r="GS375" s="4"/>
      <c r="GT375" s="4"/>
      <c r="GU375" s="4"/>
      <c r="GV375" s="4"/>
      <c r="GW375" s="4"/>
      <c r="GX375" s="4"/>
    </row>
    <row r="376">
      <c r="A376" s="2" t="s">
        <v>2562</v>
      </c>
      <c r="B376" s="2" t="s">
        <v>278</v>
      </c>
      <c r="C376" s="2" t="s">
        <v>1299</v>
      </c>
      <c r="D376" s="2" t="s">
        <v>280</v>
      </c>
      <c r="E376" s="2" t="s">
        <v>281</v>
      </c>
      <c r="F376" s="2" t="s">
        <v>2494</v>
      </c>
      <c r="G376" s="2" t="s">
        <v>2494</v>
      </c>
      <c r="H376" s="2" t="s">
        <v>2494</v>
      </c>
      <c r="I376" s="2" t="s">
        <v>2495</v>
      </c>
      <c r="J376" s="2" t="s">
        <v>241</v>
      </c>
      <c r="K376" s="2" t="s">
        <v>2563</v>
      </c>
      <c r="L376" s="3">
        <v>15.22</v>
      </c>
      <c r="M376" s="3">
        <v>15.98</v>
      </c>
      <c r="N376" s="3">
        <v>32.99</v>
      </c>
      <c r="O376" s="2" t="s">
        <v>224</v>
      </c>
      <c r="P376" s="2" t="s">
        <v>225</v>
      </c>
      <c r="Q376" s="2" t="s">
        <v>226</v>
      </c>
      <c r="R376" s="2" t="s">
        <v>227</v>
      </c>
      <c r="S376" s="2" t="s">
        <v>2564</v>
      </c>
      <c r="T376" s="2" t="s">
        <v>2100</v>
      </c>
      <c r="U376" s="2" t="s">
        <v>674</v>
      </c>
      <c r="V376" s="2" t="s">
        <v>906</v>
      </c>
      <c r="W376" s="2" t="s">
        <v>231</v>
      </c>
      <c r="X376" s="2" t="s">
        <v>581</v>
      </c>
      <c r="Y376" s="2" t="s">
        <v>1575</v>
      </c>
      <c r="Z376" s="4">
        <v>94</v>
      </c>
      <c r="AA376" s="4">
        <f>=ROUNDDOWN(13.4285714285714,0)</f>
      </c>
      <c r="AB376" s="5">
        <v>7</v>
      </c>
      <c r="AC376" s="2" t="s">
        <v>583</v>
      </c>
      <c r="AD376" s="4">
        <v>61</v>
      </c>
      <c r="AE376" s="4">
        <v>242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227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227</v>
      </c>
      <c r="AW376" s="8" t="s">
        <v>227</v>
      </c>
      <c r="AX376" s="4" t="s">
        <v>227</v>
      </c>
      <c r="AY376" s="8" t="s">
        <v>227</v>
      </c>
      <c r="AZ376" s="7" t="s">
        <v>227</v>
      </c>
      <c r="BA376" s="7" t="s">
        <v>227</v>
      </c>
      <c r="BB376" s="7"/>
      <c r="BC376" s="4" t="s">
        <v>227</v>
      </c>
      <c r="BD376" s="8" t="s">
        <v>227</v>
      </c>
      <c r="BE376" s="4" t="s">
        <v>227</v>
      </c>
      <c r="BF376" s="8" t="s">
        <v>227</v>
      </c>
      <c r="BG376" s="7" t="s">
        <v>227</v>
      </c>
      <c r="BH376" s="7" t="s">
        <v>227</v>
      </c>
      <c r="BI376" s="7"/>
      <c r="BJ376" s="4">
        <v>39</v>
      </c>
      <c r="BK376" s="8">
        <v>688.22</v>
      </c>
      <c r="BL376" s="2" t="s">
        <v>2565</v>
      </c>
      <c r="BM376" s="7"/>
      <c r="BN376" s="7"/>
      <c r="BO376" s="4"/>
      <c r="BP376" s="8"/>
      <c r="BQ376" s="4"/>
      <c r="BR376" s="8"/>
      <c r="BS376" s="7"/>
      <c r="BT376" s="7"/>
      <c r="BU376" s="2" t="s">
        <v>2566</v>
      </c>
      <c r="BV376" s="2" t="s">
        <v>227</v>
      </c>
      <c r="BW376" s="2" t="s">
        <v>227</v>
      </c>
      <c r="BX376" s="2" t="s">
        <v>235</v>
      </c>
      <c r="BY376" s="2" t="s">
        <v>236</v>
      </c>
      <c r="BZ376" s="2" t="s">
        <v>224</v>
      </c>
      <c r="CA376" s="2" t="s">
        <v>1575</v>
      </c>
      <c r="CB376" s="2" t="s">
        <v>2567</v>
      </c>
      <c r="CC376" s="2" t="s">
        <v>239</v>
      </c>
      <c r="CD376" s="2" t="s">
        <v>227</v>
      </c>
      <c r="CE376" s="4">
        <v>94</v>
      </c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>
        <v>61</v>
      </c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>
        <v>71</v>
      </c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>
        <v>110</v>
      </c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</row>
    <row r="377">
      <c r="A377" s="2" t="s">
        <v>2568</v>
      </c>
      <c r="B377" s="2" t="s">
        <v>278</v>
      </c>
      <c r="C377" s="2" t="s">
        <v>1299</v>
      </c>
      <c r="D377" s="2" t="s">
        <v>280</v>
      </c>
      <c r="E377" s="2" t="s">
        <v>281</v>
      </c>
      <c r="F377" s="2" t="s">
        <v>2494</v>
      </c>
      <c r="G377" s="2" t="s">
        <v>2494</v>
      </c>
      <c r="H377" s="2" t="s">
        <v>2494</v>
      </c>
      <c r="I377" s="2" t="s">
        <v>2495</v>
      </c>
      <c r="J377" s="2" t="s">
        <v>252</v>
      </c>
      <c r="K377" s="2" t="s">
        <v>2563</v>
      </c>
      <c r="L377" s="3">
        <v>21.27</v>
      </c>
      <c r="M377" s="3">
        <v>22.33</v>
      </c>
      <c r="N377" s="3">
        <v>47.99</v>
      </c>
      <c r="O377" s="2" t="s">
        <v>224</v>
      </c>
      <c r="P377" s="2" t="s">
        <v>225</v>
      </c>
      <c r="Q377" s="2" t="s">
        <v>226</v>
      </c>
      <c r="R377" s="2" t="s">
        <v>227</v>
      </c>
      <c r="S377" s="2" t="s">
        <v>2564</v>
      </c>
      <c r="T377" s="2" t="s">
        <v>2100</v>
      </c>
      <c r="U377" s="2" t="s">
        <v>287</v>
      </c>
      <c r="V377" s="2" t="s">
        <v>906</v>
      </c>
      <c r="W377" s="2" t="s">
        <v>231</v>
      </c>
      <c r="X377" s="2" t="s">
        <v>581</v>
      </c>
      <c r="Y377" s="2" t="s">
        <v>1575</v>
      </c>
      <c r="Z377" s="4">
        <v>274</v>
      </c>
      <c r="AA377" s="4">
        <f>=ROUNDDOWN(24.9090909090909,0)</f>
      </c>
      <c r="AB377" s="5">
        <v>11</v>
      </c>
      <c r="AC377" s="2" t="s">
        <v>158</v>
      </c>
      <c r="AD377" s="4">
        <v>96</v>
      </c>
      <c r="AE377" s="4">
        <v>232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227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227</v>
      </c>
      <c r="AW377" s="8" t="s">
        <v>227</v>
      </c>
      <c r="AX377" s="4" t="s">
        <v>227</v>
      </c>
      <c r="AY377" s="8" t="s">
        <v>227</v>
      </c>
      <c r="AZ377" s="7" t="s">
        <v>227</v>
      </c>
      <c r="BA377" s="7" t="s">
        <v>227</v>
      </c>
      <c r="BB377" s="7"/>
      <c r="BC377" s="4" t="s">
        <v>227</v>
      </c>
      <c r="BD377" s="8" t="s">
        <v>227</v>
      </c>
      <c r="BE377" s="4" t="s">
        <v>227</v>
      </c>
      <c r="BF377" s="8" t="s">
        <v>227</v>
      </c>
      <c r="BG377" s="7" t="s">
        <v>227</v>
      </c>
      <c r="BH377" s="7" t="s">
        <v>227</v>
      </c>
      <c r="BI377" s="7"/>
      <c r="BJ377" s="4">
        <v>28</v>
      </c>
      <c r="BK377" s="8">
        <v>688.46</v>
      </c>
      <c r="BL377" s="2" t="s">
        <v>2569</v>
      </c>
      <c r="BM377" s="7"/>
      <c r="BN377" s="7"/>
      <c r="BO377" s="4"/>
      <c r="BP377" s="8"/>
      <c r="BQ377" s="4"/>
      <c r="BR377" s="8"/>
      <c r="BS377" s="7"/>
      <c r="BT377" s="7"/>
      <c r="BU377" s="2" t="s">
        <v>2570</v>
      </c>
      <c r="BV377" s="2" t="s">
        <v>227</v>
      </c>
      <c r="BW377" s="2" t="s">
        <v>227</v>
      </c>
      <c r="BX377" s="2" t="s">
        <v>235</v>
      </c>
      <c r="BY377" s="2" t="s">
        <v>236</v>
      </c>
      <c r="BZ377" s="2" t="s">
        <v>224</v>
      </c>
      <c r="CA377" s="2" t="s">
        <v>1575</v>
      </c>
      <c r="CB377" s="2" t="s">
        <v>2571</v>
      </c>
      <c r="CC377" s="2" t="s">
        <v>239</v>
      </c>
      <c r="CD377" s="2" t="s">
        <v>227</v>
      </c>
      <c r="CE377" s="4">
        <v>274</v>
      </c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>
        <v>96</v>
      </c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>
        <v>136</v>
      </c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  <c r="GU377" s="4"/>
      <c r="GV377" s="4"/>
      <c r="GW377" s="4"/>
      <c r="GX377" s="4"/>
    </row>
    <row r="378">
      <c r="A378" s="2" t="s">
        <v>2572</v>
      </c>
      <c r="B378" s="2" t="s">
        <v>278</v>
      </c>
      <c r="C378" s="2" t="s">
        <v>1299</v>
      </c>
      <c r="D378" s="2" t="s">
        <v>280</v>
      </c>
      <c r="E378" s="2" t="s">
        <v>281</v>
      </c>
      <c r="F378" s="2" t="s">
        <v>2494</v>
      </c>
      <c r="G378" s="2" t="s">
        <v>2494</v>
      </c>
      <c r="H378" s="2" t="s">
        <v>2494</v>
      </c>
      <c r="I378" s="2" t="s">
        <v>2495</v>
      </c>
      <c r="J378" s="2" t="s">
        <v>247</v>
      </c>
      <c r="K378" s="2" t="s">
        <v>2573</v>
      </c>
      <c r="L378" s="3">
        <v>19.13</v>
      </c>
      <c r="M378" s="3">
        <v>20.09</v>
      </c>
      <c r="N378" s="3">
        <v>42.99</v>
      </c>
      <c r="O378" s="2" t="s">
        <v>224</v>
      </c>
      <c r="P378" s="2" t="s">
        <v>225</v>
      </c>
      <c r="Q378" s="2" t="s">
        <v>226</v>
      </c>
      <c r="R378" s="2" t="s">
        <v>227</v>
      </c>
      <c r="S378" s="2" t="s">
        <v>2574</v>
      </c>
      <c r="T378" s="2" t="s">
        <v>2100</v>
      </c>
      <c r="U378" s="2" t="s">
        <v>287</v>
      </c>
      <c r="V378" s="2" t="s">
        <v>2101</v>
      </c>
      <c r="W378" s="2" t="s">
        <v>231</v>
      </c>
      <c r="X378" s="2" t="s">
        <v>581</v>
      </c>
      <c r="Y378" s="2" t="s">
        <v>2498</v>
      </c>
      <c r="Z378" s="4">
        <v>352</v>
      </c>
      <c r="AA378" s="4">
        <f>=ROUNDDOWN(22,0)</f>
      </c>
      <c r="AB378" s="5">
        <v>16</v>
      </c>
      <c r="AC378" s="2" t="s">
        <v>158</v>
      </c>
      <c r="AD378" s="4">
        <v>135</v>
      </c>
      <c r="AE378" s="4">
        <v>327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227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 t="s">
        <v>227</v>
      </c>
      <c r="BD378" s="8" t="s">
        <v>227</v>
      </c>
      <c r="BE378" s="4" t="s">
        <v>227</v>
      </c>
      <c r="BF378" s="8" t="s">
        <v>227</v>
      </c>
      <c r="BG378" s="7" t="s">
        <v>227</v>
      </c>
      <c r="BH378" s="7" t="s">
        <v>227</v>
      </c>
      <c r="BI378" s="7"/>
      <c r="BJ378" s="4">
        <v>55</v>
      </c>
      <c r="BK378" s="8">
        <v>1316.92</v>
      </c>
      <c r="BL378" s="2" t="s">
        <v>2575</v>
      </c>
      <c r="BM378" s="7"/>
      <c r="BN378" s="7"/>
      <c r="BO378" s="4"/>
      <c r="BP378" s="8"/>
      <c r="BQ378" s="4"/>
      <c r="BR378" s="8"/>
      <c r="BS378" s="7"/>
      <c r="BT378" s="7"/>
      <c r="BU378" s="2" t="s">
        <v>2576</v>
      </c>
      <c r="BV378" s="2" t="s">
        <v>227</v>
      </c>
      <c r="BW378" s="2" t="s">
        <v>227</v>
      </c>
      <c r="BX378" s="2" t="s">
        <v>235</v>
      </c>
      <c r="BY378" s="2" t="s">
        <v>236</v>
      </c>
      <c r="BZ378" s="2" t="s">
        <v>224</v>
      </c>
      <c r="CA378" s="2" t="s">
        <v>2501</v>
      </c>
      <c r="CB378" s="2" t="s">
        <v>2577</v>
      </c>
      <c r="CC378" s="2" t="s">
        <v>239</v>
      </c>
      <c r="CD378" s="2" t="s">
        <v>227</v>
      </c>
      <c r="CE378" s="4">
        <v>352</v>
      </c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>
        <v>135</v>
      </c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>
        <v>192</v>
      </c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  <c r="GT378" s="4"/>
      <c r="GU378" s="4"/>
      <c r="GV378" s="4"/>
      <c r="GW378" s="4"/>
      <c r="GX378" s="4"/>
    </row>
    <row r="379">
      <c r="A379" s="2" t="s">
        <v>2578</v>
      </c>
      <c r="B379" s="2" t="s">
        <v>278</v>
      </c>
      <c r="C379" s="2" t="s">
        <v>1299</v>
      </c>
      <c r="D379" s="2" t="s">
        <v>280</v>
      </c>
      <c r="E379" s="2" t="s">
        <v>281</v>
      </c>
      <c r="F379" s="2" t="s">
        <v>2494</v>
      </c>
      <c r="G379" s="2" t="s">
        <v>2494</v>
      </c>
      <c r="H379" s="2" t="s">
        <v>2494</v>
      </c>
      <c r="I379" s="2" t="s">
        <v>2495</v>
      </c>
      <c r="J379" s="2" t="s">
        <v>222</v>
      </c>
      <c r="K379" s="2" t="s">
        <v>2579</v>
      </c>
      <c r="L379" s="3">
        <v>14.89</v>
      </c>
      <c r="M379" s="3">
        <v>15.63</v>
      </c>
      <c r="N379" s="3">
        <v>31.99</v>
      </c>
      <c r="O379" s="2" t="s">
        <v>224</v>
      </c>
      <c r="P379" s="2" t="s">
        <v>485</v>
      </c>
      <c r="Q379" s="2" t="s">
        <v>226</v>
      </c>
      <c r="R379" s="2" t="s">
        <v>227</v>
      </c>
      <c r="S379" s="2" t="s">
        <v>2580</v>
      </c>
      <c r="T379" s="2" t="s">
        <v>2100</v>
      </c>
      <c r="U379" s="2" t="s">
        <v>674</v>
      </c>
      <c r="V379" s="2" t="s">
        <v>906</v>
      </c>
      <c r="W379" s="2" t="s">
        <v>231</v>
      </c>
      <c r="X379" s="2" t="s">
        <v>581</v>
      </c>
      <c r="Y379" s="2" t="s">
        <v>1575</v>
      </c>
      <c r="Z379" s="4"/>
      <c r="AA379" s="4">
        <f>=ROUNDDOWN({0},0)</f>
      </c>
      <c r="AB379" s="5">
        <v>39</v>
      </c>
      <c r="AC379" s="2" t="s">
        <v>2460</v>
      </c>
      <c r="AD379" s="4">
        <v>726</v>
      </c>
      <c r="AE379" s="4">
        <v>1484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227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227</v>
      </c>
      <c r="AW379" s="8" t="s">
        <v>227</v>
      </c>
      <c r="AX379" s="4" t="s">
        <v>227</v>
      </c>
      <c r="AY379" s="8" t="s">
        <v>227</v>
      </c>
      <c r="AZ379" s="7" t="s">
        <v>227</v>
      </c>
      <c r="BA379" s="7" t="s">
        <v>227</v>
      </c>
      <c r="BB379" s="7"/>
      <c r="BC379" s="4" t="s">
        <v>227</v>
      </c>
      <c r="BD379" s="8" t="s">
        <v>227</v>
      </c>
      <c r="BE379" s="4" t="s">
        <v>227</v>
      </c>
      <c r="BF379" s="8" t="s">
        <v>227</v>
      </c>
      <c r="BG379" s="7" t="s">
        <v>227</v>
      </c>
      <c r="BH379" s="7" t="s">
        <v>227</v>
      </c>
      <c r="BI379" s="7"/>
      <c r="BJ379" s="4">
        <v>149</v>
      </c>
      <c r="BK379" s="8">
        <v>2581.98</v>
      </c>
      <c r="BL379" s="2" t="s">
        <v>2581</v>
      </c>
      <c r="BM379" s="7"/>
      <c r="BN379" s="7"/>
      <c r="BO379" s="4"/>
      <c r="BP379" s="8"/>
      <c r="BQ379" s="4"/>
      <c r="BR379" s="8"/>
      <c r="BS379" s="7"/>
      <c r="BT379" s="7"/>
      <c r="BU379" s="2" t="s">
        <v>2582</v>
      </c>
      <c r="BV379" s="2" t="s">
        <v>227</v>
      </c>
      <c r="BW379" s="2" t="s">
        <v>227</v>
      </c>
      <c r="BX379" s="2" t="s">
        <v>235</v>
      </c>
      <c r="BY379" s="2" t="s">
        <v>236</v>
      </c>
      <c r="BZ379" s="2" t="s">
        <v>224</v>
      </c>
      <c r="CA379" s="2" t="s">
        <v>1575</v>
      </c>
      <c r="CB379" s="2" t="s">
        <v>2311</v>
      </c>
      <c r="CC379" s="2" t="s">
        <v>239</v>
      </c>
      <c r="CD379" s="2" t="s">
        <v>227</v>
      </c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>
        <v>726</v>
      </c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>
        <v>315</v>
      </c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>
        <v>443</v>
      </c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/>
      <c r="GI379" s="4"/>
      <c r="GJ379" s="4"/>
      <c r="GK379" s="4"/>
      <c r="GL379" s="4"/>
      <c r="GM379" s="4"/>
      <c r="GN379" s="4"/>
      <c r="GO379" s="4"/>
      <c r="GP379" s="4"/>
      <c r="GQ379" s="4"/>
      <c r="GR379" s="4"/>
      <c r="GS379" s="4"/>
      <c r="GT379" s="4"/>
      <c r="GU379" s="4"/>
      <c r="GV379" s="4"/>
      <c r="GW379" s="4"/>
      <c r="GX379" s="4"/>
    </row>
    <row r="380">
      <c r="A380" s="2" t="s">
        <v>2583</v>
      </c>
      <c r="B380" s="2" t="s">
        <v>278</v>
      </c>
      <c r="C380" s="2" t="s">
        <v>1299</v>
      </c>
      <c r="D380" s="2" t="s">
        <v>280</v>
      </c>
      <c r="E380" s="2" t="s">
        <v>281</v>
      </c>
      <c r="F380" s="2" t="s">
        <v>2494</v>
      </c>
      <c r="G380" s="2" t="s">
        <v>2494</v>
      </c>
      <c r="H380" s="2" t="s">
        <v>2494</v>
      </c>
      <c r="I380" s="2" t="s">
        <v>2495</v>
      </c>
      <c r="J380" s="2" t="s">
        <v>247</v>
      </c>
      <c r="K380" s="2" t="s">
        <v>2579</v>
      </c>
      <c r="L380" s="3">
        <v>19.13</v>
      </c>
      <c r="M380" s="3">
        <v>20.09</v>
      </c>
      <c r="N380" s="3">
        <v>42.99</v>
      </c>
      <c r="O380" s="2" t="s">
        <v>224</v>
      </c>
      <c r="P380" s="2" t="s">
        <v>225</v>
      </c>
      <c r="Q380" s="2" t="s">
        <v>226</v>
      </c>
      <c r="R380" s="2" t="s">
        <v>227</v>
      </c>
      <c r="S380" s="2" t="s">
        <v>2580</v>
      </c>
      <c r="T380" s="2" t="s">
        <v>2100</v>
      </c>
      <c r="U380" s="2" t="s">
        <v>287</v>
      </c>
      <c r="V380" s="2" t="s">
        <v>906</v>
      </c>
      <c r="W380" s="2" t="s">
        <v>231</v>
      </c>
      <c r="X380" s="2" t="s">
        <v>581</v>
      </c>
      <c r="Y380" s="2" t="s">
        <v>1575</v>
      </c>
      <c r="Z380" s="4">
        <v>44</v>
      </c>
      <c r="AA380" s="4">
        <f>=ROUNDDOWN(2.2,0)</f>
      </c>
      <c r="AB380" s="5">
        <v>20</v>
      </c>
      <c r="AC380" s="2" t="s">
        <v>2460</v>
      </c>
      <c r="AD380" s="4">
        <v>403</v>
      </c>
      <c r="AE380" s="4">
        <v>805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227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227</v>
      </c>
      <c r="AW380" s="8" t="s">
        <v>227</v>
      </c>
      <c r="AX380" s="4" t="s">
        <v>227</v>
      </c>
      <c r="AY380" s="8" t="s">
        <v>227</v>
      </c>
      <c r="AZ380" s="7" t="s">
        <v>227</v>
      </c>
      <c r="BA380" s="7" t="s">
        <v>227</v>
      </c>
      <c r="BB380" s="7"/>
      <c r="BC380" s="4" t="s">
        <v>227</v>
      </c>
      <c r="BD380" s="8" t="s">
        <v>227</v>
      </c>
      <c r="BE380" s="4" t="s">
        <v>227</v>
      </c>
      <c r="BF380" s="8" t="s">
        <v>227</v>
      </c>
      <c r="BG380" s="7" t="s">
        <v>227</v>
      </c>
      <c r="BH380" s="7" t="s">
        <v>227</v>
      </c>
      <c r="BI380" s="7"/>
      <c r="BJ380" s="4">
        <v>77</v>
      </c>
      <c r="BK380" s="8">
        <v>1698.48</v>
      </c>
      <c r="BL380" s="2" t="s">
        <v>2584</v>
      </c>
      <c r="BM380" s="7"/>
      <c r="BN380" s="7"/>
      <c r="BO380" s="4"/>
      <c r="BP380" s="8"/>
      <c r="BQ380" s="4"/>
      <c r="BR380" s="8"/>
      <c r="BS380" s="7"/>
      <c r="BT380" s="7"/>
      <c r="BU380" s="2" t="s">
        <v>2585</v>
      </c>
      <c r="BV380" s="2" t="s">
        <v>227</v>
      </c>
      <c r="BW380" s="2" t="s">
        <v>227</v>
      </c>
      <c r="BX380" s="2" t="s">
        <v>235</v>
      </c>
      <c r="BY380" s="2" t="s">
        <v>236</v>
      </c>
      <c r="BZ380" s="2" t="s">
        <v>224</v>
      </c>
      <c r="CA380" s="2" t="s">
        <v>1575</v>
      </c>
      <c r="CB380" s="2" t="s">
        <v>2586</v>
      </c>
      <c r="CC380" s="2" t="s">
        <v>239</v>
      </c>
      <c r="CD380" s="2" t="s">
        <v>227</v>
      </c>
      <c r="CE380" s="4">
        <v>44</v>
      </c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>
        <v>403</v>
      </c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>
        <v>169</v>
      </c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>
        <v>233</v>
      </c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/>
      <c r="GI380" s="4"/>
      <c r="GJ380" s="4"/>
      <c r="GK380" s="4"/>
      <c r="GL380" s="4"/>
      <c r="GM380" s="4"/>
      <c r="GN380" s="4"/>
      <c r="GO380" s="4"/>
      <c r="GP380" s="4"/>
      <c r="GQ380" s="4"/>
      <c r="GR380" s="4"/>
      <c r="GS380" s="4"/>
      <c r="GT380" s="4"/>
      <c r="GU380" s="4"/>
      <c r="GV380" s="4"/>
      <c r="GW380" s="4"/>
      <c r="GX380" s="4"/>
    </row>
    <row r="381">
      <c r="A381" s="2" t="s">
        <v>2587</v>
      </c>
      <c r="B381" s="2" t="s">
        <v>573</v>
      </c>
      <c r="C381" s="2" t="s">
        <v>668</v>
      </c>
      <c r="D381" s="2" t="s">
        <v>832</v>
      </c>
      <c r="E381" s="2" t="s">
        <v>833</v>
      </c>
      <c r="F381" s="2" t="s">
        <v>2588</v>
      </c>
      <c r="G381" s="2" t="s">
        <v>2588</v>
      </c>
      <c r="H381" s="2" t="s">
        <v>2588</v>
      </c>
      <c r="I381" s="2" t="s">
        <v>1415</v>
      </c>
      <c r="J381" s="2" t="s">
        <v>548</v>
      </c>
      <c r="K381" s="2" t="s">
        <v>223</v>
      </c>
      <c r="L381" s="3">
        <v>261</v>
      </c>
      <c r="M381" s="3">
        <v>274.05</v>
      </c>
      <c r="N381" s="3">
        <v>549</v>
      </c>
      <c r="O381" s="2" t="s">
        <v>224</v>
      </c>
      <c r="P381" s="2" t="s">
        <v>580</v>
      </c>
      <c r="Q381" s="2" t="s">
        <v>226</v>
      </c>
      <c r="R381" s="2" t="s">
        <v>227</v>
      </c>
      <c r="S381" s="2" t="s">
        <v>2589</v>
      </c>
      <c r="T381" s="2" t="s">
        <v>227</v>
      </c>
      <c r="U381" s="2" t="s">
        <v>227</v>
      </c>
      <c r="V381" s="2" t="s">
        <v>230</v>
      </c>
      <c r="W381" s="2" t="s">
        <v>676</v>
      </c>
      <c r="X381" s="2" t="s">
        <v>227</v>
      </c>
      <c r="Y381" s="2" t="s">
        <v>2590</v>
      </c>
      <c r="Z381" s="4">
        <v>108</v>
      </c>
      <c r="AA381" s="4">
        <f>=ROUNDDOWN(54,0)</f>
      </c>
      <c r="AB381" s="5">
        <v>2</v>
      </c>
      <c r="AC381" s="2" t="s">
        <v>227</v>
      </c>
      <c r="AD381" s="4"/>
      <c r="AE381" s="4"/>
      <c r="AF381" s="6">
        <v>66</v>
      </c>
      <c r="AG381" s="6"/>
      <c r="AH381" s="7">
        <v>1</v>
      </c>
      <c r="AI381" s="4"/>
      <c r="AJ381" s="4">
        <f>=ROUNDDOWN({0},0)</f>
      </c>
      <c r="AK381" s="5"/>
      <c r="AL381" s="2" t="s">
        <v>227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>
        <v>1</v>
      </c>
      <c r="BK381" s="8">
        <v>210.71</v>
      </c>
      <c r="BL381" s="2" t="s">
        <v>2591</v>
      </c>
      <c r="BM381" s="7"/>
      <c r="BN381" s="7"/>
      <c r="BO381" s="4"/>
      <c r="BP381" s="8"/>
      <c r="BQ381" s="4"/>
      <c r="BR381" s="8"/>
      <c r="BS381" s="7"/>
      <c r="BT381" s="7"/>
      <c r="BU381" s="2" t="s">
        <v>2592</v>
      </c>
      <c r="BV381" s="2" t="s">
        <v>227</v>
      </c>
      <c r="BW381" s="2" t="s">
        <v>227</v>
      </c>
      <c r="BX381" s="2" t="s">
        <v>235</v>
      </c>
      <c r="BY381" s="2" t="s">
        <v>236</v>
      </c>
      <c r="BZ381" s="2" t="s">
        <v>224</v>
      </c>
      <c r="CA381" s="2" t="s">
        <v>1402</v>
      </c>
      <c r="CB381" s="2" t="s">
        <v>331</v>
      </c>
      <c r="CC381" s="2" t="s">
        <v>239</v>
      </c>
      <c r="CD381" s="2" t="s">
        <v>227</v>
      </c>
      <c r="CE381" s="4"/>
      <c r="CF381" s="4">
        <v>108</v>
      </c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/>
    </row>
    <row r="382">
      <c r="A382" s="2" t="s">
        <v>2593</v>
      </c>
      <c r="B382" s="2" t="s">
        <v>1001</v>
      </c>
      <c r="C382" s="2" t="s">
        <v>668</v>
      </c>
      <c r="D382" s="2" t="s">
        <v>2594</v>
      </c>
      <c r="E382" s="2" t="s">
        <v>2595</v>
      </c>
      <c r="F382" s="2" t="s">
        <v>2596</v>
      </c>
      <c r="G382" s="2" t="s">
        <v>2596</v>
      </c>
      <c r="H382" s="2" t="s">
        <v>2596</v>
      </c>
      <c r="I382" s="2" t="s">
        <v>2597</v>
      </c>
      <c r="J382" s="2" t="s">
        <v>548</v>
      </c>
      <c r="K382" s="2" t="s">
        <v>565</v>
      </c>
      <c r="L382" s="3">
        <v>128.6</v>
      </c>
      <c r="M382" s="3">
        <v>135.03</v>
      </c>
      <c r="N382" s="3">
        <v>319.99</v>
      </c>
      <c r="O382" s="2" t="s">
        <v>224</v>
      </c>
      <c r="P382" s="2" t="s">
        <v>580</v>
      </c>
      <c r="Q382" s="2" t="s">
        <v>226</v>
      </c>
      <c r="R382" s="2" t="s">
        <v>227</v>
      </c>
      <c r="S382" s="2" t="s">
        <v>2598</v>
      </c>
      <c r="T382" s="2" t="s">
        <v>227</v>
      </c>
      <c r="U382" s="2" t="s">
        <v>227</v>
      </c>
      <c r="V382" s="2" t="s">
        <v>945</v>
      </c>
      <c r="W382" s="2" t="s">
        <v>836</v>
      </c>
      <c r="X382" s="2" t="s">
        <v>227</v>
      </c>
      <c r="Y382" s="2" t="s">
        <v>232</v>
      </c>
      <c r="Z382" s="4">
        <v>144</v>
      </c>
      <c r="AA382" s="4">
        <f>=ROUNDDOWN(130.909090909091,0)</f>
      </c>
      <c r="AB382" s="5">
        <v>1.1</v>
      </c>
      <c r="AC382" s="2" t="s">
        <v>227</v>
      </c>
      <c r="AD382" s="4"/>
      <c r="AE382" s="4"/>
      <c r="AF382" s="6">
        <v>63</v>
      </c>
      <c r="AG382" s="6"/>
      <c r="AH382" s="7">
        <v>1</v>
      </c>
      <c r="AI382" s="4"/>
      <c r="AJ382" s="4">
        <f>=ROUNDDOWN({0},0)</f>
      </c>
      <c r="AK382" s="5"/>
      <c r="AL382" s="2" t="s">
        <v>227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2599</v>
      </c>
      <c r="BM382" s="7"/>
      <c r="BN382" s="7"/>
      <c r="BO382" s="4"/>
      <c r="BP382" s="8"/>
      <c r="BQ382" s="4"/>
      <c r="BR382" s="8"/>
      <c r="BS382" s="7"/>
      <c r="BT382" s="7"/>
      <c r="BU382" s="2" t="s">
        <v>2600</v>
      </c>
      <c r="BV382" s="2" t="s">
        <v>227</v>
      </c>
      <c r="BW382" s="2" t="s">
        <v>227</v>
      </c>
      <c r="BX382" s="2" t="s">
        <v>235</v>
      </c>
      <c r="BY382" s="2" t="s">
        <v>236</v>
      </c>
      <c r="BZ382" s="2" t="s">
        <v>224</v>
      </c>
      <c r="CA382" s="2" t="s">
        <v>1088</v>
      </c>
      <c r="CB382" s="2" t="s">
        <v>2601</v>
      </c>
      <c r="CC382" s="2" t="s">
        <v>239</v>
      </c>
      <c r="CD382" s="2" t="s">
        <v>227</v>
      </c>
      <c r="CE382" s="4"/>
      <c r="CF382" s="4">
        <v>144</v>
      </c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  <c r="GT382" s="4"/>
      <c r="GU382" s="4"/>
      <c r="GV382" s="4"/>
      <c r="GW382" s="4"/>
      <c r="GX382" s="4"/>
    </row>
    <row r="383">
      <c r="A383" s="2" t="s">
        <v>2602</v>
      </c>
      <c r="B383" s="2" t="s">
        <v>667</v>
      </c>
      <c r="C383" s="2" t="s">
        <v>360</v>
      </c>
      <c r="D383" s="2" t="s">
        <v>620</v>
      </c>
      <c r="E383" s="2" t="s">
        <v>621</v>
      </c>
      <c r="F383" s="2" t="s">
        <v>2603</v>
      </c>
      <c r="G383" s="2" t="s">
        <v>2604</v>
      </c>
      <c r="H383" s="2" t="s">
        <v>2605</v>
      </c>
      <c r="I383" s="2" t="s">
        <v>2606</v>
      </c>
      <c r="J383" s="2" t="s">
        <v>384</v>
      </c>
      <c r="K383" s="2" t="s">
        <v>672</v>
      </c>
      <c r="L383" s="3">
        <v>81.59</v>
      </c>
      <c r="M383" s="3">
        <v>85.67</v>
      </c>
      <c r="N383" s="3">
        <v>159.99</v>
      </c>
      <c r="O383" s="2" t="s">
        <v>224</v>
      </c>
      <c r="P383" s="2" t="s">
        <v>225</v>
      </c>
      <c r="Q383" s="2" t="s">
        <v>226</v>
      </c>
      <c r="R383" s="2" t="s">
        <v>227</v>
      </c>
      <c r="S383" s="2" t="s">
        <v>2607</v>
      </c>
      <c r="T383" s="2" t="s">
        <v>227</v>
      </c>
      <c r="U383" s="2" t="s">
        <v>2608</v>
      </c>
      <c r="V383" s="2" t="s">
        <v>724</v>
      </c>
      <c r="W383" s="2" t="s">
        <v>706</v>
      </c>
      <c r="X383" s="2" t="s">
        <v>2609</v>
      </c>
      <c r="Y383" s="2" t="s">
        <v>232</v>
      </c>
      <c r="Z383" s="4">
        <v>126</v>
      </c>
      <c r="AA383" s="4">
        <f>=ROUNDDOWN(63,0)</f>
      </c>
      <c r="AB383" s="5">
        <v>2</v>
      </c>
      <c r="AC383" s="2" t="s">
        <v>149</v>
      </c>
      <c r="AD383" s="4">
        <v>30</v>
      </c>
      <c r="AE383" s="4">
        <v>30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227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/>
      <c r="BD383" s="8"/>
      <c r="BE383" s="4"/>
      <c r="BF383" s="8"/>
      <c r="BG383" s="7"/>
      <c r="BH383" s="7"/>
      <c r="BI383" s="7"/>
      <c r="BJ383" s="4">
        <v>5</v>
      </c>
      <c r="BK383" s="8">
        <v>448.47</v>
      </c>
      <c r="BL383" s="2" t="s">
        <v>312</v>
      </c>
      <c r="BM383" s="7"/>
      <c r="BN383" s="7"/>
      <c r="BO383" s="4"/>
      <c r="BP383" s="8"/>
      <c r="BQ383" s="4"/>
      <c r="BR383" s="8"/>
      <c r="BS383" s="7"/>
      <c r="BT383" s="7"/>
      <c r="BU383" s="2" t="s">
        <v>2610</v>
      </c>
      <c r="BV383" s="2" t="s">
        <v>227</v>
      </c>
      <c r="BW383" s="2" t="s">
        <v>227</v>
      </c>
      <c r="BX383" s="2" t="s">
        <v>235</v>
      </c>
      <c r="BY383" s="2" t="s">
        <v>236</v>
      </c>
      <c r="BZ383" s="2" t="s">
        <v>224</v>
      </c>
      <c r="CA383" s="2" t="s">
        <v>237</v>
      </c>
      <c r="CB383" s="2" t="s">
        <v>981</v>
      </c>
      <c r="CC383" s="2" t="s">
        <v>239</v>
      </c>
      <c r="CD383" s="2" t="s">
        <v>227</v>
      </c>
      <c r="CE383" s="4">
        <v>126</v>
      </c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>
        <v>30</v>
      </c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4"/>
      <c r="GR383" s="4"/>
      <c r="GS383" s="4"/>
      <c r="GT383" s="4"/>
      <c r="GU383" s="4"/>
      <c r="GV383" s="4"/>
      <c r="GW383" s="4"/>
      <c r="GX383" s="4"/>
    </row>
    <row r="384">
      <c r="A384" s="2" t="s">
        <v>2611</v>
      </c>
      <c r="B384" s="2" t="s">
        <v>573</v>
      </c>
      <c r="C384" s="2" t="s">
        <v>360</v>
      </c>
      <c r="D384" s="2" t="s">
        <v>574</v>
      </c>
      <c r="E384" s="2" t="s">
        <v>575</v>
      </c>
      <c r="F384" s="2" t="s">
        <v>2612</v>
      </c>
      <c r="G384" s="2" t="s">
        <v>2613</v>
      </c>
      <c r="H384" s="2" t="s">
        <v>2614</v>
      </c>
      <c r="I384" s="2" t="s">
        <v>2615</v>
      </c>
      <c r="J384" s="2" t="s">
        <v>548</v>
      </c>
      <c r="K384" s="2" t="s">
        <v>223</v>
      </c>
      <c r="L384" s="3">
        <v>190.4</v>
      </c>
      <c r="M384" s="3">
        <v>199.92</v>
      </c>
      <c r="N384" s="3">
        <v>399</v>
      </c>
      <c r="O384" s="2" t="s">
        <v>224</v>
      </c>
      <c r="P384" s="2" t="s">
        <v>225</v>
      </c>
      <c r="Q384" s="2" t="s">
        <v>226</v>
      </c>
      <c r="R384" s="2" t="s">
        <v>227</v>
      </c>
      <c r="S384" s="2" t="s">
        <v>2616</v>
      </c>
      <c r="T384" s="2" t="s">
        <v>227</v>
      </c>
      <c r="U384" s="2" t="s">
        <v>227</v>
      </c>
      <c r="V384" s="2" t="s">
        <v>230</v>
      </c>
      <c r="W384" s="2" t="s">
        <v>581</v>
      </c>
      <c r="X384" s="2" t="s">
        <v>227</v>
      </c>
      <c r="Y384" s="2" t="s">
        <v>1668</v>
      </c>
      <c r="Z384" s="4">
        <v>221</v>
      </c>
      <c r="AA384" s="4">
        <f>=ROUNDDOWN(36.8333333333333,0)</f>
      </c>
      <c r="AB384" s="5">
        <v>6</v>
      </c>
      <c r="AC384" s="2" t="s">
        <v>206</v>
      </c>
      <c r="AD384" s="4">
        <v>126</v>
      </c>
      <c r="AE384" s="4">
        <v>126</v>
      </c>
      <c r="AF384" s="6">
        <v>74</v>
      </c>
      <c r="AG384" s="6"/>
      <c r="AH384" s="7">
        <v>1</v>
      </c>
      <c r="AI384" s="4"/>
      <c r="AJ384" s="4">
        <f>=ROUNDDOWN({0},0)</f>
      </c>
      <c r="AK384" s="5"/>
      <c r="AL384" s="2" t="s">
        <v>227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/>
      <c r="BD384" s="8"/>
      <c r="BE384" s="4"/>
      <c r="BF384" s="8"/>
      <c r="BG384" s="7"/>
      <c r="BH384" s="7"/>
      <c r="BI384" s="7"/>
      <c r="BJ384" s="4">
        <v>30</v>
      </c>
      <c r="BK384" s="8">
        <v>5780.56</v>
      </c>
      <c r="BL384" s="2" t="s">
        <v>2617</v>
      </c>
      <c r="BM384" s="7"/>
      <c r="BN384" s="7"/>
      <c r="BO384" s="4"/>
      <c r="BP384" s="8"/>
      <c r="BQ384" s="4"/>
      <c r="BR384" s="8"/>
      <c r="BS384" s="7"/>
      <c r="BT384" s="7"/>
      <c r="BU384" s="2" t="s">
        <v>2618</v>
      </c>
      <c r="BV384" s="2" t="s">
        <v>227</v>
      </c>
      <c r="BW384" s="2" t="s">
        <v>227</v>
      </c>
      <c r="BX384" s="2" t="s">
        <v>235</v>
      </c>
      <c r="BY384" s="2" t="s">
        <v>236</v>
      </c>
      <c r="BZ384" s="2" t="s">
        <v>224</v>
      </c>
      <c r="CA384" s="2" t="s">
        <v>1671</v>
      </c>
      <c r="CB384" s="2" t="s">
        <v>2619</v>
      </c>
      <c r="CC384" s="2" t="s">
        <v>239</v>
      </c>
      <c r="CD384" s="2" t="s">
        <v>227</v>
      </c>
      <c r="CE384" s="4"/>
      <c r="CF384" s="4">
        <v>221</v>
      </c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/>
      <c r="GI384" s="4"/>
      <c r="GJ384" s="4"/>
      <c r="GK384" s="4"/>
      <c r="GL384" s="4"/>
      <c r="GM384" s="4"/>
      <c r="GN384" s="4"/>
      <c r="GO384" s="4"/>
      <c r="GP384" s="4">
        <v>126</v>
      </c>
      <c r="GQ384" s="4"/>
      <c r="GR384" s="4"/>
      <c r="GS384" s="4"/>
      <c r="GT384" s="4"/>
      <c r="GU384" s="4"/>
      <c r="GV384" s="4"/>
      <c r="GW384" s="4"/>
      <c r="GX384" s="4"/>
    </row>
    <row r="385">
      <c r="A385" s="2" t="s">
        <v>2620</v>
      </c>
      <c r="B385" s="2" t="s">
        <v>573</v>
      </c>
      <c r="C385" s="2" t="s">
        <v>543</v>
      </c>
      <c r="D385" s="2" t="s">
        <v>832</v>
      </c>
      <c r="E385" s="2" t="s">
        <v>833</v>
      </c>
      <c r="F385" s="2" t="s">
        <v>2621</v>
      </c>
      <c r="G385" s="2" t="s">
        <v>2621</v>
      </c>
      <c r="H385" s="2" t="s">
        <v>2621</v>
      </c>
      <c r="I385" s="2" t="s">
        <v>1415</v>
      </c>
      <c r="J385" s="2" t="s">
        <v>548</v>
      </c>
      <c r="K385" s="2" t="s">
        <v>1242</v>
      </c>
      <c r="L385" s="3">
        <v>286.69</v>
      </c>
      <c r="M385" s="3">
        <v>301.02</v>
      </c>
      <c r="N385" s="3">
        <v>599</v>
      </c>
      <c r="O385" s="2" t="s">
        <v>224</v>
      </c>
      <c r="P385" s="2" t="s">
        <v>225</v>
      </c>
      <c r="Q385" s="2" t="s">
        <v>226</v>
      </c>
      <c r="R385" s="2" t="s">
        <v>227</v>
      </c>
      <c r="S385" s="2" t="s">
        <v>227</v>
      </c>
      <c r="T385" s="2" t="s">
        <v>227</v>
      </c>
      <c r="U385" s="2" t="s">
        <v>552</v>
      </c>
      <c r="V385" s="2" t="s">
        <v>877</v>
      </c>
      <c r="W385" s="2" t="s">
        <v>581</v>
      </c>
      <c r="X385" s="2" t="s">
        <v>554</v>
      </c>
      <c r="Y385" s="2" t="s">
        <v>2622</v>
      </c>
      <c r="Z385" s="4">
        <v>76</v>
      </c>
      <c r="AA385" s="4">
        <f>=ROUNDDOWN(6.33333333333333,0)</f>
      </c>
      <c r="AB385" s="5">
        <v>12</v>
      </c>
      <c r="AC385" s="2" t="s">
        <v>158</v>
      </c>
      <c r="AD385" s="4">
        <v>165</v>
      </c>
      <c r="AE385" s="4">
        <v>183</v>
      </c>
      <c r="AF385" s="6">
        <v>66</v>
      </c>
      <c r="AG385" s="6">
        <v>49</v>
      </c>
      <c r="AH385" s="7">
        <v>1</v>
      </c>
      <c r="AI385" s="4"/>
      <c r="AJ385" s="4">
        <f>=ROUNDDOWN({0},0)</f>
      </c>
      <c r="AK385" s="5"/>
      <c r="AL385" s="2" t="s">
        <v>227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/>
      <c r="BD385" s="8"/>
      <c r="BE385" s="4"/>
      <c r="BF385" s="8"/>
      <c r="BG385" s="7"/>
      <c r="BH385" s="7"/>
      <c r="BI385" s="7"/>
      <c r="BJ385" s="4">
        <v>57</v>
      </c>
      <c r="BK385" s="8">
        <v>15116.37</v>
      </c>
      <c r="BL385" s="2" t="s">
        <v>2623</v>
      </c>
      <c r="BM385" s="7"/>
      <c r="BN385" s="7"/>
      <c r="BO385" s="4"/>
      <c r="BP385" s="8"/>
      <c r="BQ385" s="4"/>
      <c r="BR385" s="8"/>
      <c r="BS385" s="7"/>
      <c r="BT385" s="7"/>
      <c r="BU385" s="2" t="s">
        <v>2624</v>
      </c>
      <c r="BV385" s="2" t="s">
        <v>227</v>
      </c>
      <c r="BW385" s="2" t="s">
        <v>227</v>
      </c>
      <c r="BX385" s="2" t="s">
        <v>235</v>
      </c>
      <c r="BY385" s="2" t="s">
        <v>236</v>
      </c>
      <c r="BZ385" s="2" t="s">
        <v>224</v>
      </c>
      <c r="CA385" s="2" t="s">
        <v>2625</v>
      </c>
      <c r="CB385" s="2" t="s">
        <v>1187</v>
      </c>
      <c r="CC385" s="2" t="s">
        <v>239</v>
      </c>
      <c r="CD385" s="2" t="s">
        <v>227</v>
      </c>
      <c r="CE385" s="4"/>
      <c r="CF385" s="4">
        <v>76</v>
      </c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>
        <v>165</v>
      </c>
      <c r="EU385" s="4"/>
      <c r="EV385" s="4"/>
      <c r="EW385" s="4"/>
      <c r="EX385" s="4">
        <v>18</v>
      </c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  <c r="GT385" s="4"/>
      <c r="GU385" s="4"/>
      <c r="GV385" s="4"/>
      <c r="GW385" s="4"/>
      <c r="GX385" s="4"/>
    </row>
    <row r="386">
      <c r="A386" s="2" t="s">
        <v>2626</v>
      </c>
      <c r="B386" s="2" t="s">
        <v>542</v>
      </c>
      <c r="C386" s="2" t="s">
        <v>668</v>
      </c>
      <c r="D386" s="2" t="s">
        <v>1052</v>
      </c>
      <c r="E386" s="2" t="s">
        <v>545</v>
      </c>
      <c r="F386" s="2" t="s">
        <v>2627</v>
      </c>
      <c r="G386" s="2" t="s">
        <v>2627</v>
      </c>
      <c r="H386" s="2" t="s">
        <v>2627</v>
      </c>
      <c r="I386" s="2" t="s">
        <v>2628</v>
      </c>
      <c r="J386" s="2" t="s">
        <v>548</v>
      </c>
      <c r="K386" s="2" t="s">
        <v>223</v>
      </c>
      <c r="L386" s="3">
        <v>45.71</v>
      </c>
      <c r="M386" s="3">
        <v>48</v>
      </c>
      <c r="N386" s="3">
        <v>99.99</v>
      </c>
      <c r="O386" s="2" t="s">
        <v>224</v>
      </c>
      <c r="P386" s="2" t="s">
        <v>580</v>
      </c>
      <c r="Q386" s="2" t="s">
        <v>226</v>
      </c>
      <c r="R386" s="2" t="s">
        <v>227</v>
      </c>
      <c r="S386" s="2" t="s">
        <v>227</v>
      </c>
      <c r="T386" s="2" t="s">
        <v>227</v>
      </c>
      <c r="U386" s="2" t="s">
        <v>552</v>
      </c>
      <c r="V386" s="2" t="s">
        <v>566</v>
      </c>
      <c r="W386" s="2" t="s">
        <v>705</v>
      </c>
      <c r="X386" s="2" t="s">
        <v>1008</v>
      </c>
      <c r="Y386" s="2" t="s">
        <v>1161</v>
      </c>
      <c r="Z386" s="4">
        <v>54</v>
      </c>
      <c r="AA386" s="4">
        <f>=ROUNDDOWN(54,0)</f>
      </c>
      <c r="AB386" s="5">
        <v>1</v>
      </c>
      <c r="AC386" s="2" t="s">
        <v>227</v>
      </c>
      <c r="AD386" s="4"/>
      <c r="AE386" s="4"/>
      <c r="AF386" s="6">
        <v>63</v>
      </c>
      <c r="AG386" s="6"/>
      <c r="AH386" s="7">
        <v>1</v>
      </c>
      <c r="AI386" s="4"/>
      <c r="AJ386" s="4">
        <f>=ROUNDDOWN({0},0)</f>
      </c>
      <c r="AK386" s="5"/>
      <c r="AL386" s="2" t="s">
        <v>227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/>
      <c r="BD386" s="8"/>
      <c r="BE386" s="4"/>
      <c r="BF386" s="8"/>
      <c r="BG386" s="7"/>
      <c r="BH386" s="7"/>
      <c r="BI386" s="7"/>
      <c r="BJ386" s="4">
        <v>3</v>
      </c>
      <c r="BK386" s="8">
        <v>169.59</v>
      </c>
      <c r="BL386" s="2" t="s">
        <v>1155</v>
      </c>
      <c r="BM386" s="7"/>
      <c r="BN386" s="7"/>
      <c r="BO386" s="4"/>
      <c r="BP386" s="8"/>
      <c r="BQ386" s="4"/>
      <c r="BR386" s="8"/>
      <c r="BS386" s="7"/>
      <c r="BT386" s="7"/>
      <c r="BU386" s="2" t="s">
        <v>2629</v>
      </c>
      <c r="BV386" s="2" t="s">
        <v>227</v>
      </c>
      <c r="BW386" s="2" t="s">
        <v>227</v>
      </c>
      <c r="BX386" s="2" t="s">
        <v>235</v>
      </c>
      <c r="BY386" s="2" t="s">
        <v>236</v>
      </c>
      <c r="BZ386" s="2" t="s">
        <v>224</v>
      </c>
      <c r="CA386" s="2" t="s">
        <v>1157</v>
      </c>
      <c r="CB386" s="2" t="s">
        <v>1609</v>
      </c>
      <c r="CC386" s="2" t="s">
        <v>239</v>
      </c>
      <c r="CD386" s="2" t="s">
        <v>227</v>
      </c>
      <c r="CE386" s="4"/>
      <c r="CF386" s="4">
        <v>54</v>
      </c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/>
      <c r="GI386" s="4"/>
      <c r="GJ386" s="4"/>
      <c r="GK386" s="4"/>
      <c r="GL386" s="4"/>
      <c r="GM386" s="4"/>
      <c r="GN386" s="4"/>
      <c r="GO386" s="4"/>
      <c r="GP386" s="4"/>
      <c r="GQ386" s="4"/>
      <c r="GR386" s="4"/>
      <c r="GS386" s="4"/>
      <c r="GT386" s="4"/>
      <c r="GU386" s="4"/>
      <c r="GV386" s="4"/>
      <c r="GW386" s="4"/>
      <c r="GX386" s="4"/>
    </row>
    <row r="387">
      <c r="A387" s="2" t="s">
        <v>2630</v>
      </c>
      <c r="B387" s="2" t="s">
        <v>573</v>
      </c>
      <c r="C387" s="2" t="s">
        <v>360</v>
      </c>
      <c r="D387" s="2" t="s">
        <v>832</v>
      </c>
      <c r="E387" s="2" t="s">
        <v>833</v>
      </c>
      <c r="F387" s="2" t="s">
        <v>2631</v>
      </c>
      <c r="G387" s="2" t="s">
        <v>2632</v>
      </c>
      <c r="H387" s="2" t="s">
        <v>2633</v>
      </c>
      <c r="I387" s="2" t="s">
        <v>2634</v>
      </c>
      <c r="J387" s="2" t="s">
        <v>548</v>
      </c>
      <c r="K387" s="2" t="s">
        <v>549</v>
      </c>
      <c r="L387" s="3">
        <v>202.5</v>
      </c>
      <c r="M387" s="3">
        <v>212.62</v>
      </c>
      <c r="N387" s="3">
        <v>429</v>
      </c>
      <c r="O387" s="2" t="s">
        <v>224</v>
      </c>
      <c r="P387" s="2" t="s">
        <v>580</v>
      </c>
      <c r="Q387" s="2" t="s">
        <v>226</v>
      </c>
      <c r="R387" s="2" t="s">
        <v>227</v>
      </c>
      <c r="S387" s="2" t="s">
        <v>2635</v>
      </c>
      <c r="T387" s="2" t="s">
        <v>227</v>
      </c>
      <c r="U387" s="2" t="s">
        <v>227</v>
      </c>
      <c r="V387" s="2" t="s">
        <v>906</v>
      </c>
      <c r="W387" s="2" t="s">
        <v>836</v>
      </c>
      <c r="X387" s="2" t="s">
        <v>227</v>
      </c>
      <c r="Y387" s="2" t="s">
        <v>232</v>
      </c>
      <c r="Z387" s="4">
        <v>92</v>
      </c>
      <c r="AA387" s="4">
        <f>=ROUNDDOWN(23,0)</f>
      </c>
      <c r="AB387" s="5">
        <v>4</v>
      </c>
      <c r="AC387" s="2" t="s">
        <v>182</v>
      </c>
      <c r="AD387" s="4">
        <v>63</v>
      </c>
      <c r="AE387" s="4">
        <v>63</v>
      </c>
      <c r="AF387" s="6">
        <v>66</v>
      </c>
      <c r="AG387" s="6">
        <v>49</v>
      </c>
      <c r="AH387" s="7">
        <v>1</v>
      </c>
      <c r="AI387" s="4"/>
      <c r="AJ387" s="4">
        <f>=ROUNDDOWN({0},0)</f>
      </c>
      <c r="AK387" s="5"/>
      <c r="AL387" s="2" t="s">
        <v>227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/>
      <c r="BD387" s="8"/>
      <c r="BE387" s="4"/>
      <c r="BF387" s="8"/>
      <c r="BG387" s="7"/>
      <c r="BH387" s="7"/>
      <c r="BI387" s="7"/>
      <c r="BJ387" s="4">
        <v>10</v>
      </c>
      <c r="BK387" s="8">
        <v>1738.36</v>
      </c>
      <c r="BL387" s="2" t="s">
        <v>2636</v>
      </c>
      <c r="BM387" s="7"/>
      <c r="BN387" s="7"/>
      <c r="BO387" s="4"/>
      <c r="BP387" s="8"/>
      <c r="BQ387" s="4"/>
      <c r="BR387" s="8"/>
      <c r="BS387" s="7"/>
      <c r="BT387" s="7"/>
      <c r="BU387" s="2" t="s">
        <v>2637</v>
      </c>
      <c r="BV387" s="2" t="s">
        <v>227</v>
      </c>
      <c r="BW387" s="2" t="s">
        <v>227</v>
      </c>
      <c r="BX387" s="2" t="s">
        <v>235</v>
      </c>
      <c r="BY387" s="2" t="s">
        <v>236</v>
      </c>
      <c r="BZ387" s="2" t="s">
        <v>224</v>
      </c>
      <c r="CA387" s="2" t="s">
        <v>237</v>
      </c>
      <c r="CB387" s="2" t="s">
        <v>2638</v>
      </c>
      <c r="CC387" s="2" t="s">
        <v>239</v>
      </c>
      <c r="CD387" s="2" t="s">
        <v>227</v>
      </c>
      <c r="CE387" s="4"/>
      <c r="CF387" s="4">
        <v>90</v>
      </c>
      <c r="CG387" s="4"/>
      <c r="CH387" s="4">
        <v>2</v>
      </c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>
        <v>63</v>
      </c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/>
      <c r="GI387" s="4"/>
      <c r="GJ387" s="4"/>
      <c r="GK387" s="4"/>
      <c r="GL387" s="4"/>
      <c r="GM387" s="4"/>
      <c r="GN387" s="4"/>
      <c r="GO387" s="4"/>
      <c r="GP387" s="4"/>
      <c r="GQ387" s="4"/>
      <c r="GR387" s="4"/>
      <c r="GS387" s="4"/>
      <c r="GT387" s="4"/>
      <c r="GU387" s="4"/>
      <c r="GV387" s="4"/>
      <c r="GW387" s="4"/>
      <c r="GX387" s="4"/>
    </row>
    <row r="388">
      <c r="A388" s="2" t="s">
        <v>2639</v>
      </c>
      <c r="B388" s="2" t="s">
        <v>573</v>
      </c>
      <c r="C388" s="2" t="s">
        <v>360</v>
      </c>
      <c r="D388" s="2" t="s">
        <v>1515</v>
      </c>
      <c r="E388" s="2" t="s">
        <v>1516</v>
      </c>
      <c r="F388" s="2" t="s">
        <v>2640</v>
      </c>
      <c r="G388" s="2" t="s">
        <v>2641</v>
      </c>
      <c r="H388" s="2" t="s">
        <v>2642</v>
      </c>
      <c r="I388" s="2" t="s">
        <v>2643</v>
      </c>
      <c r="J388" s="2" t="s">
        <v>548</v>
      </c>
      <c r="K388" s="2" t="s">
        <v>2644</v>
      </c>
      <c r="L388" s="3">
        <v>144</v>
      </c>
      <c r="M388" s="3">
        <v>151.2</v>
      </c>
      <c r="N388" s="3">
        <v>299</v>
      </c>
      <c r="O388" s="2" t="s">
        <v>224</v>
      </c>
      <c r="P388" s="2" t="s">
        <v>530</v>
      </c>
      <c r="Q388" s="2" t="s">
        <v>226</v>
      </c>
      <c r="R388" s="2" t="s">
        <v>227</v>
      </c>
      <c r="S388" s="2" t="s">
        <v>227</v>
      </c>
      <c r="T388" s="2" t="s">
        <v>227</v>
      </c>
      <c r="U388" s="2" t="s">
        <v>552</v>
      </c>
      <c r="V388" s="2" t="s">
        <v>566</v>
      </c>
      <c r="W388" s="2" t="s">
        <v>581</v>
      </c>
      <c r="X388" s="2" t="s">
        <v>836</v>
      </c>
      <c r="Y388" s="2" t="s">
        <v>2645</v>
      </c>
      <c r="Z388" s="4"/>
      <c r="AA388" s="4">
        <f>=ROUNDDOWN({0},0)</f>
      </c>
      <c r="AB388" s="5">
        <v>65</v>
      </c>
      <c r="AC388" s="2" t="s">
        <v>1690</v>
      </c>
      <c r="AD388" s="4">
        <v>210</v>
      </c>
      <c r="AE388" s="4">
        <v>1870</v>
      </c>
      <c r="AF388" s="6">
        <v>66</v>
      </c>
      <c r="AG388" s="6">
        <v>49</v>
      </c>
      <c r="AH388" s="7">
        <v>0</v>
      </c>
      <c r="AI388" s="4"/>
      <c r="AJ388" s="4">
        <f>=ROUNDDOWN({0},0)</f>
      </c>
      <c r="AK388" s="5"/>
      <c r="AL388" s="2" t="s">
        <v>227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/>
      <c r="BD388" s="8"/>
      <c r="BE388" s="4"/>
      <c r="BF388" s="8"/>
      <c r="BG388" s="7"/>
      <c r="BH388" s="7"/>
      <c r="BI388" s="7"/>
      <c r="BJ388" s="4">
        <v>1</v>
      </c>
      <c r="BK388" s="8">
        <v>151.2</v>
      </c>
      <c r="BL388" s="2" t="s">
        <v>2646</v>
      </c>
      <c r="BM388" s="7"/>
      <c r="BN388" s="7"/>
      <c r="BO388" s="4"/>
      <c r="BP388" s="8"/>
      <c r="BQ388" s="4"/>
      <c r="BR388" s="8"/>
      <c r="BS388" s="7"/>
      <c r="BT388" s="7"/>
      <c r="BU388" s="2" t="s">
        <v>2647</v>
      </c>
      <c r="BV388" s="2" t="s">
        <v>227</v>
      </c>
      <c r="BW388" s="2" t="s">
        <v>227</v>
      </c>
      <c r="BX388" s="2" t="s">
        <v>235</v>
      </c>
      <c r="BY388" s="2" t="s">
        <v>236</v>
      </c>
      <c r="BZ388" s="2" t="s">
        <v>224</v>
      </c>
      <c r="CA388" s="2" t="s">
        <v>2344</v>
      </c>
      <c r="CB388" s="2" t="s">
        <v>2648</v>
      </c>
      <c r="CC388" s="2" t="s">
        <v>239</v>
      </c>
      <c r="CD388" s="2" t="s">
        <v>227</v>
      </c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>
        <v>210</v>
      </c>
      <c r="DY388" s="4"/>
      <c r="DZ388" s="4"/>
      <c r="EA388" s="4">
        <v>190</v>
      </c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>
        <v>220</v>
      </c>
      <c r="EM388" s="4"/>
      <c r="EN388" s="4"/>
      <c r="EO388" s="4"/>
      <c r="EP388" s="4"/>
      <c r="EQ388" s="4"/>
      <c r="ER388" s="4"/>
      <c r="ES388" s="4"/>
      <c r="ET388" s="4"/>
      <c r="EU388" s="4">
        <v>700</v>
      </c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>
        <v>30</v>
      </c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/>
      <c r="GI388" s="4"/>
      <c r="GJ388" s="4"/>
      <c r="GK388" s="4"/>
      <c r="GL388" s="4"/>
      <c r="GM388" s="4"/>
      <c r="GN388" s="4"/>
      <c r="GO388" s="4">
        <v>520</v>
      </c>
      <c r="GP388" s="4"/>
      <c r="GQ388" s="4"/>
      <c r="GR388" s="4"/>
      <c r="GS388" s="4"/>
      <c r="GT388" s="4"/>
      <c r="GU388" s="4"/>
      <c r="GV388" s="4"/>
      <c r="GW388" s="4"/>
      <c r="GX388" s="4"/>
    </row>
    <row r="389">
      <c r="A389" s="2" t="s">
        <v>2649</v>
      </c>
      <c r="B389" s="2" t="s">
        <v>573</v>
      </c>
      <c r="C389" s="2" t="s">
        <v>360</v>
      </c>
      <c r="D389" s="2" t="s">
        <v>832</v>
      </c>
      <c r="E389" s="2" t="s">
        <v>833</v>
      </c>
      <c r="F389" s="2" t="s">
        <v>2650</v>
      </c>
      <c r="G389" s="2" t="s">
        <v>2651</v>
      </c>
      <c r="H389" s="2" t="s">
        <v>2652</v>
      </c>
      <c r="I389" s="2" t="s">
        <v>2653</v>
      </c>
      <c r="J389" s="2" t="s">
        <v>548</v>
      </c>
      <c r="K389" s="2" t="s">
        <v>2654</v>
      </c>
      <c r="L389" s="3">
        <v>251.08</v>
      </c>
      <c r="M389" s="3">
        <v>263.63</v>
      </c>
      <c r="N389" s="3">
        <v>529</v>
      </c>
      <c r="O389" s="2" t="s">
        <v>224</v>
      </c>
      <c r="P389" s="2" t="s">
        <v>580</v>
      </c>
      <c r="Q389" s="2" t="s">
        <v>226</v>
      </c>
      <c r="R389" s="2" t="s">
        <v>227</v>
      </c>
      <c r="S389" s="2" t="s">
        <v>227</v>
      </c>
      <c r="T389" s="2" t="s">
        <v>227</v>
      </c>
      <c r="U389" s="2" t="s">
        <v>552</v>
      </c>
      <c r="V389" s="2" t="s">
        <v>230</v>
      </c>
      <c r="W389" s="2" t="s">
        <v>506</v>
      </c>
      <c r="X389" s="2" t="s">
        <v>1045</v>
      </c>
      <c r="Y389" s="2" t="s">
        <v>2655</v>
      </c>
      <c r="Z389" s="4">
        <v>159</v>
      </c>
      <c r="AA389" s="4">
        <f>=ROUNDDOWN(79.5,0)</f>
      </c>
      <c r="AB389" s="5">
        <v>2</v>
      </c>
      <c r="AC389" s="2" t="s">
        <v>227</v>
      </c>
      <c r="AD389" s="4"/>
      <c r="AE389" s="4"/>
      <c r="AF389" s="6">
        <v>74</v>
      </c>
      <c r="AG389" s="6"/>
      <c r="AH389" s="7">
        <v>1</v>
      </c>
      <c r="AI389" s="4"/>
      <c r="AJ389" s="4">
        <f>=ROUNDDOWN({0},0)</f>
      </c>
      <c r="AK389" s="5"/>
      <c r="AL389" s="2" t="s">
        <v>227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/>
      <c r="BD389" s="8"/>
      <c r="BE389" s="4"/>
      <c r="BF389" s="8"/>
      <c r="BG389" s="7"/>
      <c r="BH389" s="7"/>
      <c r="BI389" s="7"/>
      <c r="BJ389" s="4">
        <v>3</v>
      </c>
      <c r="BK389" s="8">
        <v>719.87</v>
      </c>
      <c r="BL389" s="2" t="s">
        <v>1188</v>
      </c>
      <c r="BM389" s="7"/>
      <c r="BN389" s="7"/>
      <c r="BO389" s="4"/>
      <c r="BP389" s="8"/>
      <c r="BQ389" s="4"/>
      <c r="BR389" s="8"/>
      <c r="BS389" s="7"/>
      <c r="BT389" s="7"/>
      <c r="BU389" s="2" t="s">
        <v>2656</v>
      </c>
      <c r="BV389" s="2" t="s">
        <v>227</v>
      </c>
      <c r="BW389" s="2" t="s">
        <v>227</v>
      </c>
      <c r="BX389" s="2" t="s">
        <v>711</v>
      </c>
      <c r="BY389" s="2" t="s">
        <v>236</v>
      </c>
      <c r="BZ389" s="2" t="s">
        <v>224</v>
      </c>
      <c r="CA389" s="2" t="s">
        <v>2657</v>
      </c>
      <c r="CB389" s="2" t="s">
        <v>2658</v>
      </c>
      <c r="CC389" s="2" t="s">
        <v>239</v>
      </c>
      <c r="CD389" s="2" t="s">
        <v>227</v>
      </c>
      <c r="CE389" s="4"/>
      <c r="CF389" s="4">
        <v>159</v>
      </c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  <c r="GT389" s="4"/>
      <c r="GU389" s="4"/>
      <c r="GV389" s="4"/>
      <c r="GW389" s="4"/>
      <c r="GX389" s="4"/>
    </row>
    <row r="390">
      <c r="A390" s="2" t="s">
        <v>2659</v>
      </c>
      <c r="B390" s="2" t="s">
        <v>618</v>
      </c>
      <c r="C390" s="2" t="s">
        <v>1299</v>
      </c>
      <c r="D390" s="2" t="s">
        <v>620</v>
      </c>
      <c r="E390" s="2" t="s">
        <v>621</v>
      </c>
      <c r="F390" s="2" t="s">
        <v>2660</v>
      </c>
      <c r="G390" s="2" t="s">
        <v>2661</v>
      </c>
      <c r="H390" s="2" t="s">
        <v>2662</v>
      </c>
      <c r="I390" s="2" t="s">
        <v>2663</v>
      </c>
      <c r="J390" s="2" t="s">
        <v>626</v>
      </c>
      <c r="K390" s="2" t="s">
        <v>2664</v>
      </c>
      <c r="L390" s="3">
        <v>29.9</v>
      </c>
      <c r="M390" s="3">
        <v>31.4</v>
      </c>
      <c r="N390" s="3">
        <v>64.99</v>
      </c>
      <c r="O390" s="2" t="s">
        <v>224</v>
      </c>
      <c r="P390" s="2" t="s">
        <v>580</v>
      </c>
      <c r="Q390" s="2" t="s">
        <v>226</v>
      </c>
      <c r="R390" s="2" t="s">
        <v>227</v>
      </c>
      <c r="S390" s="2" t="s">
        <v>2665</v>
      </c>
      <c r="T390" s="2" t="s">
        <v>375</v>
      </c>
      <c r="U390" s="2" t="s">
        <v>1350</v>
      </c>
      <c r="V390" s="2" t="s">
        <v>629</v>
      </c>
      <c r="W390" s="2" t="s">
        <v>581</v>
      </c>
      <c r="X390" s="2" t="s">
        <v>677</v>
      </c>
      <c r="Y390" s="2" t="s">
        <v>2666</v>
      </c>
      <c r="Z390" s="4">
        <v>296</v>
      </c>
      <c r="AA390" s="4">
        <f>=ROUNDDOWN(74,0)</f>
      </c>
      <c r="AB390" s="5">
        <v>4</v>
      </c>
      <c r="AC390" s="2" t="s">
        <v>227</v>
      </c>
      <c r="AD390" s="4"/>
      <c r="AE390" s="4"/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227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/>
      <c r="AW390" s="8"/>
      <c r="AX390" s="4"/>
      <c r="AY390" s="8"/>
      <c r="AZ390" s="7"/>
      <c r="BA390" s="7"/>
      <c r="BB390" s="7"/>
      <c r="BC390" s="4"/>
      <c r="BD390" s="8"/>
      <c r="BE390" s="4"/>
      <c r="BF390" s="8"/>
      <c r="BG390" s="7"/>
      <c r="BH390" s="7"/>
      <c r="BI390" s="7"/>
      <c r="BJ390" s="4">
        <v>15</v>
      </c>
      <c r="BK390" s="8">
        <v>484.38</v>
      </c>
      <c r="BL390" s="2" t="s">
        <v>2667</v>
      </c>
      <c r="BM390" s="7"/>
      <c r="BN390" s="7"/>
      <c r="BO390" s="4"/>
      <c r="BP390" s="8"/>
      <c r="BQ390" s="4"/>
      <c r="BR390" s="8"/>
      <c r="BS390" s="7"/>
      <c r="BT390" s="7"/>
      <c r="BU390" s="2" t="s">
        <v>2668</v>
      </c>
      <c r="BV390" s="2" t="s">
        <v>227</v>
      </c>
      <c r="BW390" s="2" t="s">
        <v>227</v>
      </c>
      <c r="BX390" s="2" t="s">
        <v>235</v>
      </c>
      <c r="BY390" s="2" t="s">
        <v>236</v>
      </c>
      <c r="BZ390" s="2" t="s">
        <v>224</v>
      </c>
      <c r="CA390" s="2" t="s">
        <v>2669</v>
      </c>
      <c r="CB390" s="2" t="s">
        <v>2274</v>
      </c>
      <c r="CC390" s="2" t="s">
        <v>239</v>
      </c>
      <c r="CD390" s="2" t="s">
        <v>227</v>
      </c>
      <c r="CE390" s="4">
        <v>296</v>
      </c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/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/>
      <c r="GI390" s="4"/>
      <c r="GJ390" s="4"/>
      <c r="GK390" s="4"/>
      <c r="GL390" s="4"/>
      <c r="GM390" s="4"/>
      <c r="GN390" s="4"/>
      <c r="GO390" s="4"/>
      <c r="GP390" s="4"/>
      <c r="GQ390" s="4"/>
      <c r="GR390" s="4"/>
      <c r="GS390" s="4"/>
      <c r="GT390" s="4"/>
      <c r="GU390" s="4"/>
      <c r="GV390" s="4"/>
      <c r="GW390" s="4"/>
      <c r="GX390" s="4"/>
    </row>
    <row r="391">
      <c r="A391" s="2" t="s">
        <v>2670</v>
      </c>
      <c r="B391" s="2" t="s">
        <v>1001</v>
      </c>
      <c r="C391" s="2" t="s">
        <v>668</v>
      </c>
      <c r="D391" s="2" t="s">
        <v>1952</v>
      </c>
      <c r="E391" s="2" t="s">
        <v>1953</v>
      </c>
      <c r="F391" s="2" t="s">
        <v>2671</v>
      </c>
      <c r="G391" s="2" t="s">
        <v>2671</v>
      </c>
      <c r="H391" s="2" t="s">
        <v>2671</v>
      </c>
      <c r="I391" s="2" t="s">
        <v>2672</v>
      </c>
      <c r="J391" s="2" t="s">
        <v>548</v>
      </c>
      <c r="K391" s="2" t="s">
        <v>2673</v>
      </c>
      <c r="L391" s="3">
        <v>48</v>
      </c>
      <c r="M391" s="3">
        <v>50.4</v>
      </c>
      <c r="N391" s="3">
        <v>99.99</v>
      </c>
      <c r="O391" s="2" t="s">
        <v>224</v>
      </c>
      <c r="P391" s="2" t="s">
        <v>225</v>
      </c>
      <c r="Q391" s="2" t="s">
        <v>226</v>
      </c>
      <c r="R391" s="2" t="s">
        <v>227</v>
      </c>
      <c r="S391" s="2" t="s">
        <v>227</v>
      </c>
      <c r="T391" s="2" t="s">
        <v>227</v>
      </c>
      <c r="U391" s="2" t="s">
        <v>552</v>
      </c>
      <c r="V391" s="2" t="s">
        <v>566</v>
      </c>
      <c r="W391" s="2" t="s">
        <v>487</v>
      </c>
      <c r="X391" s="2" t="s">
        <v>227</v>
      </c>
      <c r="Y391" s="2" t="s">
        <v>2674</v>
      </c>
      <c r="Z391" s="4">
        <v>56</v>
      </c>
      <c r="AA391" s="4">
        <f>=ROUNDDOWN(28,0)</f>
      </c>
      <c r="AB391" s="5">
        <v>2</v>
      </c>
      <c r="AC391" s="2" t="s">
        <v>227</v>
      </c>
      <c r="AD391" s="4"/>
      <c r="AE391" s="4"/>
      <c r="AF391" s="6">
        <v>63</v>
      </c>
      <c r="AG391" s="6"/>
      <c r="AH391" s="7">
        <v>1</v>
      </c>
      <c r="AI391" s="4"/>
      <c r="AJ391" s="4">
        <f>=ROUNDDOWN({0},0)</f>
      </c>
      <c r="AK391" s="5"/>
      <c r="AL391" s="2" t="s">
        <v>227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/>
      <c r="BD391" s="8"/>
      <c r="BE391" s="4"/>
      <c r="BF391" s="8"/>
      <c r="BG391" s="7"/>
      <c r="BH391" s="7"/>
      <c r="BI391" s="7"/>
      <c r="BJ391" s="4">
        <v>4</v>
      </c>
      <c r="BK391" s="8">
        <v>181.44</v>
      </c>
      <c r="BL391" s="2" t="s">
        <v>1100</v>
      </c>
      <c r="BM391" s="7"/>
      <c r="BN391" s="7"/>
      <c r="BO391" s="4"/>
      <c r="BP391" s="8"/>
      <c r="BQ391" s="4"/>
      <c r="BR391" s="8"/>
      <c r="BS391" s="7"/>
      <c r="BT391" s="7"/>
      <c r="BU391" s="2" t="s">
        <v>2675</v>
      </c>
      <c r="BV391" s="2" t="s">
        <v>227</v>
      </c>
      <c r="BW391" s="2" t="s">
        <v>227</v>
      </c>
      <c r="BX391" s="2" t="s">
        <v>235</v>
      </c>
      <c r="BY391" s="2" t="s">
        <v>236</v>
      </c>
      <c r="BZ391" s="2" t="s">
        <v>224</v>
      </c>
      <c r="CA391" s="2" t="s">
        <v>2676</v>
      </c>
      <c r="CB391" s="2" t="s">
        <v>783</v>
      </c>
      <c r="CC391" s="2" t="s">
        <v>239</v>
      </c>
      <c r="CD391" s="2" t="s">
        <v>227</v>
      </c>
      <c r="CE391" s="4"/>
      <c r="CF391" s="4">
        <v>56</v>
      </c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4"/>
      <c r="GR391" s="4"/>
      <c r="GS391" s="4"/>
      <c r="GT391" s="4"/>
      <c r="GU391" s="4"/>
      <c r="GV391" s="4"/>
      <c r="GW391" s="4"/>
      <c r="GX391" s="4"/>
    </row>
    <row r="392">
      <c r="A392" s="2" t="s">
        <v>2677</v>
      </c>
      <c r="B392" s="2" t="s">
        <v>667</v>
      </c>
      <c r="C392" s="2" t="s">
        <v>2678</v>
      </c>
      <c r="D392" s="2" t="s">
        <v>620</v>
      </c>
      <c r="E392" s="2" t="s">
        <v>669</v>
      </c>
      <c r="F392" s="2" t="s">
        <v>2679</v>
      </c>
      <c r="G392" s="2" t="s">
        <v>2680</v>
      </c>
      <c r="H392" s="2" t="s">
        <v>2681</v>
      </c>
      <c r="I392" s="2" t="s">
        <v>2682</v>
      </c>
      <c r="J392" s="2" t="s">
        <v>626</v>
      </c>
      <c r="K392" s="2" t="s">
        <v>737</v>
      </c>
      <c r="L392" s="3">
        <v>55.78</v>
      </c>
      <c r="M392" s="3">
        <v>58.57</v>
      </c>
      <c r="N392" s="3">
        <v>129.99</v>
      </c>
      <c r="O392" s="2" t="s">
        <v>224</v>
      </c>
      <c r="P392" s="2" t="s">
        <v>225</v>
      </c>
      <c r="Q392" s="2" t="s">
        <v>226</v>
      </c>
      <c r="R392" s="2" t="s">
        <v>227</v>
      </c>
      <c r="S392" s="2" t="s">
        <v>2683</v>
      </c>
      <c r="T392" s="2" t="s">
        <v>286</v>
      </c>
      <c r="U392" s="2" t="s">
        <v>674</v>
      </c>
      <c r="V392" s="2" t="s">
        <v>230</v>
      </c>
      <c r="W392" s="2" t="s">
        <v>231</v>
      </c>
      <c r="X392" s="2" t="s">
        <v>2684</v>
      </c>
      <c r="Y392" s="2" t="s">
        <v>2685</v>
      </c>
      <c r="Z392" s="4">
        <v>214</v>
      </c>
      <c r="AA392" s="4">
        <f>=ROUNDDOWN(42.8,0)</f>
      </c>
      <c r="AB392" s="5">
        <v>5</v>
      </c>
      <c r="AC392" s="2" t="s">
        <v>227</v>
      </c>
      <c r="AD392" s="4"/>
      <c r="AE392" s="4"/>
      <c r="AF392" s="6">
        <v>67</v>
      </c>
      <c r="AG392" s="6"/>
      <c r="AH392" s="7">
        <v>1</v>
      </c>
      <c r="AI392" s="4"/>
      <c r="AJ392" s="4">
        <f>=ROUNDDOWN({0},0)</f>
      </c>
      <c r="AK392" s="5"/>
      <c r="AL392" s="2" t="s">
        <v>227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/>
      <c r="BD392" s="8"/>
      <c r="BE392" s="4"/>
      <c r="BF392" s="8"/>
      <c r="BG392" s="7"/>
      <c r="BH392" s="7"/>
      <c r="BI392" s="7"/>
      <c r="BJ392" s="4">
        <v>22</v>
      </c>
      <c r="BK392" s="8">
        <v>1347.23</v>
      </c>
      <c r="BL392" s="2" t="s">
        <v>2686</v>
      </c>
      <c r="BM392" s="7"/>
      <c r="BN392" s="7"/>
      <c r="BO392" s="4"/>
      <c r="BP392" s="8"/>
      <c r="BQ392" s="4"/>
      <c r="BR392" s="8"/>
      <c r="BS392" s="7"/>
      <c r="BT392" s="7"/>
      <c r="BU392" s="2" t="s">
        <v>2687</v>
      </c>
      <c r="BV392" s="2" t="s">
        <v>227</v>
      </c>
      <c r="BW392" s="2" t="s">
        <v>227</v>
      </c>
      <c r="BX392" s="2" t="s">
        <v>235</v>
      </c>
      <c r="BY392" s="2" t="s">
        <v>236</v>
      </c>
      <c r="BZ392" s="2" t="s">
        <v>224</v>
      </c>
      <c r="CA392" s="2" t="s">
        <v>2685</v>
      </c>
      <c r="CB392" s="2" t="s">
        <v>2688</v>
      </c>
      <c r="CC392" s="2" t="s">
        <v>239</v>
      </c>
      <c r="CD392" s="2" t="s">
        <v>227</v>
      </c>
      <c r="CE392" s="4">
        <v>214</v>
      </c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4"/>
      <c r="GR392" s="4"/>
      <c r="GS392" s="4"/>
      <c r="GT392" s="4"/>
      <c r="GU392" s="4"/>
      <c r="GV392" s="4"/>
      <c r="GW392" s="4"/>
      <c r="GX392" s="4"/>
    </row>
    <row r="393">
      <c r="A393" s="2" t="s">
        <v>2689</v>
      </c>
      <c r="B393" s="2" t="s">
        <v>697</v>
      </c>
      <c r="C393" s="2" t="s">
        <v>1962</v>
      </c>
      <c r="D393" s="2" t="s">
        <v>1448</v>
      </c>
      <c r="E393" s="2" t="s">
        <v>1449</v>
      </c>
      <c r="F393" s="2" t="s">
        <v>2690</v>
      </c>
      <c r="G393" s="2" t="s">
        <v>2690</v>
      </c>
      <c r="H393" s="2" t="s">
        <v>2690</v>
      </c>
      <c r="I393" s="2" t="s">
        <v>1449</v>
      </c>
      <c r="J393" s="2" t="s">
        <v>222</v>
      </c>
      <c r="K393" s="2" t="s">
        <v>410</v>
      </c>
      <c r="L393" s="3">
        <v>16.56</v>
      </c>
      <c r="M393" s="3">
        <v>17.39</v>
      </c>
      <c r="N393" s="3">
        <v>36.99</v>
      </c>
      <c r="O393" s="2" t="s">
        <v>224</v>
      </c>
      <c r="P393" s="2" t="s">
        <v>225</v>
      </c>
      <c r="Q393" s="2" t="s">
        <v>226</v>
      </c>
      <c r="R393" s="2" t="s">
        <v>227</v>
      </c>
      <c r="S393" s="2" t="s">
        <v>2691</v>
      </c>
      <c r="T393" s="2" t="s">
        <v>993</v>
      </c>
      <c r="U393" s="2" t="s">
        <v>552</v>
      </c>
      <c r="V393" s="2" t="s">
        <v>230</v>
      </c>
      <c r="W393" s="2" t="s">
        <v>231</v>
      </c>
      <c r="X393" s="2" t="s">
        <v>227</v>
      </c>
      <c r="Y393" s="2" t="s">
        <v>1604</v>
      </c>
      <c r="Z393" s="4">
        <v>313</v>
      </c>
      <c r="AA393" s="4">
        <f>=ROUNDDOWN(44.7142857142857,0)</f>
      </c>
      <c r="AB393" s="5">
        <v>7</v>
      </c>
      <c r="AC393" s="2" t="s">
        <v>227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227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227</v>
      </c>
      <c r="AW393" s="8" t="s">
        <v>227</v>
      </c>
      <c r="AX393" s="4" t="s">
        <v>227</v>
      </c>
      <c r="AY393" s="8" t="s">
        <v>227</v>
      </c>
      <c r="AZ393" s="7" t="s">
        <v>227</v>
      </c>
      <c r="BA393" s="7" t="s">
        <v>227</v>
      </c>
      <c r="BB393" s="7"/>
      <c r="BC393" s="4" t="s">
        <v>227</v>
      </c>
      <c r="BD393" s="8" t="s">
        <v>227</v>
      </c>
      <c r="BE393" s="4" t="s">
        <v>227</v>
      </c>
      <c r="BF393" s="8" t="s">
        <v>227</v>
      </c>
      <c r="BG393" s="7" t="s">
        <v>227</v>
      </c>
      <c r="BH393" s="7" t="s">
        <v>227</v>
      </c>
      <c r="BI393" s="7"/>
      <c r="BJ393" s="4">
        <v>11</v>
      </c>
      <c r="BK393" s="8">
        <v>206.06</v>
      </c>
      <c r="BL393" s="2" t="s">
        <v>1735</v>
      </c>
      <c r="BM393" s="7"/>
      <c r="BN393" s="7"/>
      <c r="BO393" s="4"/>
      <c r="BP393" s="8"/>
      <c r="BQ393" s="4"/>
      <c r="BR393" s="8"/>
      <c r="BS393" s="7"/>
      <c r="BT393" s="7"/>
      <c r="BU393" s="2" t="s">
        <v>2692</v>
      </c>
      <c r="BV393" s="2" t="s">
        <v>227</v>
      </c>
      <c r="BW393" s="2" t="s">
        <v>227</v>
      </c>
      <c r="BX393" s="2" t="s">
        <v>235</v>
      </c>
      <c r="BY393" s="2" t="s">
        <v>236</v>
      </c>
      <c r="BZ393" s="2" t="s">
        <v>224</v>
      </c>
      <c r="CA393" s="2" t="s">
        <v>1310</v>
      </c>
      <c r="CB393" s="2" t="s">
        <v>227</v>
      </c>
      <c r="CC393" s="2" t="s">
        <v>239</v>
      </c>
      <c r="CD393" s="2" t="s">
        <v>227</v>
      </c>
      <c r="CE393" s="4">
        <v>287</v>
      </c>
      <c r="CF393" s="4"/>
      <c r="CG393" s="4"/>
      <c r="CH393" s="4"/>
      <c r="CI393" s="4"/>
      <c r="CJ393" s="4"/>
      <c r="CK393" s="4">
        <v>26</v>
      </c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/>
      <c r="GI393" s="4"/>
      <c r="GJ393" s="4"/>
      <c r="GK393" s="4"/>
      <c r="GL393" s="4"/>
      <c r="GM393" s="4"/>
      <c r="GN393" s="4"/>
      <c r="GO393" s="4"/>
      <c r="GP393" s="4"/>
      <c r="GQ393" s="4"/>
      <c r="GR393" s="4"/>
      <c r="GS393" s="4"/>
      <c r="GT393" s="4"/>
      <c r="GU393" s="4"/>
      <c r="GV393" s="4"/>
      <c r="GW393" s="4"/>
      <c r="GX393" s="4"/>
    </row>
    <row r="394">
      <c r="A394" s="2" t="s">
        <v>2693</v>
      </c>
      <c r="B394" s="2" t="s">
        <v>697</v>
      </c>
      <c r="C394" s="2" t="s">
        <v>1962</v>
      </c>
      <c r="D394" s="2" t="s">
        <v>1448</v>
      </c>
      <c r="E394" s="2" t="s">
        <v>1449</v>
      </c>
      <c r="F394" s="2" t="s">
        <v>2690</v>
      </c>
      <c r="G394" s="2" t="s">
        <v>2690</v>
      </c>
      <c r="H394" s="2" t="s">
        <v>2690</v>
      </c>
      <c r="I394" s="2" t="s">
        <v>1449</v>
      </c>
      <c r="J394" s="2" t="s">
        <v>626</v>
      </c>
      <c r="K394" s="2" t="s">
        <v>410</v>
      </c>
      <c r="L394" s="3">
        <v>19.6</v>
      </c>
      <c r="M394" s="3">
        <v>20.58</v>
      </c>
      <c r="N394" s="3">
        <v>41.99</v>
      </c>
      <c r="O394" s="2" t="s">
        <v>224</v>
      </c>
      <c r="P394" s="2" t="s">
        <v>225</v>
      </c>
      <c r="Q394" s="2" t="s">
        <v>226</v>
      </c>
      <c r="R394" s="2" t="s">
        <v>227</v>
      </c>
      <c r="S394" s="2" t="s">
        <v>2691</v>
      </c>
      <c r="T394" s="2" t="s">
        <v>993</v>
      </c>
      <c r="U394" s="2" t="s">
        <v>552</v>
      </c>
      <c r="V394" s="2" t="s">
        <v>230</v>
      </c>
      <c r="W394" s="2" t="s">
        <v>231</v>
      </c>
      <c r="X394" s="2" t="s">
        <v>227</v>
      </c>
      <c r="Y394" s="2" t="s">
        <v>1604</v>
      </c>
      <c r="Z394" s="4">
        <v>410</v>
      </c>
      <c r="AA394" s="4">
        <f>=ROUNDDOWN(31.5384615384615,0)</f>
      </c>
      <c r="AB394" s="5">
        <v>13</v>
      </c>
      <c r="AC394" s="2" t="s">
        <v>169</v>
      </c>
      <c r="AD394" s="4">
        <v>240</v>
      </c>
      <c r="AE394" s="4">
        <v>240</v>
      </c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227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227</v>
      </c>
      <c r="AW394" s="8" t="s">
        <v>227</v>
      </c>
      <c r="AX394" s="4" t="s">
        <v>227</v>
      </c>
      <c r="AY394" s="8" t="s">
        <v>227</v>
      </c>
      <c r="AZ394" s="7" t="s">
        <v>227</v>
      </c>
      <c r="BA394" s="7" t="s">
        <v>227</v>
      </c>
      <c r="BB394" s="7"/>
      <c r="BC394" s="4" t="s">
        <v>227</v>
      </c>
      <c r="BD394" s="8" t="s">
        <v>227</v>
      </c>
      <c r="BE394" s="4" t="s">
        <v>227</v>
      </c>
      <c r="BF394" s="8" t="s">
        <v>227</v>
      </c>
      <c r="BG394" s="7" t="s">
        <v>227</v>
      </c>
      <c r="BH394" s="7" t="s">
        <v>227</v>
      </c>
      <c r="BI394" s="7"/>
      <c r="BJ394" s="4">
        <v>54</v>
      </c>
      <c r="BK394" s="8">
        <v>1200.73</v>
      </c>
      <c r="BL394" s="2" t="s">
        <v>2339</v>
      </c>
      <c r="BM394" s="7"/>
      <c r="BN394" s="7"/>
      <c r="BO394" s="4"/>
      <c r="BP394" s="8"/>
      <c r="BQ394" s="4"/>
      <c r="BR394" s="8"/>
      <c r="BS394" s="7"/>
      <c r="BT394" s="7"/>
      <c r="BU394" s="2" t="s">
        <v>2694</v>
      </c>
      <c r="BV394" s="2" t="s">
        <v>227</v>
      </c>
      <c r="BW394" s="2" t="s">
        <v>227</v>
      </c>
      <c r="BX394" s="2" t="s">
        <v>235</v>
      </c>
      <c r="BY394" s="2" t="s">
        <v>236</v>
      </c>
      <c r="BZ394" s="2" t="s">
        <v>224</v>
      </c>
      <c r="CA394" s="2" t="s">
        <v>1310</v>
      </c>
      <c r="CB394" s="2" t="s">
        <v>2695</v>
      </c>
      <c r="CC394" s="2" t="s">
        <v>239</v>
      </c>
      <c r="CD394" s="2" t="s">
        <v>227</v>
      </c>
      <c r="CE394" s="4">
        <v>379</v>
      </c>
      <c r="CF394" s="4"/>
      <c r="CG394" s="4"/>
      <c r="CH394" s="4"/>
      <c r="CI394" s="4"/>
      <c r="CJ394" s="4"/>
      <c r="CK394" s="4">
        <v>31</v>
      </c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>
        <v>240</v>
      </c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/>
      <c r="GI394" s="4"/>
      <c r="GJ394" s="4"/>
      <c r="GK394" s="4"/>
      <c r="GL394" s="4"/>
      <c r="GM394" s="4"/>
      <c r="GN394" s="4"/>
      <c r="GO394" s="4"/>
      <c r="GP394" s="4"/>
      <c r="GQ394" s="4"/>
      <c r="GR394" s="4"/>
      <c r="GS394" s="4"/>
      <c r="GT394" s="4"/>
      <c r="GU394" s="4"/>
      <c r="GV394" s="4"/>
      <c r="GW394" s="4"/>
      <c r="GX394" s="4"/>
    </row>
    <row r="395">
      <c r="A395" s="2" t="s">
        <v>2696</v>
      </c>
      <c r="B395" s="2" t="s">
        <v>697</v>
      </c>
      <c r="C395" s="2" t="s">
        <v>1962</v>
      </c>
      <c r="D395" s="2" t="s">
        <v>1448</v>
      </c>
      <c r="E395" s="2" t="s">
        <v>1449</v>
      </c>
      <c r="F395" s="2" t="s">
        <v>2690</v>
      </c>
      <c r="G395" s="2" t="s">
        <v>2690</v>
      </c>
      <c r="H395" s="2" t="s">
        <v>2690</v>
      </c>
      <c r="I395" s="2" t="s">
        <v>1449</v>
      </c>
      <c r="J395" s="2" t="s">
        <v>257</v>
      </c>
      <c r="K395" s="2" t="s">
        <v>410</v>
      </c>
      <c r="L395" s="3">
        <v>22.38</v>
      </c>
      <c r="M395" s="3">
        <v>23.5</v>
      </c>
      <c r="N395" s="3">
        <v>46.99</v>
      </c>
      <c r="O395" s="2" t="s">
        <v>224</v>
      </c>
      <c r="P395" s="2" t="s">
        <v>225</v>
      </c>
      <c r="Q395" s="2" t="s">
        <v>226</v>
      </c>
      <c r="R395" s="2" t="s">
        <v>227</v>
      </c>
      <c r="S395" s="2" t="s">
        <v>2691</v>
      </c>
      <c r="T395" s="2" t="s">
        <v>993</v>
      </c>
      <c r="U395" s="2" t="s">
        <v>552</v>
      </c>
      <c r="V395" s="2" t="s">
        <v>230</v>
      </c>
      <c r="W395" s="2" t="s">
        <v>231</v>
      </c>
      <c r="X395" s="2" t="s">
        <v>227</v>
      </c>
      <c r="Y395" s="2" t="s">
        <v>1604</v>
      </c>
      <c r="Z395" s="4">
        <v>357</v>
      </c>
      <c r="AA395" s="4">
        <f>=ROUNDDOWN(32.4545454545455,0)</f>
      </c>
      <c r="AB395" s="5">
        <v>11</v>
      </c>
      <c r="AC395" s="2" t="s">
        <v>169</v>
      </c>
      <c r="AD395" s="4">
        <v>140</v>
      </c>
      <c r="AE395" s="4">
        <v>140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227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227</v>
      </c>
      <c r="AW395" s="8" t="s">
        <v>227</v>
      </c>
      <c r="AX395" s="4" t="s">
        <v>227</v>
      </c>
      <c r="AY395" s="8" t="s">
        <v>227</v>
      </c>
      <c r="AZ395" s="7" t="s">
        <v>227</v>
      </c>
      <c r="BA395" s="7" t="s">
        <v>227</v>
      </c>
      <c r="BB395" s="7"/>
      <c r="BC395" s="4" t="s">
        <v>227</v>
      </c>
      <c r="BD395" s="8" t="s">
        <v>227</v>
      </c>
      <c r="BE395" s="4" t="s">
        <v>227</v>
      </c>
      <c r="BF395" s="8" t="s">
        <v>227</v>
      </c>
      <c r="BG395" s="7" t="s">
        <v>227</v>
      </c>
      <c r="BH395" s="7" t="s">
        <v>227</v>
      </c>
      <c r="BI395" s="7"/>
      <c r="BJ395" s="4">
        <v>33</v>
      </c>
      <c r="BK395" s="8">
        <v>837.9</v>
      </c>
      <c r="BL395" s="2" t="s">
        <v>2339</v>
      </c>
      <c r="BM395" s="7"/>
      <c r="BN395" s="7"/>
      <c r="BO395" s="4"/>
      <c r="BP395" s="8"/>
      <c r="BQ395" s="4"/>
      <c r="BR395" s="8"/>
      <c r="BS395" s="7"/>
      <c r="BT395" s="7"/>
      <c r="BU395" s="2" t="s">
        <v>2697</v>
      </c>
      <c r="BV395" s="2" t="s">
        <v>227</v>
      </c>
      <c r="BW395" s="2" t="s">
        <v>227</v>
      </c>
      <c r="BX395" s="2" t="s">
        <v>235</v>
      </c>
      <c r="BY395" s="2" t="s">
        <v>236</v>
      </c>
      <c r="BZ395" s="2" t="s">
        <v>224</v>
      </c>
      <c r="CA395" s="2" t="s">
        <v>1310</v>
      </c>
      <c r="CB395" s="2" t="s">
        <v>2698</v>
      </c>
      <c r="CC395" s="2" t="s">
        <v>239</v>
      </c>
      <c r="CD395" s="2" t="s">
        <v>227</v>
      </c>
      <c r="CE395" s="4">
        <v>219</v>
      </c>
      <c r="CF395" s="4"/>
      <c r="CG395" s="4"/>
      <c r="CH395" s="4"/>
      <c r="CI395" s="4"/>
      <c r="CJ395" s="4"/>
      <c r="CK395" s="4">
        <v>138</v>
      </c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>
        <v>140</v>
      </c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4"/>
      <c r="GR395" s="4"/>
      <c r="GS395" s="4"/>
      <c r="GT395" s="4"/>
      <c r="GU395" s="4"/>
      <c r="GV395" s="4"/>
      <c r="GW395" s="4"/>
      <c r="GX395" s="4"/>
    </row>
    <row r="396">
      <c r="A396" s="2" t="s">
        <v>2699</v>
      </c>
      <c r="B396" s="2" t="s">
        <v>697</v>
      </c>
      <c r="C396" s="2" t="s">
        <v>1962</v>
      </c>
      <c r="D396" s="2" t="s">
        <v>1448</v>
      </c>
      <c r="E396" s="2" t="s">
        <v>1449</v>
      </c>
      <c r="F396" s="2" t="s">
        <v>2690</v>
      </c>
      <c r="G396" s="2" t="s">
        <v>2690</v>
      </c>
      <c r="H396" s="2" t="s">
        <v>2690</v>
      </c>
      <c r="I396" s="2" t="s">
        <v>1449</v>
      </c>
      <c r="J396" s="2" t="s">
        <v>222</v>
      </c>
      <c r="K396" s="2" t="s">
        <v>2700</v>
      </c>
      <c r="L396" s="3">
        <v>16.56</v>
      </c>
      <c r="M396" s="3">
        <v>17.39</v>
      </c>
      <c r="N396" s="3">
        <v>36.99</v>
      </c>
      <c r="O396" s="2" t="s">
        <v>224</v>
      </c>
      <c r="P396" s="2" t="s">
        <v>225</v>
      </c>
      <c r="Q396" s="2" t="s">
        <v>226</v>
      </c>
      <c r="R396" s="2" t="s">
        <v>227</v>
      </c>
      <c r="S396" s="2" t="s">
        <v>2701</v>
      </c>
      <c r="T396" s="2" t="s">
        <v>993</v>
      </c>
      <c r="U396" s="2" t="s">
        <v>552</v>
      </c>
      <c r="V396" s="2" t="s">
        <v>230</v>
      </c>
      <c r="W396" s="2" t="s">
        <v>231</v>
      </c>
      <c r="X396" s="2" t="s">
        <v>227</v>
      </c>
      <c r="Y396" s="2" t="s">
        <v>1604</v>
      </c>
      <c r="Z396" s="4">
        <v>246</v>
      </c>
      <c r="AA396" s="4">
        <f>=ROUNDDOWN(30.75,0)</f>
      </c>
      <c r="AB396" s="5">
        <v>8</v>
      </c>
      <c r="AC396" s="2" t="s">
        <v>169</v>
      </c>
      <c r="AD396" s="4">
        <v>70</v>
      </c>
      <c r="AE396" s="4">
        <v>120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227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227</v>
      </c>
      <c r="AW396" s="8" t="s">
        <v>227</v>
      </c>
      <c r="AX396" s="4" t="s">
        <v>227</v>
      </c>
      <c r="AY396" s="8" t="s">
        <v>227</v>
      </c>
      <c r="AZ396" s="7" t="s">
        <v>227</v>
      </c>
      <c r="BA396" s="7" t="s">
        <v>227</v>
      </c>
      <c r="BB396" s="7"/>
      <c r="BC396" s="4" t="s">
        <v>227</v>
      </c>
      <c r="BD396" s="8" t="s">
        <v>227</v>
      </c>
      <c r="BE396" s="4" t="s">
        <v>227</v>
      </c>
      <c r="BF396" s="8" t="s">
        <v>227</v>
      </c>
      <c r="BG396" s="7" t="s">
        <v>227</v>
      </c>
      <c r="BH396" s="7" t="s">
        <v>227</v>
      </c>
      <c r="BI396" s="7"/>
      <c r="BJ396" s="4">
        <v>34</v>
      </c>
      <c r="BK396" s="8">
        <v>637.13</v>
      </c>
      <c r="BL396" s="2" t="s">
        <v>2702</v>
      </c>
      <c r="BM396" s="7"/>
      <c r="BN396" s="7"/>
      <c r="BO396" s="4"/>
      <c r="BP396" s="8"/>
      <c r="BQ396" s="4"/>
      <c r="BR396" s="8"/>
      <c r="BS396" s="7"/>
      <c r="BT396" s="7"/>
      <c r="BU396" s="2" t="s">
        <v>2703</v>
      </c>
      <c r="BV396" s="2" t="s">
        <v>227</v>
      </c>
      <c r="BW396" s="2" t="s">
        <v>227</v>
      </c>
      <c r="BX396" s="2" t="s">
        <v>235</v>
      </c>
      <c r="BY396" s="2" t="s">
        <v>236</v>
      </c>
      <c r="BZ396" s="2" t="s">
        <v>224</v>
      </c>
      <c r="CA396" s="2" t="s">
        <v>1310</v>
      </c>
      <c r="CB396" s="2" t="s">
        <v>227</v>
      </c>
      <c r="CC396" s="2" t="s">
        <v>239</v>
      </c>
      <c r="CD396" s="2" t="s">
        <v>227</v>
      </c>
      <c r="CE396" s="4">
        <v>214</v>
      </c>
      <c r="CF396" s="4"/>
      <c r="CG396" s="4"/>
      <c r="CH396" s="4"/>
      <c r="CI396" s="4"/>
      <c r="CJ396" s="4"/>
      <c r="CK396" s="4">
        <v>32</v>
      </c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>
        <v>70</v>
      </c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/>
      <c r="GI396" s="4"/>
      <c r="GJ396" s="4"/>
      <c r="GK396" s="4"/>
      <c r="GL396" s="4"/>
      <c r="GM396" s="4">
        <v>50</v>
      </c>
      <c r="GN396" s="4"/>
      <c r="GO396" s="4"/>
      <c r="GP396" s="4"/>
      <c r="GQ396" s="4"/>
      <c r="GR396" s="4"/>
      <c r="GS396" s="4"/>
      <c r="GT396" s="4"/>
      <c r="GU396" s="4"/>
      <c r="GV396" s="4"/>
      <c r="GW396" s="4"/>
      <c r="GX396" s="4"/>
    </row>
    <row r="397">
      <c r="A397" s="2" t="s">
        <v>2704</v>
      </c>
      <c r="B397" s="2" t="s">
        <v>697</v>
      </c>
      <c r="C397" s="2" t="s">
        <v>1962</v>
      </c>
      <c r="D397" s="2" t="s">
        <v>1448</v>
      </c>
      <c r="E397" s="2" t="s">
        <v>1449</v>
      </c>
      <c r="F397" s="2" t="s">
        <v>2690</v>
      </c>
      <c r="G397" s="2" t="s">
        <v>2690</v>
      </c>
      <c r="H397" s="2" t="s">
        <v>2690</v>
      </c>
      <c r="I397" s="2" t="s">
        <v>1449</v>
      </c>
      <c r="J397" s="2" t="s">
        <v>626</v>
      </c>
      <c r="K397" s="2" t="s">
        <v>2700</v>
      </c>
      <c r="L397" s="3">
        <v>19.6</v>
      </c>
      <c r="M397" s="3">
        <v>20.58</v>
      </c>
      <c r="N397" s="3">
        <v>41.99</v>
      </c>
      <c r="O397" s="2" t="s">
        <v>224</v>
      </c>
      <c r="P397" s="2" t="s">
        <v>225</v>
      </c>
      <c r="Q397" s="2" t="s">
        <v>226</v>
      </c>
      <c r="R397" s="2" t="s">
        <v>227</v>
      </c>
      <c r="S397" s="2" t="s">
        <v>2701</v>
      </c>
      <c r="T397" s="2" t="s">
        <v>993</v>
      </c>
      <c r="U397" s="2" t="s">
        <v>552</v>
      </c>
      <c r="V397" s="2" t="s">
        <v>230</v>
      </c>
      <c r="W397" s="2" t="s">
        <v>231</v>
      </c>
      <c r="X397" s="2" t="s">
        <v>227</v>
      </c>
      <c r="Y397" s="2" t="s">
        <v>1604</v>
      </c>
      <c r="Z397" s="4">
        <v>303</v>
      </c>
      <c r="AA397" s="4">
        <f>=ROUNDDOWN(17.8235294117647,0)</f>
      </c>
      <c r="AB397" s="5">
        <v>17</v>
      </c>
      <c r="AC397" s="2" t="s">
        <v>169</v>
      </c>
      <c r="AD397" s="4">
        <v>390</v>
      </c>
      <c r="AE397" s="4">
        <v>590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227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227</v>
      </c>
      <c r="AW397" s="8" t="s">
        <v>227</v>
      </c>
      <c r="AX397" s="4" t="s">
        <v>227</v>
      </c>
      <c r="AY397" s="8" t="s">
        <v>227</v>
      </c>
      <c r="AZ397" s="7" t="s">
        <v>227</v>
      </c>
      <c r="BA397" s="7" t="s">
        <v>227</v>
      </c>
      <c r="BB397" s="7"/>
      <c r="BC397" s="4" t="s">
        <v>227</v>
      </c>
      <c r="BD397" s="8" t="s">
        <v>227</v>
      </c>
      <c r="BE397" s="4" t="s">
        <v>227</v>
      </c>
      <c r="BF397" s="8" t="s">
        <v>227</v>
      </c>
      <c r="BG397" s="7" t="s">
        <v>227</v>
      </c>
      <c r="BH397" s="7" t="s">
        <v>227</v>
      </c>
      <c r="BI397" s="7"/>
      <c r="BJ397" s="4">
        <v>67</v>
      </c>
      <c r="BK397" s="8">
        <v>1489.1</v>
      </c>
      <c r="BL397" s="2" t="s">
        <v>1485</v>
      </c>
      <c r="BM397" s="7"/>
      <c r="BN397" s="7"/>
      <c r="BO397" s="4"/>
      <c r="BP397" s="8"/>
      <c r="BQ397" s="4"/>
      <c r="BR397" s="8"/>
      <c r="BS397" s="7"/>
      <c r="BT397" s="7"/>
      <c r="BU397" s="2" t="s">
        <v>2705</v>
      </c>
      <c r="BV397" s="2" t="s">
        <v>227</v>
      </c>
      <c r="BW397" s="2" t="s">
        <v>227</v>
      </c>
      <c r="BX397" s="2" t="s">
        <v>235</v>
      </c>
      <c r="BY397" s="2" t="s">
        <v>236</v>
      </c>
      <c r="BZ397" s="2" t="s">
        <v>224</v>
      </c>
      <c r="CA397" s="2" t="s">
        <v>1310</v>
      </c>
      <c r="CB397" s="2" t="s">
        <v>2698</v>
      </c>
      <c r="CC397" s="2" t="s">
        <v>239</v>
      </c>
      <c r="CD397" s="2" t="s">
        <v>227</v>
      </c>
      <c r="CE397" s="4">
        <v>279</v>
      </c>
      <c r="CF397" s="4"/>
      <c r="CG397" s="4"/>
      <c r="CH397" s="4"/>
      <c r="CI397" s="4"/>
      <c r="CJ397" s="4"/>
      <c r="CK397" s="4">
        <v>24</v>
      </c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>
        <v>390</v>
      </c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/>
      <c r="GI397" s="4"/>
      <c r="GJ397" s="4"/>
      <c r="GK397" s="4"/>
      <c r="GL397" s="4"/>
      <c r="GM397" s="4">
        <v>200</v>
      </c>
      <c r="GN397" s="4"/>
      <c r="GO397" s="4"/>
      <c r="GP397" s="4"/>
      <c r="GQ397" s="4"/>
      <c r="GR397" s="4"/>
      <c r="GS397" s="4"/>
      <c r="GT397" s="4"/>
      <c r="GU397" s="4"/>
      <c r="GV397" s="4"/>
      <c r="GW397" s="4"/>
      <c r="GX397" s="4"/>
    </row>
    <row r="398">
      <c r="A398" s="2" t="s">
        <v>2706</v>
      </c>
      <c r="B398" s="2" t="s">
        <v>697</v>
      </c>
      <c r="C398" s="2" t="s">
        <v>1962</v>
      </c>
      <c r="D398" s="2" t="s">
        <v>1448</v>
      </c>
      <c r="E398" s="2" t="s">
        <v>1449</v>
      </c>
      <c r="F398" s="2" t="s">
        <v>2690</v>
      </c>
      <c r="G398" s="2" t="s">
        <v>2690</v>
      </c>
      <c r="H398" s="2" t="s">
        <v>2690</v>
      </c>
      <c r="I398" s="2" t="s">
        <v>1449</v>
      </c>
      <c r="J398" s="2" t="s">
        <v>257</v>
      </c>
      <c r="K398" s="2" t="s">
        <v>2700</v>
      </c>
      <c r="L398" s="3">
        <v>22.38</v>
      </c>
      <c r="M398" s="3">
        <v>23.5</v>
      </c>
      <c r="N398" s="3">
        <v>46.99</v>
      </c>
      <c r="O398" s="2" t="s">
        <v>224</v>
      </c>
      <c r="P398" s="2" t="s">
        <v>225</v>
      </c>
      <c r="Q398" s="2" t="s">
        <v>226</v>
      </c>
      <c r="R398" s="2" t="s">
        <v>227</v>
      </c>
      <c r="S398" s="2" t="s">
        <v>2701</v>
      </c>
      <c r="T398" s="2" t="s">
        <v>993</v>
      </c>
      <c r="U398" s="2" t="s">
        <v>552</v>
      </c>
      <c r="V398" s="2" t="s">
        <v>230</v>
      </c>
      <c r="W398" s="2" t="s">
        <v>231</v>
      </c>
      <c r="X398" s="2" t="s">
        <v>227</v>
      </c>
      <c r="Y398" s="2" t="s">
        <v>1604</v>
      </c>
      <c r="Z398" s="4">
        <v>243</v>
      </c>
      <c r="AA398" s="4">
        <f>=ROUNDDOWN(27,0)</f>
      </c>
      <c r="AB398" s="5">
        <v>9</v>
      </c>
      <c r="AC398" s="2" t="s">
        <v>169</v>
      </c>
      <c r="AD398" s="4">
        <v>160</v>
      </c>
      <c r="AE398" s="4">
        <v>190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227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227</v>
      </c>
      <c r="AW398" s="8" t="s">
        <v>227</v>
      </c>
      <c r="AX398" s="4" t="s">
        <v>227</v>
      </c>
      <c r="AY398" s="8" t="s">
        <v>227</v>
      </c>
      <c r="AZ398" s="7" t="s">
        <v>227</v>
      </c>
      <c r="BA398" s="7" t="s">
        <v>227</v>
      </c>
      <c r="BB398" s="7"/>
      <c r="BC398" s="4" t="s">
        <v>227</v>
      </c>
      <c r="BD398" s="8" t="s">
        <v>227</v>
      </c>
      <c r="BE398" s="4" t="s">
        <v>227</v>
      </c>
      <c r="BF398" s="8" t="s">
        <v>227</v>
      </c>
      <c r="BG398" s="7" t="s">
        <v>227</v>
      </c>
      <c r="BH398" s="7" t="s">
        <v>227</v>
      </c>
      <c r="BI398" s="7"/>
      <c r="BJ398" s="4">
        <v>27</v>
      </c>
      <c r="BK398" s="8">
        <v>685.63</v>
      </c>
      <c r="BL398" s="2" t="s">
        <v>1485</v>
      </c>
      <c r="BM398" s="7"/>
      <c r="BN398" s="7"/>
      <c r="BO398" s="4"/>
      <c r="BP398" s="8"/>
      <c r="BQ398" s="4"/>
      <c r="BR398" s="8"/>
      <c r="BS398" s="7"/>
      <c r="BT398" s="7"/>
      <c r="BU398" s="2" t="s">
        <v>2707</v>
      </c>
      <c r="BV398" s="2" t="s">
        <v>227</v>
      </c>
      <c r="BW398" s="2" t="s">
        <v>227</v>
      </c>
      <c r="BX398" s="2" t="s">
        <v>235</v>
      </c>
      <c r="BY398" s="2" t="s">
        <v>236</v>
      </c>
      <c r="BZ398" s="2" t="s">
        <v>224</v>
      </c>
      <c r="CA398" s="2" t="s">
        <v>1310</v>
      </c>
      <c r="CB398" s="2" t="s">
        <v>2708</v>
      </c>
      <c r="CC398" s="2" t="s">
        <v>239</v>
      </c>
      <c r="CD398" s="2" t="s">
        <v>227</v>
      </c>
      <c r="CE398" s="4">
        <v>237</v>
      </c>
      <c r="CF398" s="4"/>
      <c r="CG398" s="4"/>
      <c r="CH398" s="4"/>
      <c r="CI398" s="4"/>
      <c r="CJ398" s="4"/>
      <c r="CK398" s="4">
        <v>6</v>
      </c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>
        <v>160</v>
      </c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/>
      <c r="GI398" s="4"/>
      <c r="GJ398" s="4"/>
      <c r="GK398" s="4"/>
      <c r="GL398" s="4"/>
      <c r="GM398" s="4">
        <v>30</v>
      </c>
      <c r="GN398" s="4"/>
      <c r="GO398" s="4"/>
      <c r="GP398" s="4"/>
      <c r="GQ398" s="4"/>
      <c r="GR398" s="4"/>
      <c r="GS398" s="4"/>
      <c r="GT398" s="4"/>
      <c r="GU398" s="4"/>
      <c r="GV398" s="4"/>
      <c r="GW398" s="4"/>
      <c r="GX398" s="4"/>
    </row>
    <row r="399">
      <c r="A399" s="2" t="s">
        <v>2709</v>
      </c>
      <c r="B399" s="2" t="s">
        <v>697</v>
      </c>
      <c r="C399" s="2" t="s">
        <v>1962</v>
      </c>
      <c r="D399" s="2" t="s">
        <v>1448</v>
      </c>
      <c r="E399" s="2" t="s">
        <v>1449</v>
      </c>
      <c r="F399" s="2" t="s">
        <v>2690</v>
      </c>
      <c r="G399" s="2" t="s">
        <v>2690</v>
      </c>
      <c r="H399" s="2" t="s">
        <v>2690</v>
      </c>
      <c r="I399" s="2" t="s">
        <v>1449</v>
      </c>
      <c r="J399" s="2" t="s">
        <v>222</v>
      </c>
      <c r="K399" s="2" t="s">
        <v>264</v>
      </c>
      <c r="L399" s="3">
        <v>16.56</v>
      </c>
      <c r="M399" s="3">
        <v>17.39</v>
      </c>
      <c r="N399" s="3">
        <v>36.99</v>
      </c>
      <c r="O399" s="2" t="s">
        <v>224</v>
      </c>
      <c r="P399" s="2" t="s">
        <v>225</v>
      </c>
      <c r="Q399" s="2" t="s">
        <v>226</v>
      </c>
      <c r="R399" s="2" t="s">
        <v>227</v>
      </c>
      <c r="S399" s="2" t="s">
        <v>2710</v>
      </c>
      <c r="T399" s="2" t="s">
        <v>993</v>
      </c>
      <c r="U399" s="2" t="s">
        <v>552</v>
      </c>
      <c r="V399" s="2" t="s">
        <v>230</v>
      </c>
      <c r="W399" s="2" t="s">
        <v>231</v>
      </c>
      <c r="X399" s="2" t="s">
        <v>227</v>
      </c>
      <c r="Y399" s="2" t="s">
        <v>2711</v>
      </c>
      <c r="Z399" s="4">
        <v>167</v>
      </c>
      <c r="AA399" s="4">
        <f>=ROUNDDOWN(33.4,0)</f>
      </c>
      <c r="AB399" s="5">
        <v>5</v>
      </c>
      <c r="AC399" s="2" t="s">
        <v>167</v>
      </c>
      <c r="AD399" s="4">
        <v>80</v>
      </c>
      <c r="AE399" s="4">
        <v>160</v>
      </c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227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227</v>
      </c>
      <c r="AW399" s="8" t="s">
        <v>227</v>
      </c>
      <c r="AX399" s="4" t="s">
        <v>227</v>
      </c>
      <c r="AY399" s="8" t="s">
        <v>227</v>
      </c>
      <c r="AZ399" s="7" t="s">
        <v>227</v>
      </c>
      <c r="BA399" s="7" t="s">
        <v>227</v>
      </c>
      <c r="BB399" s="7"/>
      <c r="BC399" s="4" t="s">
        <v>227</v>
      </c>
      <c r="BD399" s="8" t="s">
        <v>227</v>
      </c>
      <c r="BE399" s="4" t="s">
        <v>227</v>
      </c>
      <c r="BF399" s="8" t="s">
        <v>227</v>
      </c>
      <c r="BG399" s="7" t="s">
        <v>227</v>
      </c>
      <c r="BH399" s="7" t="s">
        <v>227</v>
      </c>
      <c r="BI399" s="7"/>
      <c r="BJ399" s="4">
        <v>12</v>
      </c>
      <c r="BK399" s="8">
        <v>226.66</v>
      </c>
      <c r="BL399" s="2" t="s">
        <v>2339</v>
      </c>
      <c r="BM399" s="7"/>
      <c r="BN399" s="7"/>
      <c r="BO399" s="4"/>
      <c r="BP399" s="8"/>
      <c r="BQ399" s="4"/>
      <c r="BR399" s="8"/>
      <c r="BS399" s="7"/>
      <c r="BT399" s="7"/>
      <c r="BU399" s="2" t="s">
        <v>2712</v>
      </c>
      <c r="BV399" s="2" t="s">
        <v>227</v>
      </c>
      <c r="BW399" s="2" t="s">
        <v>227</v>
      </c>
      <c r="BX399" s="2" t="s">
        <v>235</v>
      </c>
      <c r="BY399" s="2" t="s">
        <v>236</v>
      </c>
      <c r="BZ399" s="2" t="s">
        <v>224</v>
      </c>
      <c r="CA399" s="2" t="s">
        <v>1310</v>
      </c>
      <c r="CB399" s="2" t="s">
        <v>227</v>
      </c>
      <c r="CC399" s="2" t="s">
        <v>239</v>
      </c>
      <c r="CD399" s="2" t="s">
        <v>227</v>
      </c>
      <c r="CE399" s="4">
        <v>167</v>
      </c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>
        <v>80</v>
      </c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/>
      <c r="FS399" s="4"/>
      <c r="FT399" s="4"/>
      <c r="FU399" s="4"/>
      <c r="FV399" s="4"/>
      <c r="FW399" s="4">
        <v>80</v>
      </c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4"/>
      <c r="GR399" s="4"/>
      <c r="GS399" s="4"/>
      <c r="GT399" s="4"/>
      <c r="GU399" s="4"/>
      <c r="GV399" s="4"/>
      <c r="GW399" s="4"/>
      <c r="GX399" s="4"/>
    </row>
    <row r="400">
      <c r="A400" s="2" t="s">
        <v>2713</v>
      </c>
      <c r="B400" s="2" t="s">
        <v>697</v>
      </c>
      <c r="C400" s="2" t="s">
        <v>1962</v>
      </c>
      <c r="D400" s="2" t="s">
        <v>1448</v>
      </c>
      <c r="E400" s="2" t="s">
        <v>1449</v>
      </c>
      <c r="F400" s="2" t="s">
        <v>2690</v>
      </c>
      <c r="G400" s="2" t="s">
        <v>2690</v>
      </c>
      <c r="H400" s="2" t="s">
        <v>2690</v>
      </c>
      <c r="I400" s="2" t="s">
        <v>1449</v>
      </c>
      <c r="J400" s="2" t="s">
        <v>626</v>
      </c>
      <c r="K400" s="2" t="s">
        <v>264</v>
      </c>
      <c r="L400" s="3">
        <v>19.6</v>
      </c>
      <c r="M400" s="3">
        <v>20.58</v>
      </c>
      <c r="N400" s="3">
        <v>41.99</v>
      </c>
      <c r="O400" s="2" t="s">
        <v>224</v>
      </c>
      <c r="P400" s="2" t="s">
        <v>225</v>
      </c>
      <c r="Q400" s="2" t="s">
        <v>226</v>
      </c>
      <c r="R400" s="2" t="s">
        <v>227</v>
      </c>
      <c r="S400" s="2" t="s">
        <v>2710</v>
      </c>
      <c r="T400" s="2" t="s">
        <v>993</v>
      </c>
      <c r="U400" s="2" t="s">
        <v>552</v>
      </c>
      <c r="V400" s="2" t="s">
        <v>230</v>
      </c>
      <c r="W400" s="2" t="s">
        <v>231</v>
      </c>
      <c r="X400" s="2" t="s">
        <v>227</v>
      </c>
      <c r="Y400" s="2" t="s">
        <v>2711</v>
      </c>
      <c r="Z400" s="4">
        <v>238</v>
      </c>
      <c r="AA400" s="4">
        <f>=ROUNDDOWN(21.6363636363636,0)</f>
      </c>
      <c r="AB400" s="5">
        <v>11</v>
      </c>
      <c r="AC400" s="2" t="s">
        <v>167</v>
      </c>
      <c r="AD400" s="4">
        <v>170</v>
      </c>
      <c r="AE400" s="4">
        <v>370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227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227</v>
      </c>
      <c r="AW400" s="8" t="s">
        <v>227</v>
      </c>
      <c r="AX400" s="4" t="s">
        <v>227</v>
      </c>
      <c r="AY400" s="8" t="s">
        <v>227</v>
      </c>
      <c r="AZ400" s="7" t="s">
        <v>227</v>
      </c>
      <c r="BA400" s="7" t="s">
        <v>227</v>
      </c>
      <c r="BB400" s="7"/>
      <c r="BC400" s="4" t="s">
        <v>227</v>
      </c>
      <c r="BD400" s="8" t="s">
        <v>227</v>
      </c>
      <c r="BE400" s="4" t="s">
        <v>227</v>
      </c>
      <c r="BF400" s="8" t="s">
        <v>227</v>
      </c>
      <c r="BG400" s="7" t="s">
        <v>227</v>
      </c>
      <c r="BH400" s="7" t="s">
        <v>227</v>
      </c>
      <c r="BI400" s="7"/>
      <c r="BJ400" s="4">
        <v>38</v>
      </c>
      <c r="BK400" s="8">
        <v>843.5</v>
      </c>
      <c r="BL400" s="2" t="s">
        <v>1485</v>
      </c>
      <c r="BM400" s="7"/>
      <c r="BN400" s="7"/>
      <c r="BO400" s="4"/>
      <c r="BP400" s="8"/>
      <c r="BQ400" s="4"/>
      <c r="BR400" s="8"/>
      <c r="BS400" s="7"/>
      <c r="BT400" s="7"/>
      <c r="BU400" s="2" t="s">
        <v>2714</v>
      </c>
      <c r="BV400" s="2" t="s">
        <v>227</v>
      </c>
      <c r="BW400" s="2" t="s">
        <v>227</v>
      </c>
      <c r="BX400" s="2" t="s">
        <v>235</v>
      </c>
      <c r="BY400" s="2" t="s">
        <v>236</v>
      </c>
      <c r="BZ400" s="2" t="s">
        <v>224</v>
      </c>
      <c r="CA400" s="2" t="s">
        <v>1310</v>
      </c>
      <c r="CB400" s="2" t="s">
        <v>227</v>
      </c>
      <c r="CC400" s="2" t="s">
        <v>239</v>
      </c>
      <c r="CD400" s="2" t="s">
        <v>227</v>
      </c>
      <c r="CE400" s="4">
        <v>238</v>
      </c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>
        <v>170</v>
      </c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/>
      <c r="FU400" s="4"/>
      <c r="FV400" s="4"/>
      <c r="FW400" s="4">
        <v>200</v>
      </c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4"/>
      <c r="GR400" s="4"/>
      <c r="GS400" s="4"/>
      <c r="GT400" s="4"/>
      <c r="GU400" s="4"/>
      <c r="GV400" s="4"/>
      <c r="GW400" s="4"/>
      <c r="GX400" s="4"/>
    </row>
    <row r="401">
      <c r="A401" s="2" t="s">
        <v>2715</v>
      </c>
      <c r="B401" s="2" t="s">
        <v>542</v>
      </c>
      <c r="C401" s="2" t="s">
        <v>668</v>
      </c>
      <c r="D401" s="2" t="s">
        <v>544</v>
      </c>
      <c r="E401" s="2" t="s">
        <v>545</v>
      </c>
      <c r="F401" s="2" t="s">
        <v>2716</v>
      </c>
      <c r="G401" s="2" t="s">
        <v>2716</v>
      </c>
      <c r="H401" s="2" t="s">
        <v>2716</v>
      </c>
      <c r="I401" s="2" t="s">
        <v>2717</v>
      </c>
      <c r="J401" s="2" t="s">
        <v>548</v>
      </c>
      <c r="K401" s="2" t="s">
        <v>2718</v>
      </c>
      <c r="L401" s="3">
        <v>50</v>
      </c>
      <c r="M401" s="3">
        <v>52.5</v>
      </c>
      <c r="N401" s="3">
        <v>104.99</v>
      </c>
      <c r="O401" s="2" t="s">
        <v>224</v>
      </c>
      <c r="P401" s="2" t="s">
        <v>225</v>
      </c>
      <c r="Q401" s="2" t="s">
        <v>226</v>
      </c>
      <c r="R401" s="2" t="s">
        <v>227</v>
      </c>
      <c r="S401" s="2" t="s">
        <v>227</v>
      </c>
      <c r="T401" s="2" t="s">
        <v>227</v>
      </c>
      <c r="U401" s="2" t="s">
        <v>1044</v>
      </c>
      <c r="V401" s="2" t="s">
        <v>566</v>
      </c>
      <c r="W401" s="2" t="s">
        <v>836</v>
      </c>
      <c r="X401" s="2" t="s">
        <v>227</v>
      </c>
      <c r="Y401" s="2" t="s">
        <v>1161</v>
      </c>
      <c r="Z401" s="4">
        <v>33</v>
      </c>
      <c r="AA401" s="4">
        <f>=ROUNDDOWN(11,0)</f>
      </c>
      <c r="AB401" s="5">
        <v>3</v>
      </c>
      <c r="AC401" s="2" t="s">
        <v>227</v>
      </c>
      <c r="AD401" s="4"/>
      <c r="AE401" s="4"/>
      <c r="AF401" s="6">
        <v>63</v>
      </c>
      <c r="AG401" s="6"/>
      <c r="AH401" s="7">
        <v>1</v>
      </c>
      <c r="AI401" s="4"/>
      <c r="AJ401" s="4">
        <f>=ROUNDDOWN({0},0)</f>
      </c>
      <c r="AK401" s="5"/>
      <c r="AL401" s="2" t="s">
        <v>227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/>
      <c r="AW401" s="8"/>
      <c r="AX401" s="4"/>
      <c r="AY401" s="8"/>
      <c r="AZ401" s="7"/>
      <c r="BA401" s="7"/>
      <c r="BB401" s="7"/>
      <c r="BC401" s="4"/>
      <c r="BD401" s="8"/>
      <c r="BE401" s="4"/>
      <c r="BF401" s="8"/>
      <c r="BG401" s="7"/>
      <c r="BH401" s="7"/>
      <c r="BI401" s="7"/>
      <c r="BJ401" s="4">
        <v>19</v>
      </c>
      <c r="BK401" s="8">
        <v>1059.65</v>
      </c>
      <c r="BL401" s="2" t="s">
        <v>2719</v>
      </c>
      <c r="BM401" s="7"/>
      <c r="BN401" s="7"/>
      <c r="BO401" s="4"/>
      <c r="BP401" s="8"/>
      <c r="BQ401" s="4"/>
      <c r="BR401" s="8"/>
      <c r="BS401" s="7"/>
      <c r="BT401" s="7"/>
      <c r="BU401" s="2" t="s">
        <v>2720</v>
      </c>
      <c r="BV401" s="2" t="s">
        <v>227</v>
      </c>
      <c r="BW401" s="2" t="s">
        <v>227</v>
      </c>
      <c r="BX401" s="2" t="s">
        <v>235</v>
      </c>
      <c r="BY401" s="2" t="s">
        <v>236</v>
      </c>
      <c r="BZ401" s="2" t="s">
        <v>224</v>
      </c>
      <c r="CA401" s="2" t="s">
        <v>1157</v>
      </c>
      <c r="CB401" s="2" t="s">
        <v>1919</v>
      </c>
      <c r="CC401" s="2" t="s">
        <v>239</v>
      </c>
      <c r="CD401" s="2" t="s">
        <v>227</v>
      </c>
      <c r="CE401" s="4"/>
      <c r="CF401" s="4">
        <v>33</v>
      </c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/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  <c r="GT401" s="4"/>
      <c r="GU401" s="4"/>
      <c r="GV401" s="4"/>
      <c r="GW401" s="4"/>
      <c r="GX401" s="4"/>
    </row>
    <row r="402">
      <c r="A402" s="2" t="s">
        <v>2721</v>
      </c>
      <c r="B402" s="2" t="s">
        <v>573</v>
      </c>
      <c r="C402" s="2" t="s">
        <v>360</v>
      </c>
      <c r="D402" s="2" t="s">
        <v>2722</v>
      </c>
      <c r="E402" s="2" t="s">
        <v>2723</v>
      </c>
      <c r="F402" s="2" t="s">
        <v>2724</v>
      </c>
      <c r="G402" s="2" t="s">
        <v>2725</v>
      </c>
      <c r="H402" s="2" t="s">
        <v>2726</v>
      </c>
      <c r="I402" s="2" t="s">
        <v>2727</v>
      </c>
      <c r="J402" s="2" t="s">
        <v>548</v>
      </c>
      <c r="K402" s="2" t="s">
        <v>2728</v>
      </c>
      <c r="L402" s="3">
        <v>234</v>
      </c>
      <c r="M402" s="3">
        <v>245.7</v>
      </c>
      <c r="N402" s="3">
        <v>499</v>
      </c>
      <c r="O402" s="2" t="s">
        <v>224</v>
      </c>
      <c r="P402" s="2" t="s">
        <v>550</v>
      </c>
      <c r="Q402" s="2" t="s">
        <v>226</v>
      </c>
      <c r="R402" s="2" t="s">
        <v>227</v>
      </c>
      <c r="S402" s="2" t="s">
        <v>2729</v>
      </c>
      <c r="T402" s="2" t="s">
        <v>227</v>
      </c>
      <c r="U402" s="2" t="s">
        <v>552</v>
      </c>
      <c r="V402" s="2" t="s">
        <v>230</v>
      </c>
      <c r="W402" s="2" t="s">
        <v>676</v>
      </c>
      <c r="X402" s="2" t="s">
        <v>227</v>
      </c>
      <c r="Y402" s="2" t="s">
        <v>232</v>
      </c>
      <c r="Z402" s="4">
        <v>118</v>
      </c>
      <c r="AA402" s="4">
        <f>=ROUNDDOWN(20,0)</f>
      </c>
      <c r="AB402" s="5">
        <v>5.9</v>
      </c>
      <c r="AC402" s="2" t="s">
        <v>207</v>
      </c>
      <c r="AD402" s="4">
        <v>95</v>
      </c>
      <c r="AE402" s="4">
        <v>95</v>
      </c>
      <c r="AF402" s="6">
        <v>66</v>
      </c>
      <c r="AG402" s="6">
        <v>49</v>
      </c>
      <c r="AH402" s="7">
        <v>1</v>
      </c>
      <c r="AI402" s="4"/>
      <c r="AJ402" s="4">
        <f>=ROUNDDOWN({0},0)</f>
      </c>
      <c r="AK402" s="5">
        <v>16.1</v>
      </c>
      <c r="AL402" s="2" t="s">
        <v>227</v>
      </c>
      <c r="AM402" s="4"/>
      <c r="AN402" s="4"/>
      <c r="AO402" s="7">
        <v>0.5484</v>
      </c>
      <c r="AP402" s="4"/>
      <c r="AQ402" s="8"/>
      <c r="AR402" s="4"/>
      <c r="AS402" s="8"/>
      <c r="AT402" s="7"/>
      <c r="AU402" s="7"/>
      <c r="AV402" s="4"/>
      <c r="AW402" s="8"/>
      <c r="AX402" s="4"/>
      <c r="AY402" s="8"/>
      <c r="AZ402" s="7"/>
      <c r="BA402" s="7"/>
      <c r="BB402" s="7"/>
      <c r="BC402" s="4"/>
      <c r="BD402" s="8"/>
      <c r="BE402" s="4"/>
      <c r="BF402" s="8"/>
      <c r="BG402" s="7"/>
      <c r="BH402" s="7"/>
      <c r="BI402" s="7"/>
      <c r="BJ402" s="4">
        <v>57</v>
      </c>
      <c r="BK402" s="8">
        <v>13014.09</v>
      </c>
      <c r="BL402" s="2" t="s">
        <v>2730</v>
      </c>
      <c r="BM402" s="7"/>
      <c r="BN402" s="7"/>
      <c r="BO402" s="4"/>
      <c r="BP402" s="8"/>
      <c r="BQ402" s="4"/>
      <c r="BR402" s="8"/>
      <c r="BS402" s="7"/>
      <c r="BT402" s="7"/>
      <c r="BU402" s="2" t="s">
        <v>2731</v>
      </c>
      <c r="BV402" s="2" t="s">
        <v>227</v>
      </c>
      <c r="BW402" s="2" t="s">
        <v>227</v>
      </c>
      <c r="BX402" s="2" t="s">
        <v>235</v>
      </c>
      <c r="BY402" s="2" t="s">
        <v>236</v>
      </c>
      <c r="BZ402" s="2" t="s">
        <v>224</v>
      </c>
      <c r="CA402" s="2" t="s">
        <v>2732</v>
      </c>
      <c r="CB402" s="2" t="s">
        <v>1132</v>
      </c>
      <c r="CC402" s="2" t="s">
        <v>239</v>
      </c>
      <c r="CD402" s="2" t="s">
        <v>227</v>
      </c>
      <c r="CE402" s="4"/>
      <c r="CF402" s="4">
        <v>118</v>
      </c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/>
      <c r="GI402" s="4"/>
      <c r="GJ402" s="4"/>
      <c r="GK402" s="4"/>
      <c r="GL402" s="4"/>
      <c r="GM402" s="4"/>
      <c r="GN402" s="4"/>
      <c r="GO402" s="4"/>
      <c r="GP402" s="4"/>
      <c r="GQ402" s="4">
        <v>95</v>
      </c>
      <c r="GR402" s="4"/>
      <c r="GS402" s="4"/>
      <c r="GT402" s="4"/>
      <c r="GU402" s="4"/>
      <c r="GV402" s="4"/>
      <c r="GW402" s="4"/>
      <c r="GX402" s="4"/>
    </row>
    <row r="403">
      <c r="A403" s="2" t="s">
        <v>2733</v>
      </c>
      <c r="B403" s="2" t="s">
        <v>697</v>
      </c>
      <c r="C403" s="2" t="s">
        <v>360</v>
      </c>
      <c r="D403" s="2" t="s">
        <v>868</v>
      </c>
      <c r="E403" s="2" t="s">
        <v>1334</v>
      </c>
      <c r="F403" s="2" t="s">
        <v>2734</v>
      </c>
      <c r="G403" s="2" t="s">
        <v>2735</v>
      </c>
      <c r="H403" s="2" t="s">
        <v>2735</v>
      </c>
      <c r="I403" s="2" t="s">
        <v>2736</v>
      </c>
      <c r="J403" s="2" t="s">
        <v>873</v>
      </c>
      <c r="K403" s="2" t="s">
        <v>976</v>
      </c>
      <c r="L403" s="3">
        <v>14.72</v>
      </c>
      <c r="M403" s="3">
        <v>15.46</v>
      </c>
      <c r="N403" s="3">
        <v>31.99</v>
      </c>
      <c r="O403" s="2" t="s">
        <v>224</v>
      </c>
      <c r="P403" s="2" t="s">
        <v>485</v>
      </c>
      <c r="Q403" s="2" t="s">
        <v>226</v>
      </c>
      <c r="R403" s="2" t="s">
        <v>227</v>
      </c>
      <c r="S403" s="2" t="s">
        <v>2737</v>
      </c>
      <c r="T403" s="2" t="s">
        <v>876</v>
      </c>
      <c r="U403" s="2" t="s">
        <v>552</v>
      </c>
      <c r="V403" s="2" t="s">
        <v>230</v>
      </c>
      <c r="W403" s="2" t="s">
        <v>487</v>
      </c>
      <c r="X403" s="2" t="s">
        <v>227</v>
      </c>
      <c r="Y403" s="2" t="s">
        <v>232</v>
      </c>
      <c r="Z403" s="4">
        <v>1823</v>
      </c>
      <c r="AA403" s="4">
        <f>=ROUNDDOWN(47.9736842105263,0)</f>
      </c>
      <c r="AB403" s="5">
        <v>38</v>
      </c>
      <c r="AC403" s="2" t="s">
        <v>169</v>
      </c>
      <c r="AD403" s="4">
        <v>1000</v>
      </c>
      <c r="AE403" s="4">
        <v>1930</v>
      </c>
      <c r="AF403" s="6">
        <v>64</v>
      </c>
      <c r="AG403" s="6"/>
      <c r="AH403" s="7">
        <v>1</v>
      </c>
      <c r="AI403" s="4"/>
      <c r="AJ403" s="4">
        <f>=ROUNDDOWN({0},0)</f>
      </c>
      <c r="AK403" s="5"/>
      <c r="AL403" s="2" t="s">
        <v>227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 t="s">
        <v>227</v>
      </c>
      <c r="BD403" s="8" t="s">
        <v>227</v>
      </c>
      <c r="BE403" s="4" t="s">
        <v>227</v>
      </c>
      <c r="BF403" s="8" t="s">
        <v>227</v>
      </c>
      <c r="BG403" s="7" t="s">
        <v>227</v>
      </c>
      <c r="BH403" s="7" t="s">
        <v>227</v>
      </c>
      <c r="BI403" s="7"/>
      <c r="BJ403" s="4">
        <v>132</v>
      </c>
      <c r="BK403" s="8">
        <v>1978.35</v>
      </c>
      <c r="BL403" s="2" t="s">
        <v>2738</v>
      </c>
      <c r="BM403" s="7"/>
      <c r="BN403" s="7"/>
      <c r="BO403" s="4"/>
      <c r="BP403" s="8"/>
      <c r="BQ403" s="4"/>
      <c r="BR403" s="8"/>
      <c r="BS403" s="7"/>
      <c r="BT403" s="7"/>
      <c r="BU403" s="2" t="s">
        <v>2739</v>
      </c>
      <c r="BV403" s="2" t="s">
        <v>227</v>
      </c>
      <c r="BW403" s="2" t="s">
        <v>227</v>
      </c>
      <c r="BX403" s="2" t="s">
        <v>235</v>
      </c>
      <c r="BY403" s="2" t="s">
        <v>236</v>
      </c>
      <c r="BZ403" s="2" t="s">
        <v>224</v>
      </c>
      <c r="CA403" s="2" t="s">
        <v>237</v>
      </c>
      <c r="CB403" s="2" t="s">
        <v>981</v>
      </c>
      <c r="CC403" s="2" t="s">
        <v>239</v>
      </c>
      <c r="CD403" s="2" t="s">
        <v>227</v>
      </c>
      <c r="CE403" s="4">
        <v>1823</v>
      </c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>
        <v>1000</v>
      </c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/>
      <c r="GI403" s="4">
        <v>700</v>
      </c>
      <c r="GJ403" s="4"/>
      <c r="GK403" s="4"/>
      <c r="GL403" s="4"/>
      <c r="GM403" s="4"/>
      <c r="GN403" s="4"/>
      <c r="GO403" s="4"/>
      <c r="GP403" s="4"/>
      <c r="GQ403" s="4"/>
      <c r="GR403" s="4"/>
      <c r="GS403" s="4"/>
      <c r="GT403" s="4"/>
      <c r="GU403" s="4"/>
      <c r="GV403" s="4"/>
      <c r="GW403" s="4">
        <v>230</v>
      </c>
      <c r="GX403" s="4"/>
    </row>
    <row r="404">
      <c r="A404" s="2" t="s">
        <v>2740</v>
      </c>
      <c r="B404" s="2" t="s">
        <v>697</v>
      </c>
      <c r="C404" s="2" t="s">
        <v>360</v>
      </c>
      <c r="D404" s="2" t="s">
        <v>868</v>
      </c>
      <c r="E404" s="2" t="s">
        <v>1334</v>
      </c>
      <c r="F404" s="2" t="s">
        <v>2734</v>
      </c>
      <c r="G404" s="2" t="s">
        <v>2735</v>
      </c>
      <c r="H404" s="2" t="s">
        <v>2735</v>
      </c>
      <c r="I404" s="2" t="s">
        <v>2736</v>
      </c>
      <c r="J404" s="2" t="s">
        <v>873</v>
      </c>
      <c r="K404" s="2" t="s">
        <v>223</v>
      </c>
      <c r="L404" s="3">
        <v>14.72</v>
      </c>
      <c r="M404" s="3">
        <v>15.46</v>
      </c>
      <c r="N404" s="3">
        <v>31.99</v>
      </c>
      <c r="O404" s="2" t="s">
        <v>224</v>
      </c>
      <c r="P404" s="2" t="s">
        <v>225</v>
      </c>
      <c r="Q404" s="2" t="s">
        <v>226</v>
      </c>
      <c r="R404" s="2" t="s">
        <v>227</v>
      </c>
      <c r="S404" s="2" t="s">
        <v>2741</v>
      </c>
      <c r="T404" s="2" t="s">
        <v>876</v>
      </c>
      <c r="U404" s="2" t="s">
        <v>552</v>
      </c>
      <c r="V404" s="2" t="s">
        <v>230</v>
      </c>
      <c r="W404" s="2" t="s">
        <v>487</v>
      </c>
      <c r="X404" s="2" t="s">
        <v>227</v>
      </c>
      <c r="Y404" s="2" t="s">
        <v>2742</v>
      </c>
      <c r="Z404" s="4">
        <v>1427</v>
      </c>
      <c r="AA404" s="4">
        <f>=ROUNDDOWN(39.6388888888889,0)</f>
      </c>
      <c r="AB404" s="5">
        <v>36</v>
      </c>
      <c r="AC404" s="2" t="s">
        <v>164</v>
      </c>
      <c r="AD404" s="4">
        <v>480</v>
      </c>
      <c r="AE404" s="4">
        <v>1950</v>
      </c>
      <c r="AF404" s="6">
        <v>64</v>
      </c>
      <c r="AG404" s="6"/>
      <c r="AH404" s="7">
        <v>1</v>
      </c>
      <c r="AI404" s="4"/>
      <c r="AJ404" s="4">
        <f>=ROUNDDOWN({0},0)</f>
      </c>
      <c r="AK404" s="5"/>
      <c r="AL404" s="2" t="s">
        <v>227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 t="s">
        <v>227</v>
      </c>
      <c r="BD404" s="8" t="s">
        <v>227</v>
      </c>
      <c r="BE404" s="4" t="s">
        <v>227</v>
      </c>
      <c r="BF404" s="8" t="s">
        <v>227</v>
      </c>
      <c r="BG404" s="7" t="s">
        <v>227</v>
      </c>
      <c r="BH404" s="7" t="s">
        <v>227</v>
      </c>
      <c r="BI404" s="7"/>
      <c r="BJ404" s="4">
        <v>185</v>
      </c>
      <c r="BK404" s="8">
        <v>2750.91</v>
      </c>
      <c r="BL404" s="2" t="s">
        <v>2743</v>
      </c>
      <c r="BM404" s="7"/>
      <c r="BN404" s="7"/>
      <c r="BO404" s="4"/>
      <c r="BP404" s="8"/>
      <c r="BQ404" s="4"/>
      <c r="BR404" s="8"/>
      <c r="BS404" s="7"/>
      <c r="BT404" s="7"/>
      <c r="BU404" s="2" t="s">
        <v>2744</v>
      </c>
      <c r="BV404" s="2" t="s">
        <v>227</v>
      </c>
      <c r="BW404" s="2" t="s">
        <v>227</v>
      </c>
      <c r="BX404" s="2" t="s">
        <v>235</v>
      </c>
      <c r="BY404" s="2" t="s">
        <v>236</v>
      </c>
      <c r="BZ404" s="2" t="s">
        <v>224</v>
      </c>
      <c r="CA404" s="2" t="s">
        <v>2745</v>
      </c>
      <c r="CB404" s="2" t="s">
        <v>2746</v>
      </c>
      <c r="CC404" s="2" t="s">
        <v>239</v>
      </c>
      <c r="CD404" s="2" t="s">
        <v>227</v>
      </c>
      <c r="CE404" s="4">
        <v>1427</v>
      </c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>
        <v>480</v>
      </c>
      <c r="FA404" s="4"/>
      <c r="FB404" s="4"/>
      <c r="FC404" s="4"/>
      <c r="FD404" s="4"/>
      <c r="FE404" s="4">
        <v>500</v>
      </c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>
        <v>600</v>
      </c>
      <c r="GC404" s="4"/>
      <c r="GD404" s="4"/>
      <c r="GE404" s="4"/>
      <c r="GF404" s="4"/>
      <c r="GG404" s="4"/>
      <c r="GH404" s="4"/>
      <c r="GI404" s="4"/>
      <c r="GJ404" s="4"/>
      <c r="GK404" s="4"/>
      <c r="GL404" s="4"/>
      <c r="GM404" s="4"/>
      <c r="GN404" s="4"/>
      <c r="GO404" s="4"/>
      <c r="GP404" s="4"/>
      <c r="GQ404" s="4"/>
      <c r="GR404" s="4"/>
      <c r="GS404" s="4"/>
      <c r="GT404" s="4"/>
      <c r="GU404" s="4"/>
      <c r="GV404" s="4"/>
      <c r="GW404" s="4">
        <v>370</v>
      </c>
      <c r="GX404" s="4"/>
    </row>
    <row r="405">
      <c r="A405" s="2" t="s">
        <v>2747</v>
      </c>
      <c r="B405" s="2" t="s">
        <v>697</v>
      </c>
      <c r="C405" s="2" t="s">
        <v>360</v>
      </c>
      <c r="D405" s="2" t="s">
        <v>1027</v>
      </c>
      <c r="E405" s="2" t="s">
        <v>2748</v>
      </c>
      <c r="F405" s="2" t="s">
        <v>2734</v>
      </c>
      <c r="G405" s="2" t="s">
        <v>2735</v>
      </c>
      <c r="H405" s="2" t="s">
        <v>2735</v>
      </c>
      <c r="I405" s="2" t="s">
        <v>2749</v>
      </c>
      <c r="J405" s="2" t="s">
        <v>1434</v>
      </c>
      <c r="K405" s="2" t="s">
        <v>1428</v>
      </c>
      <c r="L405" s="3">
        <v>14.86</v>
      </c>
      <c r="M405" s="3">
        <v>15.6</v>
      </c>
      <c r="N405" s="3">
        <v>34.99</v>
      </c>
      <c r="O405" s="2" t="s">
        <v>224</v>
      </c>
      <c r="P405" s="2" t="s">
        <v>485</v>
      </c>
      <c r="Q405" s="2" t="s">
        <v>226</v>
      </c>
      <c r="R405" s="2" t="s">
        <v>227</v>
      </c>
      <c r="S405" s="2" t="s">
        <v>2750</v>
      </c>
      <c r="T405" s="2" t="s">
        <v>876</v>
      </c>
      <c r="U405" s="2" t="s">
        <v>227</v>
      </c>
      <c r="V405" s="2" t="s">
        <v>230</v>
      </c>
      <c r="W405" s="2" t="s">
        <v>487</v>
      </c>
      <c r="X405" s="2" t="s">
        <v>227</v>
      </c>
      <c r="Y405" s="2" t="s">
        <v>232</v>
      </c>
      <c r="Z405" s="4">
        <v>1521</v>
      </c>
      <c r="AA405" s="4">
        <f>=ROUNDDOWN(40.0263157894737,0)</f>
      </c>
      <c r="AB405" s="5">
        <v>38</v>
      </c>
      <c r="AC405" s="2" t="s">
        <v>203</v>
      </c>
      <c r="AD405" s="4">
        <v>800</v>
      </c>
      <c r="AE405" s="4">
        <v>800</v>
      </c>
      <c r="AF405" s="6">
        <v>64</v>
      </c>
      <c r="AG405" s="6"/>
      <c r="AH405" s="7">
        <v>1</v>
      </c>
      <c r="AI405" s="4"/>
      <c r="AJ405" s="4">
        <f>=ROUNDDOWN({0},0)</f>
      </c>
      <c r="AK405" s="5"/>
      <c r="AL405" s="2" t="s">
        <v>227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227</v>
      </c>
      <c r="AW405" s="8" t="s">
        <v>227</v>
      </c>
      <c r="AX405" s="4" t="s">
        <v>227</v>
      </c>
      <c r="AY405" s="8" t="s">
        <v>227</v>
      </c>
      <c r="AZ405" s="7" t="s">
        <v>227</v>
      </c>
      <c r="BA405" s="7" t="s">
        <v>227</v>
      </c>
      <c r="BB405" s="7"/>
      <c r="BC405" s="4" t="s">
        <v>227</v>
      </c>
      <c r="BD405" s="8" t="s">
        <v>227</v>
      </c>
      <c r="BE405" s="4" t="s">
        <v>227</v>
      </c>
      <c r="BF405" s="8" t="s">
        <v>227</v>
      </c>
      <c r="BG405" s="7" t="s">
        <v>227</v>
      </c>
      <c r="BH405" s="7" t="s">
        <v>227</v>
      </c>
      <c r="BI405" s="7"/>
      <c r="BJ405" s="4">
        <v>203</v>
      </c>
      <c r="BK405" s="8">
        <v>3077.23</v>
      </c>
      <c r="BL405" s="2" t="s">
        <v>2751</v>
      </c>
      <c r="BM405" s="7"/>
      <c r="BN405" s="7"/>
      <c r="BO405" s="4"/>
      <c r="BP405" s="8"/>
      <c r="BQ405" s="4"/>
      <c r="BR405" s="8"/>
      <c r="BS405" s="7"/>
      <c r="BT405" s="7"/>
      <c r="BU405" s="2" t="s">
        <v>2752</v>
      </c>
      <c r="BV405" s="2" t="s">
        <v>227</v>
      </c>
      <c r="BW405" s="2" t="s">
        <v>227</v>
      </c>
      <c r="BX405" s="2" t="s">
        <v>235</v>
      </c>
      <c r="BY405" s="2" t="s">
        <v>236</v>
      </c>
      <c r="BZ405" s="2" t="s">
        <v>224</v>
      </c>
      <c r="CA405" s="2" t="s">
        <v>237</v>
      </c>
      <c r="CB405" s="2" t="s">
        <v>2753</v>
      </c>
      <c r="CC405" s="2" t="s">
        <v>239</v>
      </c>
      <c r="CD405" s="2" t="s">
        <v>227</v>
      </c>
      <c r="CE405" s="4">
        <v>1521</v>
      </c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/>
      <c r="GI405" s="4"/>
      <c r="GJ405" s="4"/>
      <c r="GK405" s="4"/>
      <c r="GL405" s="4"/>
      <c r="GM405" s="4">
        <v>800</v>
      </c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/>
    </row>
    <row r="406">
      <c r="A406" s="2" t="s">
        <v>2754</v>
      </c>
      <c r="B406" s="2" t="s">
        <v>697</v>
      </c>
      <c r="C406" s="2" t="s">
        <v>360</v>
      </c>
      <c r="D406" s="2" t="s">
        <v>868</v>
      </c>
      <c r="E406" s="2" t="s">
        <v>1334</v>
      </c>
      <c r="F406" s="2" t="s">
        <v>2734</v>
      </c>
      <c r="G406" s="2" t="s">
        <v>2735</v>
      </c>
      <c r="H406" s="2" t="s">
        <v>2735</v>
      </c>
      <c r="I406" s="2" t="s">
        <v>2736</v>
      </c>
      <c r="J406" s="2" t="s">
        <v>873</v>
      </c>
      <c r="K406" s="2" t="s">
        <v>1428</v>
      </c>
      <c r="L406" s="3">
        <v>14.72</v>
      </c>
      <c r="M406" s="3">
        <v>15.46</v>
      </c>
      <c r="N406" s="3">
        <v>31.99</v>
      </c>
      <c r="O406" s="2" t="s">
        <v>224</v>
      </c>
      <c r="P406" s="2" t="s">
        <v>225</v>
      </c>
      <c r="Q406" s="2" t="s">
        <v>226</v>
      </c>
      <c r="R406" s="2" t="s">
        <v>227</v>
      </c>
      <c r="S406" s="2" t="s">
        <v>2750</v>
      </c>
      <c r="T406" s="2" t="s">
        <v>876</v>
      </c>
      <c r="U406" s="2" t="s">
        <v>552</v>
      </c>
      <c r="V406" s="2" t="s">
        <v>230</v>
      </c>
      <c r="W406" s="2" t="s">
        <v>487</v>
      </c>
      <c r="X406" s="2" t="s">
        <v>227</v>
      </c>
      <c r="Y406" s="2" t="s">
        <v>232</v>
      </c>
      <c r="Z406" s="4">
        <v>1170</v>
      </c>
      <c r="AA406" s="4">
        <f>=ROUNDDOWN(41.7857142857143,0)</f>
      </c>
      <c r="AB406" s="5">
        <v>28</v>
      </c>
      <c r="AC406" s="2" t="s">
        <v>169</v>
      </c>
      <c r="AD406" s="4">
        <v>1000</v>
      </c>
      <c r="AE406" s="4">
        <v>1500</v>
      </c>
      <c r="AF406" s="6">
        <v>64</v>
      </c>
      <c r="AG406" s="6"/>
      <c r="AH406" s="7">
        <v>1</v>
      </c>
      <c r="AI406" s="4"/>
      <c r="AJ406" s="4">
        <f>=ROUNDDOWN({0},0)</f>
      </c>
      <c r="AK406" s="5"/>
      <c r="AL406" s="2" t="s">
        <v>227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227</v>
      </c>
      <c r="AW406" s="8" t="s">
        <v>227</v>
      </c>
      <c r="AX406" s="4" t="s">
        <v>227</v>
      </c>
      <c r="AY406" s="8" t="s">
        <v>227</v>
      </c>
      <c r="AZ406" s="7" t="s">
        <v>227</v>
      </c>
      <c r="BA406" s="7" t="s">
        <v>227</v>
      </c>
      <c r="BB406" s="7"/>
      <c r="BC406" s="4" t="s">
        <v>227</v>
      </c>
      <c r="BD406" s="8" t="s">
        <v>227</v>
      </c>
      <c r="BE406" s="4" t="s">
        <v>227</v>
      </c>
      <c r="BF406" s="8" t="s">
        <v>227</v>
      </c>
      <c r="BG406" s="7" t="s">
        <v>227</v>
      </c>
      <c r="BH406" s="7" t="s">
        <v>227</v>
      </c>
      <c r="BI406" s="7"/>
      <c r="BJ406" s="4">
        <v>94</v>
      </c>
      <c r="BK406" s="8">
        <v>1445.3</v>
      </c>
      <c r="BL406" s="2" t="s">
        <v>2755</v>
      </c>
      <c r="BM406" s="7"/>
      <c r="BN406" s="7"/>
      <c r="BO406" s="4"/>
      <c r="BP406" s="8"/>
      <c r="BQ406" s="4"/>
      <c r="BR406" s="8"/>
      <c r="BS406" s="7"/>
      <c r="BT406" s="7"/>
      <c r="BU406" s="2" t="s">
        <v>2756</v>
      </c>
      <c r="BV406" s="2" t="s">
        <v>227</v>
      </c>
      <c r="BW406" s="2" t="s">
        <v>227</v>
      </c>
      <c r="BX406" s="2" t="s">
        <v>235</v>
      </c>
      <c r="BY406" s="2" t="s">
        <v>236</v>
      </c>
      <c r="BZ406" s="2" t="s">
        <v>224</v>
      </c>
      <c r="CA406" s="2" t="s">
        <v>237</v>
      </c>
      <c r="CB406" s="2" t="s">
        <v>2757</v>
      </c>
      <c r="CC406" s="2" t="s">
        <v>239</v>
      </c>
      <c r="CD406" s="2" t="s">
        <v>227</v>
      </c>
      <c r="CE406" s="4">
        <v>1170</v>
      </c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>
        <v>1000</v>
      </c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/>
      <c r="GI406" s="4"/>
      <c r="GJ406" s="4"/>
      <c r="GK406" s="4"/>
      <c r="GL406" s="4"/>
      <c r="GM406" s="4">
        <v>500</v>
      </c>
      <c r="GN406" s="4"/>
      <c r="GO406" s="4"/>
      <c r="GP406" s="4"/>
      <c r="GQ406" s="4"/>
      <c r="GR406" s="4"/>
      <c r="GS406" s="4"/>
      <c r="GT406" s="4"/>
      <c r="GU406" s="4"/>
      <c r="GV406" s="4"/>
      <c r="GW406" s="4"/>
      <c r="GX406" s="4"/>
    </row>
    <row r="407">
      <c r="A407" s="2" t="s">
        <v>2758</v>
      </c>
      <c r="B407" s="2" t="s">
        <v>697</v>
      </c>
      <c r="C407" s="2" t="s">
        <v>360</v>
      </c>
      <c r="D407" s="2" t="s">
        <v>1027</v>
      </c>
      <c r="E407" s="2" t="s">
        <v>2748</v>
      </c>
      <c r="F407" s="2" t="s">
        <v>2734</v>
      </c>
      <c r="G407" s="2" t="s">
        <v>2735</v>
      </c>
      <c r="H407" s="2" t="s">
        <v>2735</v>
      </c>
      <c r="I407" s="2" t="s">
        <v>2749</v>
      </c>
      <c r="J407" s="2" t="s">
        <v>1434</v>
      </c>
      <c r="K407" s="2" t="s">
        <v>410</v>
      </c>
      <c r="L407" s="3">
        <v>14.86</v>
      </c>
      <c r="M407" s="3">
        <v>15.6</v>
      </c>
      <c r="N407" s="3">
        <v>34.99</v>
      </c>
      <c r="O407" s="2" t="s">
        <v>224</v>
      </c>
      <c r="P407" s="2" t="s">
        <v>485</v>
      </c>
      <c r="Q407" s="2" t="s">
        <v>226</v>
      </c>
      <c r="R407" s="2" t="s">
        <v>227</v>
      </c>
      <c r="S407" s="2" t="s">
        <v>2759</v>
      </c>
      <c r="T407" s="2" t="s">
        <v>876</v>
      </c>
      <c r="U407" s="2" t="s">
        <v>227</v>
      </c>
      <c r="V407" s="2" t="s">
        <v>230</v>
      </c>
      <c r="W407" s="2" t="s">
        <v>487</v>
      </c>
      <c r="X407" s="2" t="s">
        <v>227</v>
      </c>
      <c r="Y407" s="2" t="s">
        <v>232</v>
      </c>
      <c r="Z407" s="4">
        <v>1616</v>
      </c>
      <c r="AA407" s="4">
        <f>=ROUNDDOWN(32.9795918367347,0)</f>
      </c>
      <c r="AB407" s="5">
        <v>49</v>
      </c>
      <c r="AC407" s="2" t="s">
        <v>192</v>
      </c>
      <c r="AD407" s="4">
        <v>300</v>
      </c>
      <c r="AE407" s="4">
        <v>1600</v>
      </c>
      <c r="AF407" s="6">
        <v>64</v>
      </c>
      <c r="AG407" s="6"/>
      <c r="AH407" s="7">
        <v>1</v>
      </c>
      <c r="AI407" s="4"/>
      <c r="AJ407" s="4">
        <f>=ROUNDDOWN({0},0)</f>
      </c>
      <c r="AK407" s="5"/>
      <c r="AL407" s="2" t="s">
        <v>227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227</v>
      </c>
      <c r="AW407" s="8" t="s">
        <v>227</v>
      </c>
      <c r="AX407" s="4" t="s">
        <v>227</v>
      </c>
      <c r="AY407" s="8" t="s">
        <v>227</v>
      </c>
      <c r="AZ407" s="7" t="s">
        <v>227</v>
      </c>
      <c r="BA407" s="7" t="s">
        <v>227</v>
      </c>
      <c r="BB407" s="7"/>
      <c r="BC407" s="4" t="s">
        <v>227</v>
      </c>
      <c r="BD407" s="8" t="s">
        <v>227</v>
      </c>
      <c r="BE407" s="4" t="s">
        <v>227</v>
      </c>
      <c r="BF407" s="8" t="s">
        <v>227</v>
      </c>
      <c r="BG407" s="7" t="s">
        <v>227</v>
      </c>
      <c r="BH407" s="7" t="s">
        <v>227</v>
      </c>
      <c r="BI407" s="7"/>
      <c r="BJ407" s="4">
        <v>282</v>
      </c>
      <c r="BK407" s="8">
        <v>4263.12</v>
      </c>
      <c r="BL407" s="2" t="s">
        <v>2760</v>
      </c>
      <c r="BM407" s="7"/>
      <c r="BN407" s="7"/>
      <c r="BO407" s="4"/>
      <c r="BP407" s="8"/>
      <c r="BQ407" s="4"/>
      <c r="BR407" s="8"/>
      <c r="BS407" s="7"/>
      <c r="BT407" s="7"/>
      <c r="BU407" s="2" t="s">
        <v>2761</v>
      </c>
      <c r="BV407" s="2" t="s">
        <v>227</v>
      </c>
      <c r="BW407" s="2" t="s">
        <v>227</v>
      </c>
      <c r="BX407" s="2" t="s">
        <v>235</v>
      </c>
      <c r="BY407" s="2" t="s">
        <v>236</v>
      </c>
      <c r="BZ407" s="2" t="s">
        <v>224</v>
      </c>
      <c r="CA407" s="2" t="s">
        <v>237</v>
      </c>
      <c r="CB407" s="2" t="s">
        <v>345</v>
      </c>
      <c r="CC407" s="2" t="s">
        <v>239</v>
      </c>
      <c r="CD407" s="2" t="s">
        <v>227</v>
      </c>
      <c r="CE407" s="4">
        <v>1616</v>
      </c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>
        <v>300</v>
      </c>
      <c r="GC407" s="4"/>
      <c r="GD407" s="4"/>
      <c r="GE407" s="4"/>
      <c r="GF407" s="4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4"/>
      <c r="GR407" s="4"/>
      <c r="GS407" s="4">
        <v>1300</v>
      </c>
      <c r="GT407" s="4"/>
      <c r="GU407" s="4"/>
      <c r="GV407" s="4"/>
      <c r="GW407" s="4"/>
      <c r="GX407" s="4"/>
    </row>
    <row r="408">
      <c r="A408" s="2" t="s">
        <v>2762</v>
      </c>
      <c r="B408" s="2" t="s">
        <v>697</v>
      </c>
      <c r="C408" s="2" t="s">
        <v>360</v>
      </c>
      <c r="D408" s="2" t="s">
        <v>868</v>
      </c>
      <c r="E408" s="2" t="s">
        <v>1334</v>
      </c>
      <c r="F408" s="2" t="s">
        <v>2734</v>
      </c>
      <c r="G408" s="2" t="s">
        <v>2735</v>
      </c>
      <c r="H408" s="2" t="s">
        <v>2735</v>
      </c>
      <c r="I408" s="2" t="s">
        <v>2736</v>
      </c>
      <c r="J408" s="2" t="s">
        <v>873</v>
      </c>
      <c r="K408" s="2" t="s">
        <v>410</v>
      </c>
      <c r="L408" s="3">
        <v>14.72</v>
      </c>
      <c r="M408" s="3">
        <v>15.46</v>
      </c>
      <c r="N408" s="3">
        <v>31.99</v>
      </c>
      <c r="O408" s="2" t="s">
        <v>224</v>
      </c>
      <c r="P408" s="2" t="s">
        <v>225</v>
      </c>
      <c r="Q408" s="2" t="s">
        <v>226</v>
      </c>
      <c r="R408" s="2" t="s">
        <v>227</v>
      </c>
      <c r="S408" s="2" t="s">
        <v>2759</v>
      </c>
      <c r="T408" s="2" t="s">
        <v>876</v>
      </c>
      <c r="U408" s="2" t="s">
        <v>552</v>
      </c>
      <c r="V408" s="2" t="s">
        <v>230</v>
      </c>
      <c r="W408" s="2" t="s">
        <v>487</v>
      </c>
      <c r="X408" s="2" t="s">
        <v>227</v>
      </c>
      <c r="Y408" s="2" t="s">
        <v>232</v>
      </c>
      <c r="Z408" s="4">
        <v>828</v>
      </c>
      <c r="AA408" s="4">
        <f>=ROUNDDOWN(23.6571428571429,0)</f>
      </c>
      <c r="AB408" s="5">
        <v>35</v>
      </c>
      <c r="AC408" s="2" t="s">
        <v>169</v>
      </c>
      <c r="AD408" s="4">
        <v>2000</v>
      </c>
      <c r="AE408" s="4">
        <v>2910</v>
      </c>
      <c r="AF408" s="6">
        <v>64</v>
      </c>
      <c r="AG408" s="6"/>
      <c r="AH408" s="7">
        <v>1</v>
      </c>
      <c r="AI408" s="4"/>
      <c r="AJ408" s="4">
        <f>=ROUNDDOWN({0},0)</f>
      </c>
      <c r="AK408" s="5"/>
      <c r="AL408" s="2" t="s">
        <v>227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227</v>
      </c>
      <c r="AW408" s="8" t="s">
        <v>227</v>
      </c>
      <c r="AX408" s="4" t="s">
        <v>227</v>
      </c>
      <c r="AY408" s="8" t="s">
        <v>227</v>
      </c>
      <c r="AZ408" s="7" t="s">
        <v>227</v>
      </c>
      <c r="BA408" s="7" t="s">
        <v>227</v>
      </c>
      <c r="BB408" s="7"/>
      <c r="BC408" s="4" t="s">
        <v>227</v>
      </c>
      <c r="BD408" s="8" t="s">
        <v>227</v>
      </c>
      <c r="BE408" s="4" t="s">
        <v>227</v>
      </c>
      <c r="BF408" s="8" t="s">
        <v>227</v>
      </c>
      <c r="BG408" s="7" t="s">
        <v>227</v>
      </c>
      <c r="BH408" s="7" t="s">
        <v>227</v>
      </c>
      <c r="BI408" s="7"/>
      <c r="BJ408" s="4">
        <v>120</v>
      </c>
      <c r="BK408" s="8">
        <v>1803.69</v>
      </c>
      <c r="BL408" s="2" t="s">
        <v>2738</v>
      </c>
      <c r="BM408" s="7"/>
      <c r="BN408" s="7"/>
      <c r="BO408" s="4"/>
      <c r="BP408" s="8"/>
      <c r="BQ408" s="4"/>
      <c r="BR408" s="8"/>
      <c r="BS408" s="7"/>
      <c r="BT408" s="7"/>
      <c r="BU408" s="2" t="s">
        <v>2763</v>
      </c>
      <c r="BV408" s="2" t="s">
        <v>227</v>
      </c>
      <c r="BW408" s="2" t="s">
        <v>227</v>
      </c>
      <c r="BX408" s="2" t="s">
        <v>235</v>
      </c>
      <c r="BY408" s="2" t="s">
        <v>236</v>
      </c>
      <c r="BZ408" s="2" t="s">
        <v>224</v>
      </c>
      <c r="CA408" s="2" t="s">
        <v>237</v>
      </c>
      <c r="CB408" s="2" t="s">
        <v>2764</v>
      </c>
      <c r="CC408" s="2" t="s">
        <v>239</v>
      </c>
      <c r="CD408" s="2" t="s">
        <v>227</v>
      </c>
      <c r="CE408" s="4">
        <v>828</v>
      </c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>
        <v>2000</v>
      </c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>
        <v>500</v>
      </c>
      <c r="GC408" s="4"/>
      <c r="GD408" s="4"/>
      <c r="GE408" s="4"/>
      <c r="GF408" s="4"/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4"/>
      <c r="GR408" s="4"/>
      <c r="GS408" s="4"/>
      <c r="GT408" s="4"/>
      <c r="GU408" s="4"/>
      <c r="GV408" s="4"/>
      <c r="GW408" s="4">
        <v>410</v>
      </c>
      <c r="GX408" s="4"/>
    </row>
    <row r="409">
      <c r="A409" s="2" t="s">
        <v>2765</v>
      </c>
      <c r="B409" s="2" t="s">
        <v>697</v>
      </c>
      <c r="C409" s="2" t="s">
        <v>360</v>
      </c>
      <c r="D409" s="2" t="s">
        <v>868</v>
      </c>
      <c r="E409" s="2" t="s">
        <v>1334</v>
      </c>
      <c r="F409" s="2" t="s">
        <v>2734</v>
      </c>
      <c r="G409" s="2" t="s">
        <v>2735</v>
      </c>
      <c r="H409" s="2" t="s">
        <v>2735</v>
      </c>
      <c r="I409" s="2" t="s">
        <v>2736</v>
      </c>
      <c r="J409" s="2" t="s">
        <v>873</v>
      </c>
      <c r="K409" s="2" t="s">
        <v>363</v>
      </c>
      <c r="L409" s="3">
        <v>14.72</v>
      </c>
      <c r="M409" s="3">
        <v>15.46</v>
      </c>
      <c r="N409" s="3">
        <v>31.99</v>
      </c>
      <c r="O409" s="2" t="s">
        <v>224</v>
      </c>
      <c r="P409" s="2" t="s">
        <v>550</v>
      </c>
      <c r="Q409" s="2" t="s">
        <v>226</v>
      </c>
      <c r="R409" s="2" t="s">
        <v>227</v>
      </c>
      <c r="S409" s="2" t="s">
        <v>2766</v>
      </c>
      <c r="T409" s="2" t="s">
        <v>876</v>
      </c>
      <c r="U409" s="2" t="s">
        <v>552</v>
      </c>
      <c r="V409" s="2" t="s">
        <v>230</v>
      </c>
      <c r="W409" s="2" t="s">
        <v>487</v>
      </c>
      <c r="X409" s="2" t="s">
        <v>227</v>
      </c>
      <c r="Y409" s="2" t="s">
        <v>232</v>
      </c>
      <c r="Z409" s="4">
        <v>526</v>
      </c>
      <c r="AA409" s="4">
        <f>=ROUNDDOWN(10.9583333333333,0)</f>
      </c>
      <c r="AB409" s="5">
        <v>48</v>
      </c>
      <c r="AC409" s="2" t="s">
        <v>2767</v>
      </c>
      <c r="AD409" s="4">
        <v>500</v>
      </c>
      <c r="AE409" s="4">
        <v>4180</v>
      </c>
      <c r="AF409" s="6">
        <v>64</v>
      </c>
      <c r="AG409" s="6"/>
      <c r="AH409" s="7">
        <v>1</v>
      </c>
      <c r="AI409" s="4"/>
      <c r="AJ409" s="4">
        <f>=ROUNDDOWN({0},0)</f>
      </c>
      <c r="AK409" s="5"/>
      <c r="AL409" s="2" t="s">
        <v>227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 t="s">
        <v>227</v>
      </c>
      <c r="BD409" s="8" t="s">
        <v>227</v>
      </c>
      <c r="BE409" s="4" t="s">
        <v>227</v>
      </c>
      <c r="BF409" s="8" t="s">
        <v>227</v>
      </c>
      <c r="BG409" s="7" t="s">
        <v>227</v>
      </c>
      <c r="BH409" s="7" t="s">
        <v>227</v>
      </c>
      <c r="BI409" s="7"/>
      <c r="BJ409" s="4">
        <v>134</v>
      </c>
      <c r="BK409" s="8">
        <v>1999.07</v>
      </c>
      <c r="BL409" s="2" t="s">
        <v>2768</v>
      </c>
      <c r="BM409" s="7"/>
      <c r="BN409" s="7"/>
      <c r="BO409" s="4"/>
      <c r="BP409" s="8"/>
      <c r="BQ409" s="4"/>
      <c r="BR409" s="8"/>
      <c r="BS409" s="7"/>
      <c r="BT409" s="7"/>
      <c r="BU409" s="2" t="s">
        <v>2769</v>
      </c>
      <c r="BV409" s="2" t="s">
        <v>227</v>
      </c>
      <c r="BW409" s="2" t="s">
        <v>227</v>
      </c>
      <c r="BX409" s="2" t="s">
        <v>235</v>
      </c>
      <c r="BY409" s="2" t="s">
        <v>236</v>
      </c>
      <c r="BZ409" s="2" t="s">
        <v>224</v>
      </c>
      <c r="CA409" s="2" t="s">
        <v>237</v>
      </c>
      <c r="CB409" s="2" t="s">
        <v>2757</v>
      </c>
      <c r="CC409" s="2" t="s">
        <v>239</v>
      </c>
      <c r="CD409" s="2" t="s">
        <v>227</v>
      </c>
      <c r="CE409" s="4">
        <v>526</v>
      </c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>
        <v>500</v>
      </c>
      <c r="CY409" s="4"/>
      <c r="CZ409" s="4"/>
      <c r="DA409" s="4">
        <v>440</v>
      </c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>
        <v>790</v>
      </c>
      <c r="FA409" s="4"/>
      <c r="FB409" s="4"/>
      <c r="FC409" s="4"/>
      <c r="FD409" s="4"/>
      <c r="FE409" s="4">
        <v>1500</v>
      </c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4">
        <v>700</v>
      </c>
      <c r="GR409" s="4"/>
      <c r="GS409" s="4"/>
      <c r="GT409" s="4"/>
      <c r="GU409" s="4"/>
      <c r="GV409" s="4"/>
      <c r="GW409" s="4">
        <v>250</v>
      </c>
      <c r="GX409" s="4"/>
    </row>
    <row r="410">
      <c r="A410" s="2" t="s">
        <v>2770</v>
      </c>
      <c r="B410" s="2" t="s">
        <v>715</v>
      </c>
      <c r="C410" s="2" t="s">
        <v>360</v>
      </c>
      <c r="D410" s="2" t="s">
        <v>716</v>
      </c>
      <c r="E410" s="2" t="s">
        <v>1924</v>
      </c>
      <c r="F410" s="2" t="s">
        <v>2771</v>
      </c>
      <c r="G410" s="2" t="s">
        <v>2772</v>
      </c>
      <c r="H410" s="2" t="s">
        <v>2773</v>
      </c>
      <c r="I410" s="2" t="s">
        <v>2774</v>
      </c>
      <c r="J410" s="2" t="s">
        <v>2775</v>
      </c>
      <c r="K410" s="2" t="s">
        <v>2776</v>
      </c>
      <c r="L410" s="3">
        <v>23.2</v>
      </c>
      <c r="M410" s="3">
        <v>24.36</v>
      </c>
      <c r="N410" s="3">
        <v>54.99</v>
      </c>
      <c r="O410" s="2" t="s">
        <v>224</v>
      </c>
      <c r="P410" s="2" t="s">
        <v>225</v>
      </c>
      <c r="Q410" s="2" t="s">
        <v>226</v>
      </c>
      <c r="R410" s="2" t="s">
        <v>227</v>
      </c>
      <c r="S410" s="2" t="s">
        <v>2777</v>
      </c>
      <c r="T410" s="2" t="s">
        <v>2778</v>
      </c>
      <c r="U410" s="2" t="s">
        <v>552</v>
      </c>
      <c r="V410" s="2" t="s">
        <v>230</v>
      </c>
      <c r="W410" s="2" t="s">
        <v>231</v>
      </c>
      <c r="X410" s="2" t="s">
        <v>227</v>
      </c>
      <c r="Y410" s="2" t="s">
        <v>2779</v>
      </c>
      <c r="Z410" s="4">
        <v>2</v>
      </c>
      <c r="AA410" s="4">
        <f>=ROUNDDOWN(0.142857142857143,0)</f>
      </c>
      <c r="AB410" s="5">
        <v>14</v>
      </c>
      <c r="AC410" s="2" t="s">
        <v>182</v>
      </c>
      <c r="AD410" s="4">
        <v>252</v>
      </c>
      <c r="AE410" s="4">
        <v>424</v>
      </c>
      <c r="AF410" s="6">
        <v>75</v>
      </c>
      <c r="AG410" s="6"/>
      <c r="AH410" s="7">
        <v>0.0968</v>
      </c>
      <c r="AI410" s="4"/>
      <c r="AJ410" s="4">
        <f>=ROUNDDOWN({0},0)</f>
      </c>
      <c r="AK410" s="5"/>
      <c r="AL410" s="2" t="s">
        <v>227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/>
      <c r="BD410" s="8"/>
      <c r="BE410" s="4"/>
      <c r="BF410" s="8"/>
      <c r="BG410" s="7"/>
      <c r="BH410" s="7"/>
      <c r="BI410" s="7"/>
      <c r="BJ410" s="4">
        <v>9</v>
      </c>
      <c r="BK410" s="8">
        <v>254.76</v>
      </c>
      <c r="BL410" s="2" t="s">
        <v>2780</v>
      </c>
      <c r="BM410" s="7"/>
      <c r="BN410" s="7"/>
      <c r="BO410" s="4"/>
      <c r="BP410" s="8"/>
      <c r="BQ410" s="4"/>
      <c r="BR410" s="8"/>
      <c r="BS410" s="7"/>
      <c r="BT410" s="7"/>
      <c r="BU410" s="2" t="s">
        <v>2781</v>
      </c>
      <c r="BV410" s="2" t="s">
        <v>227</v>
      </c>
      <c r="BW410" s="2" t="s">
        <v>227</v>
      </c>
      <c r="BX410" s="2" t="s">
        <v>235</v>
      </c>
      <c r="BY410" s="2" t="s">
        <v>236</v>
      </c>
      <c r="BZ410" s="2" t="s">
        <v>224</v>
      </c>
      <c r="CA410" s="2" t="s">
        <v>2782</v>
      </c>
      <c r="CB410" s="2" t="s">
        <v>2783</v>
      </c>
      <c r="CC410" s="2" t="s">
        <v>239</v>
      </c>
      <c r="CD410" s="2" t="s">
        <v>227</v>
      </c>
      <c r="CE410" s="4">
        <v>2</v>
      </c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>
        <v>252</v>
      </c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>
        <v>172</v>
      </c>
      <c r="GV410" s="4"/>
      <c r="GW410" s="4"/>
      <c r="GX410" s="4"/>
    </row>
    <row r="411">
      <c r="A411" s="2" t="s">
        <v>2784</v>
      </c>
      <c r="B411" s="2" t="s">
        <v>542</v>
      </c>
      <c r="C411" s="2" t="s">
        <v>515</v>
      </c>
      <c r="D411" s="2" t="s">
        <v>561</v>
      </c>
      <c r="E411" s="2" t="s">
        <v>2785</v>
      </c>
      <c r="F411" s="2" t="s">
        <v>2786</v>
      </c>
      <c r="G411" s="2" t="s">
        <v>2786</v>
      </c>
      <c r="H411" s="2" t="s">
        <v>2786</v>
      </c>
      <c r="I411" s="2" t="s">
        <v>2787</v>
      </c>
      <c r="J411" s="2" t="s">
        <v>548</v>
      </c>
      <c r="K411" s="2" t="s">
        <v>565</v>
      </c>
      <c r="L411" s="3">
        <v>112.71</v>
      </c>
      <c r="M411" s="3">
        <v>118.35</v>
      </c>
      <c r="N411" s="3">
        <v>199.74</v>
      </c>
      <c r="O411" s="2" t="s">
        <v>224</v>
      </c>
      <c r="P411" s="2" t="s">
        <v>580</v>
      </c>
      <c r="Q411" s="2" t="s">
        <v>226</v>
      </c>
      <c r="R411" s="2" t="s">
        <v>227</v>
      </c>
      <c r="S411" s="2" t="s">
        <v>2788</v>
      </c>
      <c r="T411" s="2" t="s">
        <v>227</v>
      </c>
      <c r="U411" s="2" t="s">
        <v>552</v>
      </c>
      <c r="V411" s="2" t="s">
        <v>230</v>
      </c>
      <c r="W411" s="2" t="s">
        <v>836</v>
      </c>
      <c r="X411" s="2" t="s">
        <v>487</v>
      </c>
      <c r="Y411" s="2" t="s">
        <v>2789</v>
      </c>
      <c r="Z411" s="4">
        <v>86</v>
      </c>
      <c r="AA411" s="4">
        <f>=ROUNDDOWN(28.6666666666667,0)</f>
      </c>
      <c r="AB411" s="5">
        <v>3</v>
      </c>
      <c r="AC411" s="2" t="s">
        <v>227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227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/>
      <c r="BD411" s="8"/>
      <c r="BE411" s="4"/>
      <c r="BF411" s="8"/>
      <c r="BG411" s="7"/>
      <c r="BH411" s="7"/>
      <c r="BI411" s="7"/>
      <c r="BJ411" s="4">
        <v>10</v>
      </c>
      <c r="BK411" s="8">
        <v>1263.7</v>
      </c>
      <c r="BL411" s="2" t="s">
        <v>2790</v>
      </c>
      <c r="BM411" s="7"/>
      <c r="BN411" s="7"/>
      <c r="BO411" s="4"/>
      <c r="BP411" s="8"/>
      <c r="BQ411" s="4"/>
      <c r="BR411" s="8"/>
      <c r="BS411" s="7"/>
      <c r="BT411" s="7"/>
      <c r="BU411" s="2" t="s">
        <v>2791</v>
      </c>
      <c r="BV411" s="2" t="s">
        <v>227</v>
      </c>
      <c r="BW411" s="2" t="s">
        <v>227</v>
      </c>
      <c r="BX411" s="2" t="s">
        <v>235</v>
      </c>
      <c r="BY411" s="2" t="s">
        <v>236</v>
      </c>
      <c r="BZ411" s="2" t="s">
        <v>224</v>
      </c>
      <c r="CA411" s="2" t="s">
        <v>2792</v>
      </c>
      <c r="CB411" s="2" t="s">
        <v>2793</v>
      </c>
      <c r="CC411" s="2" t="s">
        <v>239</v>
      </c>
      <c r="CD411" s="2" t="s">
        <v>227</v>
      </c>
      <c r="CE411" s="4"/>
      <c r="CF411" s="4">
        <v>86</v>
      </c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  <c r="GT411" s="4"/>
      <c r="GU411" s="4"/>
      <c r="GV411" s="4"/>
      <c r="GW411" s="4"/>
      <c r="GX411" s="4"/>
    </row>
    <row r="412">
      <c r="A412" s="2" t="s">
        <v>2794</v>
      </c>
      <c r="B412" s="2" t="s">
        <v>715</v>
      </c>
      <c r="C412" s="2" t="s">
        <v>360</v>
      </c>
      <c r="D412" s="2" t="s">
        <v>716</v>
      </c>
      <c r="E412" s="2" t="s">
        <v>1078</v>
      </c>
      <c r="F412" s="2" t="s">
        <v>2795</v>
      </c>
      <c r="G412" s="2" t="s">
        <v>2796</v>
      </c>
      <c r="H412" s="2" t="s">
        <v>2797</v>
      </c>
      <c r="I412" s="2" t="s">
        <v>2798</v>
      </c>
      <c r="J412" s="2" t="s">
        <v>848</v>
      </c>
      <c r="K412" s="2" t="s">
        <v>363</v>
      </c>
      <c r="L412" s="3">
        <v>10.5</v>
      </c>
      <c r="M412" s="3">
        <v>11.02</v>
      </c>
      <c r="N412" s="3">
        <v>24.99</v>
      </c>
      <c r="O412" s="2" t="s">
        <v>224</v>
      </c>
      <c r="P412" s="2" t="s">
        <v>225</v>
      </c>
      <c r="Q412" s="2" t="s">
        <v>226</v>
      </c>
      <c r="R412" s="2" t="s">
        <v>227</v>
      </c>
      <c r="S412" s="2" t="s">
        <v>2799</v>
      </c>
      <c r="T412" s="2" t="s">
        <v>227</v>
      </c>
      <c r="U412" s="2" t="s">
        <v>227</v>
      </c>
      <c r="V412" s="2" t="s">
        <v>877</v>
      </c>
      <c r="W412" s="2" t="s">
        <v>836</v>
      </c>
      <c r="X412" s="2" t="s">
        <v>1078</v>
      </c>
      <c r="Y412" s="2" t="s">
        <v>232</v>
      </c>
      <c r="Z412" s="4">
        <v>112</v>
      </c>
      <c r="AA412" s="4">
        <f>=ROUNDDOWN(9.33333333333333,0)</f>
      </c>
      <c r="AB412" s="5">
        <v>12</v>
      </c>
      <c r="AC412" s="2" t="s">
        <v>583</v>
      </c>
      <c r="AD412" s="4">
        <v>172</v>
      </c>
      <c r="AE412" s="4">
        <v>246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227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/>
      <c r="BD412" s="8"/>
      <c r="BE412" s="4"/>
      <c r="BF412" s="8"/>
      <c r="BG412" s="7"/>
      <c r="BH412" s="7"/>
      <c r="BI412" s="7"/>
      <c r="BJ412" s="4">
        <v>31</v>
      </c>
      <c r="BK412" s="8">
        <v>341.13</v>
      </c>
      <c r="BL412" s="2" t="s">
        <v>2800</v>
      </c>
      <c r="BM412" s="7"/>
      <c r="BN412" s="7"/>
      <c r="BO412" s="4"/>
      <c r="BP412" s="8"/>
      <c r="BQ412" s="4"/>
      <c r="BR412" s="8"/>
      <c r="BS412" s="7"/>
      <c r="BT412" s="7"/>
      <c r="BU412" s="2" t="s">
        <v>2801</v>
      </c>
      <c r="BV412" s="2" t="s">
        <v>227</v>
      </c>
      <c r="BW412" s="2" t="s">
        <v>227</v>
      </c>
      <c r="BX412" s="2" t="s">
        <v>235</v>
      </c>
      <c r="BY412" s="2" t="s">
        <v>236</v>
      </c>
      <c r="BZ412" s="2" t="s">
        <v>224</v>
      </c>
      <c r="CA412" s="2" t="s">
        <v>2802</v>
      </c>
      <c r="CB412" s="2" t="s">
        <v>2803</v>
      </c>
      <c r="CC412" s="2" t="s">
        <v>239</v>
      </c>
      <c r="CD412" s="2" t="s">
        <v>227</v>
      </c>
      <c r="CE412" s="4">
        <v>112</v>
      </c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>
        <v>172</v>
      </c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>
        <v>74</v>
      </c>
      <c r="GT412" s="4"/>
      <c r="GU412" s="4"/>
      <c r="GV412" s="4"/>
      <c r="GW412" s="4"/>
      <c r="GX412" s="4"/>
    </row>
    <row r="413">
      <c r="A413" s="2" t="s">
        <v>2804</v>
      </c>
      <c r="B413" s="2" t="s">
        <v>697</v>
      </c>
      <c r="C413" s="2" t="s">
        <v>1962</v>
      </c>
      <c r="D413" s="2" t="s">
        <v>1982</v>
      </c>
      <c r="E413" s="2" t="s">
        <v>1983</v>
      </c>
      <c r="F413" s="2" t="s">
        <v>2805</v>
      </c>
      <c r="G413" s="2" t="s">
        <v>2805</v>
      </c>
      <c r="H413" s="2" t="s">
        <v>2805</v>
      </c>
      <c r="I413" s="2" t="s">
        <v>1985</v>
      </c>
      <c r="J413" s="2" t="s">
        <v>222</v>
      </c>
      <c r="K413" s="2" t="s">
        <v>1389</v>
      </c>
      <c r="L413" s="3">
        <v>49.12</v>
      </c>
      <c r="M413" s="3">
        <v>51.58</v>
      </c>
      <c r="N413" s="3">
        <v>104.99</v>
      </c>
      <c r="O413" s="2" t="s">
        <v>224</v>
      </c>
      <c r="P413" s="2" t="s">
        <v>485</v>
      </c>
      <c r="Q413" s="2" t="s">
        <v>226</v>
      </c>
      <c r="R413" s="2" t="s">
        <v>227</v>
      </c>
      <c r="S413" s="2" t="s">
        <v>2806</v>
      </c>
      <c r="T413" s="2" t="s">
        <v>2807</v>
      </c>
      <c r="U413" s="2" t="s">
        <v>552</v>
      </c>
      <c r="V413" s="2" t="s">
        <v>230</v>
      </c>
      <c r="W413" s="2" t="s">
        <v>231</v>
      </c>
      <c r="X413" s="2" t="s">
        <v>706</v>
      </c>
      <c r="Y413" s="2" t="s">
        <v>232</v>
      </c>
      <c r="Z413" s="4">
        <v>142</v>
      </c>
      <c r="AA413" s="4">
        <f>=ROUNDDOWN(5.25925925925926,0)</f>
      </c>
      <c r="AB413" s="5">
        <v>27</v>
      </c>
      <c r="AC413" s="2" t="s">
        <v>583</v>
      </c>
      <c r="AD413" s="4">
        <v>150</v>
      </c>
      <c r="AE413" s="4">
        <v>340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227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227</v>
      </c>
      <c r="BD413" s="8" t="s">
        <v>227</v>
      </c>
      <c r="BE413" s="4" t="s">
        <v>227</v>
      </c>
      <c r="BF413" s="8" t="s">
        <v>227</v>
      </c>
      <c r="BG413" s="7" t="s">
        <v>227</v>
      </c>
      <c r="BH413" s="7" t="s">
        <v>227</v>
      </c>
      <c r="BI413" s="7"/>
      <c r="BJ413" s="4">
        <v>10</v>
      </c>
      <c r="BK413" s="8">
        <v>530.73</v>
      </c>
      <c r="BL413" s="2" t="s">
        <v>2808</v>
      </c>
      <c r="BM413" s="7"/>
      <c r="BN413" s="7"/>
      <c r="BO413" s="4"/>
      <c r="BP413" s="8"/>
      <c r="BQ413" s="4"/>
      <c r="BR413" s="8"/>
      <c r="BS413" s="7"/>
      <c r="BT413" s="7"/>
      <c r="BU413" s="2" t="s">
        <v>2809</v>
      </c>
      <c r="BV413" s="2" t="s">
        <v>227</v>
      </c>
      <c r="BW413" s="2" t="s">
        <v>227</v>
      </c>
      <c r="BX413" s="2" t="s">
        <v>2104</v>
      </c>
      <c r="BY413" s="2" t="s">
        <v>236</v>
      </c>
      <c r="BZ413" s="2" t="s">
        <v>224</v>
      </c>
      <c r="CA413" s="2" t="s">
        <v>2810</v>
      </c>
      <c r="CB413" s="2" t="s">
        <v>2811</v>
      </c>
      <c r="CC413" s="2" t="s">
        <v>239</v>
      </c>
      <c r="CD413" s="2" t="s">
        <v>227</v>
      </c>
      <c r="CE413" s="4">
        <v>142</v>
      </c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>
        <v>150</v>
      </c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>
        <v>190</v>
      </c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4"/>
      <c r="GR413" s="4"/>
      <c r="GS413" s="4"/>
      <c r="GT413" s="4"/>
      <c r="GU413" s="4"/>
      <c r="GV413" s="4"/>
      <c r="GW413" s="4"/>
      <c r="GX413" s="4"/>
    </row>
    <row r="414">
      <c r="A414" s="2" t="s">
        <v>2812</v>
      </c>
      <c r="B414" s="2" t="s">
        <v>697</v>
      </c>
      <c r="C414" s="2" t="s">
        <v>1962</v>
      </c>
      <c r="D414" s="2" t="s">
        <v>1982</v>
      </c>
      <c r="E414" s="2" t="s">
        <v>1983</v>
      </c>
      <c r="F414" s="2" t="s">
        <v>2805</v>
      </c>
      <c r="G414" s="2" t="s">
        <v>2805</v>
      </c>
      <c r="H414" s="2" t="s">
        <v>2805</v>
      </c>
      <c r="I414" s="2" t="s">
        <v>1985</v>
      </c>
      <c r="J414" s="2" t="s">
        <v>222</v>
      </c>
      <c r="K414" s="2" t="s">
        <v>223</v>
      </c>
      <c r="L414" s="3">
        <v>49.12</v>
      </c>
      <c r="M414" s="3">
        <v>51.58</v>
      </c>
      <c r="N414" s="3">
        <v>104.99</v>
      </c>
      <c r="O414" s="2" t="s">
        <v>224</v>
      </c>
      <c r="P414" s="2" t="s">
        <v>225</v>
      </c>
      <c r="Q414" s="2" t="s">
        <v>226</v>
      </c>
      <c r="R414" s="2" t="s">
        <v>227</v>
      </c>
      <c r="S414" s="2" t="s">
        <v>2813</v>
      </c>
      <c r="T414" s="2" t="s">
        <v>2807</v>
      </c>
      <c r="U414" s="2" t="s">
        <v>552</v>
      </c>
      <c r="V414" s="2" t="s">
        <v>230</v>
      </c>
      <c r="W414" s="2" t="s">
        <v>231</v>
      </c>
      <c r="X414" s="2" t="s">
        <v>706</v>
      </c>
      <c r="Y414" s="2" t="s">
        <v>2814</v>
      </c>
      <c r="Z414" s="4">
        <v>394</v>
      </c>
      <c r="AA414" s="4">
        <f>=ROUNDDOWN(30.3076923076923,0)</f>
      </c>
      <c r="AB414" s="5">
        <v>13</v>
      </c>
      <c r="AC414" s="2" t="s">
        <v>227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227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 t="s">
        <v>227</v>
      </c>
      <c r="BD414" s="8" t="s">
        <v>227</v>
      </c>
      <c r="BE414" s="4" t="s">
        <v>227</v>
      </c>
      <c r="BF414" s="8" t="s">
        <v>227</v>
      </c>
      <c r="BG414" s="7" t="s">
        <v>227</v>
      </c>
      <c r="BH414" s="7" t="s">
        <v>227</v>
      </c>
      <c r="BI414" s="7"/>
      <c r="BJ414" s="4">
        <v>3</v>
      </c>
      <c r="BK414" s="8">
        <v>162.83</v>
      </c>
      <c r="BL414" s="2" t="s">
        <v>2815</v>
      </c>
      <c r="BM414" s="7"/>
      <c r="BN414" s="7"/>
      <c r="BO414" s="4"/>
      <c r="BP414" s="8"/>
      <c r="BQ414" s="4"/>
      <c r="BR414" s="8"/>
      <c r="BS414" s="7"/>
      <c r="BT414" s="7"/>
      <c r="BU414" s="2" t="s">
        <v>2816</v>
      </c>
      <c r="BV414" s="2" t="s">
        <v>227</v>
      </c>
      <c r="BW414" s="2" t="s">
        <v>227</v>
      </c>
      <c r="BX414" s="2" t="s">
        <v>2104</v>
      </c>
      <c r="BY414" s="2" t="s">
        <v>236</v>
      </c>
      <c r="BZ414" s="2" t="s">
        <v>224</v>
      </c>
      <c r="CA414" s="2" t="s">
        <v>2810</v>
      </c>
      <c r="CB414" s="2" t="s">
        <v>443</v>
      </c>
      <c r="CC414" s="2" t="s">
        <v>239</v>
      </c>
      <c r="CD414" s="2" t="s">
        <v>227</v>
      </c>
      <c r="CE414" s="4">
        <v>394</v>
      </c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/>
      <c r="GI414" s="4"/>
      <c r="GJ414" s="4"/>
      <c r="GK414" s="4"/>
      <c r="GL414" s="4"/>
      <c r="GM414" s="4"/>
      <c r="GN414" s="4"/>
      <c r="GO414" s="4"/>
      <c r="GP414" s="4"/>
      <c r="GQ414" s="4"/>
      <c r="GR414" s="4"/>
      <c r="GS414" s="4"/>
      <c r="GT414" s="4"/>
      <c r="GU414" s="4"/>
      <c r="GV414" s="4"/>
      <c r="GW414" s="4"/>
      <c r="GX414" s="4"/>
    </row>
    <row r="415">
      <c r="A415" s="2" t="s">
        <v>2817</v>
      </c>
      <c r="B415" s="2" t="s">
        <v>697</v>
      </c>
      <c r="C415" s="2" t="s">
        <v>1962</v>
      </c>
      <c r="D415" s="2" t="s">
        <v>1982</v>
      </c>
      <c r="E415" s="2" t="s">
        <v>1983</v>
      </c>
      <c r="F415" s="2" t="s">
        <v>2805</v>
      </c>
      <c r="G415" s="2" t="s">
        <v>2805</v>
      </c>
      <c r="H415" s="2" t="s">
        <v>2805</v>
      </c>
      <c r="I415" s="2" t="s">
        <v>1985</v>
      </c>
      <c r="J415" s="2" t="s">
        <v>222</v>
      </c>
      <c r="K415" s="2" t="s">
        <v>1428</v>
      </c>
      <c r="L415" s="3">
        <v>49.12</v>
      </c>
      <c r="M415" s="3">
        <v>51.58</v>
      </c>
      <c r="N415" s="3">
        <v>104.99</v>
      </c>
      <c r="O415" s="2" t="s">
        <v>224</v>
      </c>
      <c r="P415" s="2" t="s">
        <v>225</v>
      </c>
      <c r="Q415" s="2" t="s">
        <v>226</v>
      </c>
      <c r="R415" s="2" t="s">
        <v>227</v>
      </c>
      <c r="S415" s="2" t="s">
        <v>2818</v>
      </c>
      <c r="T415" s="2" t="s">
        <v>2807</v>
      </c>
      <c r="U415" s="2" t="s">
        <v>552</v>
      </c>
      <c r="V415" s="2" t="s">
        <v>230</v>
      </c>
      <c r="W415" s="2" t="s">
        <v>231</v>
      </c>
      <c r="X415" s="2" t="s">
        <v>706</v>
      </c>
      <c r="Y415" s="2" t="s">
        <v>232</v>
      </c>
      <c r="Z415" s="4">
        <v>244</v>
      </c>
      <c r="AA415" s="4">
        <f>=ROUNDDOWN(13.5555555555556,0)</f>
      </c>
      <c r="AB415" s="5">
        <v>18</v>
      </c>
      <c r="AC415" s="2" t="s">
        <v>156</v>
      </c>
      <c r="AD415" s="4">
        <v>150</v>
      </c>
      <c r="AE415" s="4">
        <v>220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227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227</v>
      </c>
      <c r="AW415" s="8" t="s">
        <v>227</v>
      </c>
      <c r="AX415" s="4" t="s">
        <v>227</v>
      </c>
      <c r="AY415" s="8" t="s">
        <v>227</v>
      </c>
      <c r="AZ415" s="7" t="s">
        <v>227</v>
      </c>
      <c r="BA415" s="7" t="s">
        <v>227</v>
      </c>
      <c r="BB415" s="7"/>
      <c r="BC415" s="4" t="s">
        <v>227</v>
      </c>
      <c r="BD415" s="8" t="s">
        <v>227</v>
      </c>
      <c r="BE415" s="4" t="s">
        <v>227</v>
      </c>
      <c r="BF415" s="8" t="s">
        <v>227</v>
      </c>
      <c r="BG415" s="7" t="s">
        <v>227</v>
      </c>
      <c r="BH415" s="7" t="s">
        <v>227</v>
      </c>
      <c r="BI415" s="7"/>
      <c r="BJ415" s="4">
        <v>5</v>
      </c>
      <c r="BK415" s="8">
        <v>276.68</v>
      </c>
      <c r="BL415" s="2" t="s">
        <v>2819</v>
      </c>
      <c r="BM415" s="7"/>
      <c r="BN415" s="7"/>
      <c r="BO415" s="4"/>
      <c r="BP415" s="8"/>
      <c r="BQ415" s="4"/>
      <c r="BR415" s="8"/>
      <c r="BS415" s="7"/>
      <c r="BT415" s="7"/>
      <c r="BU415" s="2" t="s">
        <v>2820</v>
      </c>
      <c r="BV415" s="2" t="s">
        <v>227</v>
      </c>
      <c r="BW415" s="2" t="s">
        <v>227</v>
      </c>
      <c r="BX415" s="2" t="s">
        <v>2104</v>
      </c>
      <c r="BY415" s="2" t="s">
        <v>236</v>
      </c>
      <c r="BZ415" s="2" t="s">
        <v>224</v>
      </c>
      <c r="CA415" s="2" t="s">
        <v>2810</v>
      </c>
      <c r="CB415" s="2" t="s">
        <v>981</v>
      </c>
      <c r="CC415" s="2" t="s">
        <v>239</v>
      </c>
      <c r="CD415" s="2" t="s">
        <v>227</v>
      </c>
      <c r="CE415" s="4">
        <v>244</v>
      </c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>
        <v>150</v>
      </c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>
        <v>70</v>
      </c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/>
      <c r="GI415" s="4"/>
      <c r="GJ415" s="4"/>
      <c r="GK415" s="4"/>
      <c r="GL415" s="4"/>
      <c r="GM415" s="4"/>
      <c r="GN415" s="4"/>
      <c r="GO415" s="4"/>
      <c r="GP415" s="4"/>
      <c r="GQ415" s="4"/>
      <c r="GR415" s="4"/>
      <c r="GS415" s="4"/>
      <c r="GT415" s="4"/>
      <c r="GU415" s="4"/>
      <c r="GV415" s="4"/>
      <c r="GW415" s="4"/>
      <c r="GX415" s="4"/>
    </row>
    <row r="416">
      <c r="A416" s="2" t="s">
        <v>2821</v>
      </c>
      <c r="B416" s="2" t="s">
        <v>697</v>
      </c>
      <c r="C416" s="2" t="s">
        <v>1962</v>
      </c>
      <c r="D416" s="2" t="s">
        <v>1982</v>
      </c>
      <c r="E416" s="2" t="s">
        <v>1983</v>
      </c>
      <c r="F416" s="2" t="s">
        <v>2805</v>
      </c>
      <c r="G416" s="2" t="s">
        <v>2805</v>
      </c>
      <c r="H416" s="2" t="s">
        <v>2805</v>
      </c>
      <c r="I416" s="2" t="s">
        <v>1985</v>
      </c>
      <c r="J416" s="2" t="s">
        <v>247</v>
      </c>
      <c r="K416" s="2" t="s">
        <v>1428</v>
      </c>
      <c r="L416" s="3">
        <v>54.72</v>
      </c>
      <c r="M416" s="3">
        <v>57.46</v>
      </c>
      <c r="N416" s="3">
        <v>114.99</v>
      </c>
      <c r="O416" s="2" t="s">
        <v>224</v>
      </c>
      <c r="P416" s="2" t="s">
        <v>225</v>
      </c>
      <c r="Q416" s="2" t="s">
        <v>226</v>
      </c>
      <c r="R416" s="2" t="s">
        <v>227</v>
      </c>
      <c r="S416" s="2" t="s">
        <v>2818</v>
      </c>
      <c r="T416" s="2" t="s">
        <v>2807</v>
      </c>
      <c r="U416" s="2" t="s">
        <v>552</v>
      </c>
      <c r="V416" s="2" t="s">
        <v>230</v>
      </c>
      <c r="W416" s="2" t="s">
        <v>231</v>
      </c>
      <c r="X416" s="2" t="s">
        <v>706</v>
      </c>
      <c r="Y416" s="2" t="s">
        <v>232</v>
      </c>
      <c r="Z416" s="4">
        <v>207</v>
      </c>
      <c r="AA416" s="4">
        <f>=ROUNDDOWN(14.7857142857143,0)</f>
      </c>
      <c r="AB416" s="5">
        <v>14</v>
      </c>
      <c r="AC416" s="2" t="s">
        <v>583</v>
      </c>
      <c r="AD416" s="4">
        <v>160</v>
      </c>
      <c r="AE416" s="4">
        <v>300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227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227</v>
      </c>
      <c r="AW416" s="8" t="s">
        <v>227</v>
      </c>
      <c r="AX416" s="4" t="s">
        <v>227</v>
      </c>
      <c r="AY416" s="8" t="s">
        <v>227</v>
      </c>
      <c r="AZ416" s="7" t="s">
        <v>227</v>
      </c>
      <c r="BA416" s="7" t="s">
        <v>227</v>
      </c>
      <c r="BB416" s="7"/>
      <c r="BC416" s="4" t="s">
        <v>227</v>
      </c>
      <c r="BD416" s="8" t="s">
        <v>227</v>
      </c>
      <c r="BE416" s="4" t="s">
        <v>227</v>
      </c>
      <c r="BF416" s="8" t="s">
        <v>227</v>
      </c>
      <c r="BG416" s="7" t="s">
        <v>227</v>
      </c>
      <c r="BH416" s="7" t="s">
        <v>227</v>
      </c>
      <c r="BI416" s="7"/>
      <c r="BJ416" s="4">
        <v>3</v>
      </c>
      <c r="BK416" s="8">
        <v>156.96</v>
      </c>
      <c r="BL416" s="2" t="s">
        <v>2822</v>
      </c>
      <c r="BM416" s="7"/>
      <c r="BN416" s="7"/>
      <c r="BO416" s="4"/>
      <c r="BP416" s="8"/>
      <c r="BQ416" s="4"/>
      <c r="BR416" s="8"/>
      <c r="BS416" s="7"/>
      <c r="BT416" s="7"/>
      <c r="BU416" s="2" t="s">
        <v>2823</v>
      </c>
      <c r="BV416" s="2" t="s">
        <v>227</v>
      </c>
      <c r="BW416" s="2" t="s">
        <v>227</v>
      </c>
      <c r="BX416" s="2" t="s">
        <v>2104</v>
      </c>
      <c r="BY416" s="2" t="s">
        <v>236</v>
      </c>
      <c r="BZ416" s="2" t="s">
        <v>224</v>
      </c>
      <c r="CA416" s="2" t="s">
        <v>2810</v>
      </c>
      <c r="CB416" s="2" t="s">
        <v>443</v>
      </c>
      <c r="CC416" s="2" t="s">
        <v>239</v>
      </c>
      <c r="CD416" s="2" t="s">
        <v>227</v>
      </c>
      <c r="CE416" s="4">
        <v>207</v>
      </c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>
        <v>160</v>
      </c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>
        <v>140</v>
      </c>
      <c r="GB416" s="4"/>
      <c r="GC416" s="4"/>
      <c r="GD416" s="4"/>
      <c r="GE416" s="4"/>
      <c r="GF416" s="4"/>
      <c r="GG416" s="4"/>
      <c r="GH416" s="4"/>
      <c r="GI416" s="4"/>
      <c r="GJ416" s="4"/>
      <c r="GK416" s="4"/>
      <c r="GL416" s="4"/>
      <c r="GM416" s="4"/>
      <c r="GN416" s="4"/>
      <c r="GO416" s="4"/>
      <c r="GP416" s="4"/>
      <c r="GQ416" s="4"/>
      <c r="GR416" s="4"/>
      <c r="GS416" s="4"/>
      <c r="GT416" s="4"/>
      <c r="GU416" s="4"/>
      <c r="GV416" s="4"/>
      <c r="GW416" s="4"/>
      <c r="GX416" s="4"/>
    </row>
    <row r="417">
      <c r="A417" s="2" t="s">
        <v>2824</v>
      </c>
      <c r="B417" s="2" t="s">
        <v>697</v>
      </c>
      <c r="C417" s="2" t="s">
        <v>1962</v>
      </c>
      <c r="D417" s="2" t="s">
        <v>1982</v>
      </c>
      <c r="E417" s="2" t="s">
        <v>1983</v>
      </c>
      <c r="F417" s="2" t="s">
        <v>2805</v>
      </c>
      <c r="G417" s="2" t="s">
        <v>2805</v>
      </c>
      <c r="H417" s="2" t="s">
        <v>2805</v>
      </c>
      <c r="I417" s="2" t="s">
        <v>1985</v>
      </c>
      <c r="J417" s="2" t="s">
        <v>222</v>
      </c>
      <c r="K417" s="2" t="s">
        <v>780</v>
      </c>
      <c r="L417" s="3">
        <v>49.12</v>
      </c>
      <c r="M417" s="3">
        <v>51.58</v>
      </c>
      <c r="N417" s="3">
        <v>104.99</v>
      </c>
      <c r="O417" s="2" t="s">
        <v>224</v>
      </c>
      <c r="P417" s="2" t="s">
        <v>225</v>
      </c>
      <c r="Q417" s="2" t="s">
        <v>226</v>
      </c>
      <c r="R417" s="2" t="s">
        <v>227</v>
      </c>
      <c r="S417" s="2" t="s">
        <v>2825</v>
      </c>
      <c r="T417" s="2" t="s">
        <v>2807</v>
      </c>
      <c r="U417" s="2" t="s">
        <v>552</v>
      </c>
      <c r="V417" s="2" t="s">
        <v>230</v>
      </c>
      <c r="W417" s="2" t="s">
        <v>231</v>
      </c>
      <c r="X417" s="2" t="s">
        <v>706</v>
      </c>
      <c r="Y417" s="2" t="s">
        <v>232</v>
      </c>
      <c r="Z417" s="4">
        <v>182</v>
      </c>
      <c r="AA417" s="4">
        <f>=ROUNDDOWN(15.1666666666667,0)</f>
      </c>
      <c r="AB417" s="5">
        <v>12</v>
      </c>
      <c r="AC417" s="2" t="s">
        <v>156</v>
      </c>
      <c r="AD417" s="4">
        <v>160</v>
      </c>
      <c r="AE417" s="4">
        <v>180</v>
      </c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227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 t="s">
        <v>227</v>
      </c>
      <c r="BD417" s="8" t="s">
        <v>227</v>
      </c>
      <c r="BE417" s="4" t="s">
        <v>227</v>
      </c>
      <c r="BF417" s="8" t="s">
        <v>227</v>
      </c>
      <c r="BG417" s="7" t="s">
        <v>227</v>
      </c>
      <c r="BH417" s="7" t="s">
        <v>227</v>
      </c>
      <c r="BI417" s="7"/>
      <c r="BJ417" s="4">
        <v>21</v>
      </c>
      <c r="BK417" s="8">
        <v>1108.19</v>
      </c>
      <c r="BL417" s="2" t="s">
        <v>2826</v>
      </c>
      <c r="BM417" s="7"/>
      <c r="BN417" s="7"/>
      <c r="BO417" s="4"/>
      <c r="BP417" s="8"/>
      <c r="BQ417" s="4"/>
      <c r="BR417" s="8"/>
      <c r="BS417" s="7"/>
      <c r="BT417" s="7"/>
      <c r="BU417" s="2" t="s">
        <v>2827</v>
      </c>
      <c r="BV417" s="2" t="s">
        <v>227</v>
      </c>
      <c r="BW417" s="2" t="s">
        <v>227</v>
      </c>
      <c r="BX417" s="2" t="s">
        <v>2104</v>
      </c>
      <c r="BY417" s="2" t="s">
        <v>236</v>
      </c>
      <c r="BZ417" s="2" t="s">
        <v>224</v>
      </c>
      <c r="CA417" s="2" t="s">
        <v>2810</v>
      </c>
      <c r="CB417" s="2" t="s">
        <v>981</v>
      </c>
      <c r="CC417" s="2" t="s">
        <v>239</v>
      </c>
      <c r="CD417" s="2" t="s">
        <v>227</v>
      </c>
      <c r="CE417" s="4">
        <v>182</v>
      </c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>
        <v>160</v>
      </c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>
        <v>20</v>
      </c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/>
      <c r="GI417" s="4"/>
      <c r="GJ417" s="4"/>
      <c r="GK417" s="4"/>
      <c r="GL417" s="4"/>
      <c r="GM417" s="4"/>
      <c r="GN417" s="4"/>
      <c r="GO417" s="4"/>
      <c r="GP417" s="4"/>
      <c r="GQ417" s="4"/>
      <c r="GR417" s="4"/>
      <c r="GS417" s="4"/>
      <c r="GT417" s="4"/>
      <c r="GU417" s="4"/>
      <c r="GV417" s="4"/>
      <c r="GW417" s="4"/>
      <c r="GX417" s="4"/>
    </row>
    <row r="418">
      <c r="A418" s="2" t="s">
        <v>2828</v>
      </c>
      <c r="B418" s="2" t="s">
        <v>715</v>
      </c>
      <c r="C418" s="2" t="s">
        <v>360</v>
      </c>
      <c r="D418" s="2" t="s">
        <v>815</v>
      </c>
      <c r="E418" s="2" t="s">
        <v>816</v>
      </c>
      <c r="F418" s="2" t="s">
        <v>2829</v>
      </c>
      <c r="G418" s="2" t="s">
        <v>2830</v>
      </c>
      <c r="H418" s="2" t="s">
        <v>2831</v>
      </c>
      <c r="I418" s="2" t="s">
        <v>2832</v>
      </c>
      <c r="J418" s="2" t="s">
        <v>1097</v>
      </c>
      <c r="K418" s="2" t="s">
        <v>2833</v>
      </c>
      <c r="L418" s="3">
        <v>12.42</v>
      </c>
      <c r="M418" s="3">
        <v>13.04</v>
      </c>
      <c r="N418" s="3">
        <v>26.99</v>
      </c>
      <c r="O418" s="2" t="s">
        <v>224</v>
      </c>
      <c r="P418" s="2" t="s">
        <v>225</v>
      </c>
      <c r="Q418" s="2" t="s">
        <v>226</v>
      </c>
      <c r="R418" s="2" t="s">
        <v>227</v>
      </c>
      <c r="S418" s="2" t="s">
        <v>2834</v>
      </c>
      <c r="T418" s="2" t="s">
        <v>227</v>
      </c>
      <c r="U418" s="2" t="s">
        <v>227</v>
      </c>
      <c r="V418" s="2" t="s">
        <v>230</v>
      </c>
      <c r="W418" s="2" t="s">
        <v>506</v>
      </c>
      <c r="X418" s="2" t="s">
        <v>227</v>
      </c>
      <c r="Y418" s="2" t="s">
        <v>2835</v>
      </c>
      <c r="Z418" s="4">
        <v>641</v>
      </c>
      <c r="AA418" s="4">
        <f>=ROUNDDOWN(30.5238095238095,0)</f>
      </c>
      <c r="AB418" s="5">
        <v>21</v>
      </c>
      <c r="AC418" s="2" t="s">
        <v>732</v>
      </c>
      <c r="AD418" s="4">
        <v>128</v>
      </c>
      <c r="AE418" s="4">
        <v>128</v>
      </c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227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/>
      <c r="BD418" s="8"/>
      <c r="BE418" s="4"/>
      <c r="BF418" s="8"/>
      <c r="BG418" s="7"/>
      <c r="BH418" s="7"/>
      <c r="BI418" s="7"/>
      <c r="BJ418" s="4">
        <v>51</v>
      </c>
      <c r="BK418" s="8">
        <v>648.72</v>
      </c>
      <c r="BL418" s="2" t="s">
        <v>2836</v>
      </c>
      <c r="BM418" s="7"/>
      <c r="BN418" s="7"/>
      <c r="BO418" s="4"/>
      <c r="BP418" s="8"/>
      <c r="BQ418" s="4"/>
      <c r="BR418" s="8"/>
      <c r="BS418" s="7"/>
      <c r="BT418" s="7"/>
      <c r="BU418" s="2" t="s">
        <v>2837</v>
      </c>
      <c r="BV418" s="2" t="s">
        <v>227</v>
      </c>
      <c r="BW418" s="2" t="s">
        <v>227</v>
      </c>
      <c r="BX418" s="2" t="s">
        <v>235</v>
      </c>
      <c r="BY418" s="2" t="s">
        <v>236</v>
      </c>
      <c r="BZ418" s="2" t="s">
        <v>224</v>
      </c>
      <c r="CA418" s="2" t="s">
        <v>2838</v>
      </c>
      <c r="CB418" s="2" t="s">
        <v>2839</v>
      </c>
      <c r="CC418" s="2" t="s">
        <v>239</v>
      </c>
      <c r="CD418" s="2" t="s">
        <v>227</v>
      </c>
      <c r="CE418" s="4">
        <v>641</v>
      </c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>
        <v>128</v>
      </c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</row>
    <row r="419">
      <c r="A419" s="2" t="s">
        <v>2840</v>
      </c>
      <c r="B419" s="2" t="s">
        <v>573</v>
      </c>
      <c r="C419" s="2" t="s">
        <v>543</v>
      </c>
      <c r="D419" s="2" t="s">
        <v>2841</v>
      </c>
      <c r="E419" s="2" t="s">
        <v>2842</v>
      </c>
      <c r="F419" s="2" t="s">
        <v>2843</v>
      </c>
      <c r="G419" s="2" t="s">
        <v>2843</v>
      </c>
      <c r="H419" s="2" t="s">
        <v>2843</v>
      </c>
      <c r="I419" s="2" t="s">
        <v>2844</v>
      </c>
      <c r="J419" s="2" t="s">
        <v>548</v>
      </c>
      <c r="K419" s="2" t="s">
        <v>737</v>
      </c>
      <c r="L419" s="3">
        <v>144</v>
      </c>
      <c r="M419" s="3">
        <v>151.2</v>
      </c>
      <c r="N419" s="3">
        <v>299</v>
      </c>
      <c r="O419" s="2" t="s">
        <v>224</v>
      </c>
      <c r="P419" s="2" t="s">
        <v>580</v>
      </c>
      <c r="Q419" s="2" t="s">
        <v>226</v>
      </c>
      <c r="R419" s="2" t="s">
        <v>227</v>
      </c>
      <c r="S419" s="2" t="s">
        <v>2845</v>
      </c>
      <c r="T419" s="2" t="s">
        <v>227</v>
      </c>
      <c r="U419" s="2" t="s">
        <v>552</v>
      </c>
      <c r="V419" s="2" t="s">
        <v>230</v>
      </c>
      <c r="W419" s="2" t="s">
        <v>1008</v>
      </c>
      <c r="X419" s="2" t="s">
        <v>554</v>
      </c>
      <c r="Y419" s="2" t="s">
        <v>1785</v>
      </c>
      <c r="Z419" s="4">
        <v>122</v>
      </c>
      <c r="AA419" s="4">
        <f>=ROUNDDOWN(40.6666666666667,0)</f>
      </c>
      <c r="AB419" s="5">
        <v>3</v>
      </c>
      <c r="AC419" s="2" t="s">
        <v>227</v>
      </c>
      <c r="AD419" s="4"/>
      <c r="AE419" s="4"/>
      <c r="AF419" s="6">
        <v>66</v>
      </c>
      <c r="AG419" s="6">
        <v>49</v>
      </c>
      <c r="AH419" s="7">
        <v>1</v>
      </c>
      <c r="AI419" s="4"/>
      <c r="AJ419" s="4">
        <f>=ROUNDDOWN({0},0)</f>
      </c>
      <c r="AK419" s="5"/>
      <c r="AL419" s="2" t="s">
        <v>227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/>
      <c r="BD419" s="8"/>
      <c r="BE419" s="4"/>
      <c r="BF419" s="8"/>
      <c r="BG419" s="7"/>
      <c r="BH419" s="7"/>
      <c r="BI419" s="7"/>
      <c r="BJ419" s="4">
        <v>16</v>
      </c>
      <c r="BK419" s="8">
        <v>2143.58</v>
      </c>
      <c r="BL419" s="2" t="s">
        <v>2846</v>
      </c>
      <c r="BM419" s="7"/>
      <c r="BN419" s="7"/>
      <c r="BO419" s="4"/>
      <c r="BP419" s="8"/>
      <c r="BQ419" s="4"/>
      <c r="BR419" s="8"/>
      <c r="BS419" s="7"/>
      <c r="BT419" s="7"/>
      <c r="BU419" s="2" t="s">
        <v>2847</v>
      </c>
      <c r="BV419" s="2" t="s">
        <v>227</v>
      </c>
      <c r="BW419" s="2" t="s">
        <v>227</v>
      </c>
      <c r="BX419" s="2" t="s">
        <v>235</v>
      </c>
      <c r="BY419" s="2" t="s">
        <v>236</v>
      </c>
      <c r="BZ419" s="2" t="s">
        <v>224</v>
      </c>
      <c r="CA419" s="2" t="s">
        <v>2848</v>
      </c>
      <c r="CB419" s="2" t="s">
        <v>2849</v>
      </c>
      <c r="CC419" s="2" t="s">
        <v>239</v>
      </c>
      <c r="CD419" s="2" t="s">
        <v>227</v>
      </c>
      <c r="CE419" s="4"/>
      <c r="CF419" s="4">
        <v>120</v>
      </c>
      <c r="CG419" s="4"/>
      <c r="CH419" s="4">
        <v>2</v>
      </c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  <c r="GT419" s="4"/>
      <c r="GU419" s="4"/>
      <c r="GV419" s="4"/>
      <c r="GW419" s="4"/>
      <c r="GX419" s="4"/>
    </row>
    <row r="420">
      <c r="A420" s="2" t="s">
        <v>2850</v>
      </c>
      <c r="B420" s="2" t="s">
        <v>697</v>
      </c>
      <c r="C420" s="2" t="s">
        <v>360</v>
      </c>
      <c r="D420" s="2" t="s">
        <v>868</v>
      </c>
      <c r="E420" s="2" t="s">
        <v>1334</v>
      </c>
      <c r="F420" s="2" t="s">
        <v>2851</v>
      </c>
      <c r="G420" s="2" t="s">
        <v>2852</v>
      </c>
      <c r="H420" s="2" t="s">
        <v>227</v>
      </c>
      <c r="I420" s="2" t="s">
        <v>2853</v>
      </c>
      <c r="J420" s="2" t="s">
        <v>2854</v>
      </c>
      <c r="K420" s="2" t="s">
        <v>410</v>
      </c>
      <c r="L420" s="3">
        <v>15.87</v>
      </c>
      <c r="M420" s="3">
        <v>16.66</v>
      </c>
      <c r="N420" s="3">
        <v>34.99</v>
      </c>
      <c r="O420" s="2" t="s">
        <v>224</v>
      </c>
      <c r="P420" s="2" t="s">
        <v>225</v>
      </c>
      <c r="Q420" s="2" t="s">
        <v>226</v>
      </c>
      <c r="R420" s="2" t="s">
        <v>227</v>
      </c>
      <c r="S420" s="2" t="s">
        <v>2855</v>
      </c>
      <c r="T420" s="2" t="s">
        <v>1698</v>
      </c>
      <c r="U420" s="2" t="s">
        <v>227</v>
      </c>
      <c r="V420" s="2" t="s">
        <v>877</v>
      </c>
      <c r="W420" s="2" t="s">
        <v>506</v>
      </c>
      <c r="X420" s="2" t="s">
        <v>227</v>
      </c>
      <c r="Y420" s="2" t="s">
        <v>891</v>
      </c>
      <c r="Z420" s="4">
        <v>1053</v>
      </c>
      <c r="AA420" s="4">
        <f>=ROUNDDOWN(87.75,0)</f>
      </c>
      <c r="AB420" s="5">
        <v>12</v>
      </c>
      <c r="AC420" s="2" t="s">
        <v>2856</v>
      </c>
      <c r="AD420" s="4">
        <v>1000</v>
      </c>
      <c r="AE420" s="4">
        <v>2000</v>
      </c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227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/>
      <c r="AW420" s="8"/>
      <c r="AX420" s="4"/>
      <c r="AY420" s="8"/>
      <c r="AZ420" s="7"/>
      <c r="BA420" s="7"/>
      <c r="BB420" s="7"/>
      <c r="BC420" s="4"/>
      <c r="BD420" s="8"/>
      <c r="BE420" s="4"/>
      <c r="BF420" s="8"/>
      <c r="BG420" s="7"/>
      <c r="BH420" s="7"/>
      <c r="BI420" s="7"/>
      <c r="BJ420" s="4">
        <v>43</v>
      </c>
      <c r="BK420" s="8">
        <v>682.57</v>
      </c>
      <c r="BL420" s="2" t="s">
        <v>2857</v>
      </c>
      <c r="BM420" s="7"/>
      <c r="BN420" s="7"/>
      <c r="BO420" s="4"/>
      <c r="BP420" s="8"/>
      <c r="BQ420" s="4"/>
      <c r="BR420" s="8"/>
      <c r="BS420" s="7"/>
      <c r="BT420" s="7"/>
      <c r="BU420" s="2" t="s">
        <v>2858</v>
      </c>
      <c r="BV420" s="2" t="s">
        <v>227</v>
      </c>
      <c r="BW420" s="2" t="s">
        <v>227</v>
      </c>
      <c r="BX420" s="2" t="s">
        <v>235</v>
      </c>
      <c r="BY420" s="2" t="s">
        <v>236</v>
      </c>
      <c r="BZ420" s="2" t="s">
        <v>224</v>
      </c>
      <c r="CA420" s="2" t="s">
        <v>2859</v>
      </c>
      <c r="CB420" s="2" t="s">
        <v>911</v>
      </c>
      <c r="CC420" s="2" t="s">
        <v>239</v>
      </c>
      <c r="CD420" s="2" t="s">
        <v>227</v>
      </c>
      <c r="CE420" s="4">
        <v>1053</v>
      </c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>
        <v>1000</v>
      </c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>
        <v>1000</v>
      </c>
      <c r="GC420" s="4"/>
      <c r="GD420" s="4"/>
      <c r="GE420" s="4"/>
      <c r="GF420" s="4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  <c r="GT420" s="4"/>
      <c r="GU420" s="4"/>
      <c r="GV420" s="4"/>
      <c r="GW420" s="4"/>
      <c r="GX420" s="4"/>
    </row>
    <row r="421">
      <c r="A421" s="2" t="s">
        <v>2860</v>
      </c>
      <c r="B421" s="2" t="s">
        <v>573</v>
      </c>
      <c r="C421" s="2" t="s">
        <v>543</v>
      </c>
      <c r="D421" s="2" t="s">
        <v>1230</v>
      </c>
      <c r="E421" s="2" t="s">
        <v>1231</v>
      </c>
      <c r="F421" s="2" t="s">
        <v>2861</v>
      </c>
      <c r="G421" s="2" t="s">
        <v>2861</v>
      </c>
      <c r="H421" s="2" t="s">
        <v>2861</v>
      </c>
      <c r="I421" s="2" t="s">
        <v>2862</v>
      </c>
      <c r="J421" s="2" t="s">
        <v>548</v>
      </c>
      <c r="K421" s="2" t="s">
        <v>2863</v>
      </c>
      <c r="L421" s="3">
        <v>184.5</v>
      </c>
      <c r="M421" s="3">
        <v>193.72</v>
      </c>
      <c r="N421" s="3">
        <v>389</v>
      </c>
      <c r="O421" s="2" t="s">
        <v>224</v>
      </c>
      <c r="P421" s="2" t="s">
        <v>225</v>
      </c>
      <c r="Q421" s="2" t="s">
        <v>226</v>
      </c>
      <c r="R421" s="2" t="s">
        <v>227</v>
      </c>
      <c r="S421" s="2" t="s">
        <v>227</v>
      </c>
      <c r="T421" s="2" t="s">
        <v>227</v>
      </c>
      <c r="U421" s="2" t="s">
        <v>552</v>
      </c>
      <c r="V421" s="2" t="s">
        <v>566</v>
      </c>
      <c r="W421" s="2" t="s">
        <v>1008</v>
      </c>
      <c r="X421" s="2" t="s">
        <v>2864</v>
      </c>
      <c r="Y421" s="2" t="s">
        <v>2865</v>
      </c>
      <c r="Z421" s="4">
        <v>74</v>
      </c>
      <c r="AA421" s="4">
        <f>=ROUNDDOWN(8.22222222222222,0)</f>
      </c>
      <c r="AB421" s="5">
        <v>9</v>
      </c>
      <c r="AC421" s="2" t="s">
        <v>2866</v>
      </c>
      <c r="AD421" s="4">
        <v>80</v>
      </c>
      <c r="AE421" s="4">
        <v>150</v>
      </c>
      <c r="AF421" s="6">
        <v>74</v>
      </c>
      <c r="AG421" s="6">
        <v>60</v>
      </c>
      <c r="AH421" s="7">
        <v>0.9355</v>
      </c>
      <c r="AI421" s="4"/>
      <c r="AJ421" s="4">
        <f>=ROUNDDOWN({0},0)</f>
      </c>
      <c r="AK421" s="5"/>
      <c r="AL421" s="2" t="s">
        <v>227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/>
      <c r="AW421" s="8"/>
      <c r="AX421" s="4"/>
      <c r="AY421" s="8"/>
      <c r="AZ421" s="7"/>
      <c r="BA421" s="7"/>
      <c r="BB421" s="7"/>
      <c r="BC421" s="4"/>
      <c r="BD421" s="8"/>
      <c r="BE421" s="4"/>
      <c r="BF421" s="8"/>
      <c r="BG421" s="7"/>
      <c r="BH421" s="7"/>
      <c r="BI421" s="7"/>
      <c r="BJ421" s="4">
        <v>29</v>
      </c>
      <c r="BK421" s="8">
        <v>5403.48</v>
      </c>
      <c r="BL421" s="2" t="s">
        <v>1977</v>
      </c>
      <c r="BM421" s="7"/>
      <c r="BN421" s="7"/>
      <c r="BO421" s="4"/>
      <c r="BP421" s="8"/>
      <c r="BQ421" s="4"/>
      <c r="BR421" s="8"/>
      <c r="BS421" s="7"/>
      <c r="BT421" s="7"/>
      <c r="BU421" s="2" t="s">
        <v>2867</v>
      </c>
      <c r="BV421" s="2" t="s">
        <v>227</v>
      </c>
      <c r="BW421" s="2" t="s">
        <v>227</v>
      </c>
      <c r="BX421" s="2" t="s">
        <v>711</v>
      </c>
      <c r="BY421" s="2" t="s">
        <v>236</v>
      </c>
      <c r="BZ421" s="2" t="s">
        <v>224</v>
      </c>
      <c r="CA421" s="2" t="s">
        <v>2868</v>
      </c>
      <c r="CB421" s="2" t="s">
        <v>2869</v>
      </c>
      <c r="CC421" s="2" t="s">
        <v>239</v>
      </c>
      <c r="CD421" s="2" t="s">
        <v>227</v>
      </c>
      <c r="CE421" s="4"/>
      <c r="CF421" s="4">
        <v>74</v>
      </c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>
        <v>80</v>
      </c>
      <c r="EK421" s="4"/>
      <c r="EL421" s="4"/>
      <c r="EM421" s="4"/>
      <c r="EN421" s="4"/>
      <c r="EO421" s="4">
        <v>70</v>
      </c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  <c r="GT421" s="4"/>
      <c r="GU421" s="4"/>
      <c r="GV421" s="4"/>
      <c r="GW421" s="4"/>
      <c r="GX421" s="4"/>
    </row>
    <row r="422">
      <c r="A422" s="2" t="s">
        <v>2870</v>
      </c>
      <c r="B422" s="2" t="s">
        <v>715</v>
      </c>
      <c r="C422" s="2" t="s">
        <v>360</v>
      </c>
      <c r="D422" s="2" t="s">
        <v>716</v>
      </c>
      <c r="E422" s="2" t="s">
        <v>717</v>
      </c>
      <c r="F422" s="2" t="s">
        <v>2871</v>
      </c>
      <c r="G422" s="2" t="s">
        <v>2872</v>
      </c>
      <c r="H422" s="2" t="s">
        <v>2873</v>
      </c>
      <c r="I422" s="2" t="s">
        <v>2874</v>
      </c>
      <c r="J422" s="2" t="s">
        <v>808</v>
      </c>
      <c r="K422" s="2" t="s">
        <v>976</v>
      </c>
      <c r="L422" s="3">
        <v>17.1</v>
      </c>
      <c r="M422" s="3">
        <v>17.96</v>
      </c>
      <c r="N422" s="3">
        <v>44.99</v>
      </c>
      <c r="O422" s="2" t="s">
        <v>224</v>
      </c>
      <c r="P422" s="2" t="s">
        <v>225</v>
      </c>
      <c r="Q422" s="2" t="s">
        <v>226</v>
      </c>
      <c r="R422" s="2" t="s">
        <v>227</v>
      </c>
      <c r="S422" s="2" t="s">
        <v>2875</v>
      </c>
      <c r="T422" s="2" t="s">
        <v>227</v>
      </c>
      <c r="U422" s="2" t="s">
        <v>552</v>
      </c>
      <c r="V422" s="2" t="s">
        <v>230</v>
      </c>
      <c r="W422" s="2" t="s">
        <v>581</v>
      </c>
      <c r="X422" s="2" t="s">
        <v>1872</v>
      </c>
      <c r="Y422" s="2" t="s">
        <v>2648</v>
      </c>
      <c r="Z422" s="4">
        <v>109</v>
      </c>
      <c r="AA422" s="4">
        <f>=ROUNDDOWN(13.625,0)</f>
      </c>
      <c r="AB422" s="5">
        <v>8</v>
      </c>
      <c r="AC422" s="2" t="s">
        <v>732</v>
      </c>
      <c r="AD422" s="4">
        <v>84</v>
      </c>
      <c r="AE422" s="4">
        <v>184</v>
      </c>
      <c r="AF422" s="6">
        <v>64</v>
      </c>
      <c r="AG422" s="6"/>
      <c r="AH422" s="7">
        <v>1</v>
      </c>
      <c r="AI422" s="4"/>
      <c r="AJ422" s="4">
        <f>=ROUNDDOWN({0},0)</f>
      </c>
      <c r="AK422" s="5"/>
      <c r="AL422" s="2" t="s">
        <v>227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227</v>
      </c>
      <c r="AW422" s="8" t="s">
        <v>227</v>
      </c>
      <c r="AX422" s="4" t="s">
        <v>227</v>
      </c>
      <c r="AY422" s="8" t="s">
        <v>227</v>
      </c>
      <c r="AZ422" s="7" t="s">
        <v>227</v>
      </c>
      <c r="BA422" s="7" t="s">
        <v>227</v>
      </c>
      <c r="BB422" s="7"/>
      <c r="BC422" s="4" t="s">
        <v>227</v>
      </c>
      <c r="BD422" s="8" t="s">
        <v>227</v>
      </c>
      <c r="BE422" s="4" t="s">
        <v>227</v>
      </c>
      <c r="BF422" s="8" t="s">
        <v>227</v>
      </c>
      <c r="BG422" s="7" t="s">
        <v>227</v>
      </c>
      <c r="BH422" s="7" t="s">
        <v>227</v>
      </c>
      <c r="BI422" s="7"/>
      <c r="BJ422" s="4">
        <v>10</v>
      </c>
      <c r="BK422" s="8">
        <v>191.96</v>
      </c>
      <c r="BL422" s="2" t="s">
        <v>654</v>
      </c>
      <c r="BM422" s="7"/>
      <c r="BN422" s="7"/>
      <c r="BO422" s="4"/>
      <c r="BP422" s="8"/>
      <c r="BQ422" s="4"/>
      <c r="BR422" s="8"/>
      <c r="BS422" s="7"/>
      <c r="BT422" s="7"/>
      <c r="BU422" s="2" t="s">
        <v>2876</v>
      </c>
      <c r="BV422" s="2" t="s">
        <v>227</v>
      </c>
      <c r="BW422" s="2" t="s">
        <v>227</v>
      </c>
      <c r="BX422" s="2" t="s">
        <v>2877</v>
      </c>
      <c r="BY422" s="2" t="s">
        <v>236</v>
      </c>
      <c r="BZ422" s="2" t="s">
        <v>224</v>
      </c>
      <c r="CA422" s="2" t="s">
        <v>2878</v>
      </c>
      <c r="CB422" s="2" t="s">
        <v>2879</v>
      </c>
      <c r="CC422" s="2" t="s">
        <v>239</v>
      </c>
      <c r="CD422" s="2" t="s">
        <v>227</v>
      </c>
      <c r="CE422" s="4">
        <v>109</v>
      </c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>
        <v>84</v>
      </c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>
        <v>100</v>
      </c>
      <c r="GT422" s="4"/>
      <c r="GU422" s="4"/>
      <c r="GV422" s="4"/>
      <c r="GW422" s="4"/>
      <c r="GX422" s="4"/>
    </row>
    <row r="423">
      <c r="A423" s="2" t="s">
        <v>2880</v>
      </c>
      <c r="B423" s="2" t="s">
        <v>715</v>
      </c>
      <c r="C423" s="2" t="s">
        <v>360</v>
      </c>
      <c r="D423" s="2" t="s">
        <v>716</v>
      </c>
      <c r="E423" s="2" t="s">
        <v>717</v>
      </c>
      <c r="F423" s="2" t="s">
        <v>2871</v>
      </c>
      <c r="G423" s="2" t="s">
        <v>2872</v>
      </c>
      <c r="H423" s="2" t="s">
        <v>2873</v>
      </c>
      <c r="I423" s="2" t="s">
        <v>2874</v>
      </c>
      <c r="J423" s="2" t="s">
        <v>983</v>
      </c>
      <c r="K423" s="2" t="s">
        <v>976</v>
      </c>
      <c r="L423" s="3">
        <v>21</v>
      </c>
      <c r="M423" s="3">
        <v>22.05</v>
      </c>
      <c r="N423" s="3">
        <v>49.99</v>
      </c>
      <c r="O423" s="2" t="s">
        <v>224</v>
      </c>
      <c r="P423" s="2" t="s">
        <v>225</v>
      </c>
      <c r="Q423" s="2" t="s">
        <v>226</v>
      </c>
      <c r="R423" s="2" t="s">
        <v>227</v>
      </c>
      <c r="S423" s="2" t="s">
        <v>2875</v>
      </c>
      <c r="T423" s="2" t="s">
        <v>227</v>
      </c>
      <c r="U423" s="2" t="s">
        <v>552</v>
      </c>
      <c r="V423" s="2" t="s">
        <v>230</v>
      </c>
      <c r="W423" s="2" t="s">
        <v>581</v>
      </c>
      <c r="X423" s="2" t="s">
        <v>1872</v>
      </c>
      <c r="Y423" s="2" t="s">
        <v>2648</v>
      </c>
      <c r="Z423" s="4">
        <v>40</v>
      </c>
      <c r="AA423" s="4">
        <f>=ROUNDDOWN(6.66666666666667,0)</f>
      </c>
      <c r="AB423" s="5">
        <v>6</v>
      </c>
      <c r="AC423" s="2" t="s">
        <v>732</v>
      </c>
      <c r="AD423" s="4">
        <v>68</v>
      </c>
      <c r="AE423" s="4">
        <v>180</v>
      </c>
      <c r="AF423" s="6">
        <v>64</v>
      </c>
      <c r="AG423" s="6"/>
      <c r="AH423" s="7">
        <v>1</v>
      </c>
      <c r="AI423" s="4"/>
      <c r="AJ423" s="4">
        <f>=ROUNDDOWN({0},0)</f>
      </c>
      <c r="AK423" s="5"/>
      <c r="AL423" s="2" t="s">
        <v>227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227</v>
      </c>
      <c r="AW423" s="8" t="s">
        <v>227</v>
      </c>
      <c r="AX423" s="4" t="s">
        <v>227</v>
      </c>
      <c r="AY423" s="8" t="s">
        <v>227</v>
      </c>
      <c r="AZ423" s="7" t="s">
        <v>227</v>
      </c>
      <c r="BA423" s="7" t="s">
        <v>227</v>
      </c>
      <c r="BB423" s="7"/>
      <c r="BC423" s="4" t="s">
        <v>227</v>
      </c>
      <c r="BD423" s="8" t="s">
        <v>227</v>
      </c>
      <c r="BE423" s="4" t="s">
        <v>227</v>
      </c>
      <c r="BF423" s="8" t="s">
        <v>227</v>
      </c>
      <c r="BG423" s="7" t="s">
        <v>227</v>
      </c>
      <c r="BH423" s="7" t="s">
        <v>227</v>
      </c>
      <c r="BI423" s="7"/>
      <c r="BJ423" s="4">
        <v>10</v>
      </c>
      <c r="BK423" s="8">
        <v>211.7</v>
      </c>
      <c r="BL423" s="2" t="s">
        <v>2881</v>
      </c>
      <c r="BM423" s="7"/>
      <c r="BN423" s="7"/>
      <c r="BO423" s="4"/>
      <c r="BP423" s="8"/>
      <c r="BQ423" s="4"/>
      <c r="BR423" s="8"/>
      <c r="BS423" s="7"/>
      <c r="BT423" s="7"/>
      <c r="BU423" s="2" t="s">
        <v>2882</v>
      </c>
      <c r="BV423" s="2" t="s">
        <v>227</v>
      </c>
      <c r="BW423" s="2" t="s">
        <v>227</v>
      </c>
      <c r="BX423" s="2" t="s">
        <v>2877</v>
      </c>
      <c r="BY423" s="2" t="s">
        <v>236</v>
      </c>
      <c r="BZ423" s="2" t="s">
        <v>224</v>
      </c>
      <c r="CA423" s="2" t="s">
        <v>2878</v>
      </c>
      <c r="CB423" s="2" t="s">
        <v>227</v>
      </c>
      <c r="CC423" s="2" t="s">
        <v>239</v>
      </c>
      <c r="CD423" s="2" t="s">
        <v>227</v>
      </c>
      <c r="CE423" s="4">
        <v>40</v>
      </c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>
        <v>68</v>
      </c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>
        <v>112</v>
      </c>
      <c r="GT423" s="4"/>
      <c r="GU423" s="4"/>
      <c r="GV423" s="4"/>
      <c r="GW423" s="4"/>
      <c r="GX423" s="4"/>
    </row>
    <row r="424">
      <c r="A424" s="2" t="s">
        <v>2883</v>
      </c>
      <c r="B424" s="2" t="s">
        <v>715</v>
      </c>
      <c r="C424" s="2" t="s">
        <v>360</v>
      </c>
      <c r="D424" s="2" t="s">
        <v>716</v>
      </c>
      <c r="E424" s="2" t="s">
        <v>717</v>
      </c>
      <c r="F424" s="2" t="s">
        <v>2871</v>
      </c>
      <c r="G424" s="2" t="s">
        <v>2872</v>
      </c>
      <c r="H424" s="2" t="s">
        <v>2873</v>
      </c>
      <c r="I424" s="2" t="s">
        <v>2874</v>
      </c>
      <c r="J424" s="2" t="s">
        <v>2884</v>
      </c>
      <c r="K424" s="2" t="s">
        <v>976</v>
      </c>
      <c r="L424" s="3">
        <v>23.1</v>
      </c>
      <c r="M424" s="3">
        <v>24.26</v>
      </c>
      <c r="N424" s="3">
        <v>54.99</v>
      </c>
      <c r="O424" s="2" t="s">
        <v>224</v>
      </c>
      <c r="P424" s="2" t="s">
        <v>225</v>
      </c>
      <c r="Q424" s="2" t="s">
        <v>226</v>
      </c>
      <c r="R424" s="2" t="s">
        <v>227</v>
      </c>
      <c r="S424" s="2" t="s">
        <v>2875</v>
      </c>
      <c r="T424" s="2" t="s">
        <v>227</v>
      </c>
      <c r="U424" s="2" t="s">
        <v>552</v>
      </c>
      <c r="V424" s="2" t="s">
        <v>230</v>
      </c>
      <c r="W424" s="2" t="s">
        <v>581</v>
      </c>
      <c r="X424" s="2" t="s">
        <v>1872</v>
      </c>
      <c r="Y424" s="2" t="s">
        <v>2648</v>
      </c>
      <c r="Z424" s="4">
        <v>18</v>
      </c>
      <c r="AA424" s="4">
        <f>=ROUNDDOWN(6,0)</f>
      </c>
      <c r="AB424" s="5">
        <v>3</v>
      </c>
      <c r="AC424" s="2" t="s">
        <v>732</v>
      </c>
      <c r="AD424" s="4">
        <v>84</v>
      </c>
      <c r="AE424" s="4">
        <v>84</v>
      </c>
      <c r="AF424" s="6">
        <v>64</v>
      </c>
      <c r="AG424" s="6"/>
      <c r="AH424" s="7">
        <v>1</v>
      </c>
      <c r="AI424" s="4"/>
      <c r="AJ424" s="4">
        <f>=ROUNDDOWN({0},0)</f>
      </c>
      <c r="AK424" s="5"/>
      <c r="AL424" s="2" t="s">
        <v>227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227</v>
      </c>
      <c r="AW424" s="8" t="s">
        <v>227</v>
      </c>
      <c r="AX424" s="4" t="s">
        <v>227</v>
      </c>
      <c r="AY424" s="8" t="s">
        <v>227</v>
      </c>
      <c r="AZ424" s="7" t="s">
        <v>227</v>
      </c>
      <c r="BA424" s="7" t="s">
        <v>227</v>
      </c>
      <c r="BB424" s="7"/>
      <c r="BC424" s="4" t="s">
        <v>227</v>
      </c>
      <c r="BD424" s="8" t="s">
        <v>227</v>
      </c>
      <c r="BE424" s="4" t="s">
        <v>227</v>
      </c>
      <c r="BF424" s="8" t="s">
        <v>227</v>
      </c>
      <c r="BG424" s="7" t="s">
        <v>227</v>
      </c>
      <c r="BH424" s="7" t="s">
        <v>227</v>
      </c>
      <c r="BI424" s="7"/>
      <c r="BJ424" s="4">
        <v>2</v>
      </c>
      <c r="BK424" s="8">
        <v>37.98</v>
      </c>
      <c r="BL424" s="2" t="s">
        <v>1739</v>
      </c>
      <c r="BM424" s="7"/>
      <c r="BN424" s="7"/>
      <c r="BO424" s="4"/>
      <c r="BP424" s="8"/>
      <c r="BQ424" s="4"/>
      <c r="BR424" s="8"/>
      <c r="BS424" s="7"/>
      <c r="BT424" s="7"/>
      <c r="BU424" s="2" t="s">
        <v>2885</v>
      </c>
      <c r="BV424" s="2" t="s">
        <v>227</v>
      </c>
      <c r="BW424" s="2" t="s">
        <v>227</v>
      </c>
      <c r="BX424" s="2" t="s">
        <v>2877</v>
      </c>
      <c r="BY424" s="2" t="s">
        <v>236</v>
      </c>
      <c r="BZ424" s="2" t="s">
        <v>224</v>
      </c>
      <c r="CA424" s="2" t="s">
        <v>2878</v>
      </c>
      <c r="CB424" s="2" t="s">
        <v>2868</v>
      </c>
      <c r="CC424" s="2" t="s">
        <v>239</v>
      </c>
      <c r="CD424" s="2" t="s">
        <v>227</v>
      </c>
      <c r="CE424" s="4">
        <v>18</v>
      </c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>
        <v>84</v>
      </c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4"/>
      <c r="GR424" s="4"/>
      <c r="GS424" s="4"/>
      <c r="GT424" s="4"/>
      <c r="GU424" s="4"/>
      <c r="GV424" s="4"/>
      <c r="GW424" s="4"/>
      <c r="GX424" s="4"/>
    </row>
    <row r="425">
      <c r="A425" s="2" t="s">
        <v>2886</v>
      </c>
      <c r="B425" s="2" t="s">
        <v>715</v>
      </c>
      <c r="C425" s="2" t="s">
        <v>360</v>
      </c>
      <c r="D425" s="2" t="s">
        <v>716</v>
      </c>
      <c r="E425" s="2" t="s">
        <v>717</v>
      </c>
      <c r="F425" s="2" t="s">
        <v>2871</v>
      </c>
      <c r="G425" s="2" t="s">
        <v>2872</v>
      </c>
      <c r="H425" s="2" t="s">
        <v>2873</v>
      </c>
      <c r="I425" s="2" t="s">
        <v>2887</v>
      </c>
      <c r="J425" s="2" t="s">
        <v>2888</v>
      </c>
      <c r="K425" s="2" t="s">
        <v>976</v>
      </c>
      <c r="L425" s="3">
        <v>18.4</v>
      </c>
      <c r="M425" s="3">
        <v>19.32</v>
      </c>
      <c r="N425" s="3">
        <v>39.99</v>
      </c>
      <c r="O425" s="2" t="s">
        <v>224</v>
      </c>
      <c r="P425" s="2" t="s">
        <v>225</v>
      </c>
      <c r="Q425" s="2" t="s">
        <v>226</v>
      </c>
      <c r="R425" s="2" t="s">
        <v>227</v>
      </c>
      <c r="S425" s="2" t="s">
        <v>2875</v>
      </c>
      <c r="T425" s="2" t="s">
        <v>227</v>
      </c>
      <c r="U425" s="2" t="s">
        <v>552</v>
      </c>
      <c r="V425" s="2" t="s">
        <v>230</v>
      </c>
      <c r="W425" s="2" t="s">
        <v>581</v>
      </c>
      <c r="X425" s="2" t="s">
        <v>1216</v>
      </c>
      <c r="Y425" s="2" t="s">
        <v>2648</v>
      </c>
      <c r="Z425" s="4">
        <v>44</v>
      </c>
      <c r="AA425" s="4">
        <f>=ROUNDDOWN(7.33333333333333,0)</f>
      </c>
      <c r="AB425" s="5">
        <v>6</v>
      </c>
      <c r="AC425" s="2" t="s">
        <v>732</v>
      </c>
      <c r="AD425" s="4">
        <v>80</v>
      </c>
      <c r="AE425" s="4">
        <v>152</v>
      </c>
      <c r="AF425" s="6">
        <v>64</v>
      </c>
      <c r="AG425" s="6"/>
      <c r="AH425" s="7">
        <v>1</v>
      </c>
      <c r="AI425" s="4"/>
      <c r="AJ425" s="4">
        <f>=ROUNDDOWN({0},0)</f>
      </c>
      <c r="AK425" s="5"/>
      <c r="AL425" s="2" t="s">
        <v>227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227</v>
      </c>
      <c r="AW425" s="8" t="s">
        <v>227</v>
      </c>
      <c r="AX425" s="4" t="s">
        <v>227</v>
      </c>
      <c r="AY425" s="8" t="s">
        <v>227</v>
      </c>
      <c r="AZ425" s="7" t="s">
        <v>227</v>
      </c>
      <c r="BA425" s="7" t="s">
        <v>227</v>
      </c>
      <c r="BB425" s="7"/>
      <c r="BC425" s="4" t="s">
        <v>227</v>
      </c>
      <c r="BD425" s="8" t="s">
        <v>227</v>
      </c>
      <c r="BE425" s="4" t="s">
        <v>227</v>
      </c>
      <c r="BF425" s="8" t="s">
        <v>227</v>
      </c>
      <c r="BG425" s="7" t="s">
        <v>227</v>
      </c>
      <c r="BH425" s="7" t="s">
        <v>227</v>
      </c>
      <c r="BI425" s="7"/>
      <c r="BJ425" s="4">
        <v>33</v>
      </c>
      <c r="BK425" s="8">
        <v>680.45</v>
      </c>
      <c r="BL425" s="2" t="s">
        <v>2889</v>
      </c>
      <c r="BM425" s="7"/>
      <c r="BN425" s="7"/>
      <c r="BO425" s="4"/>
      <c r="BP425" s="8"/>
      <c r="BQ425" s="4"/>
      <c r="BR425" s="8"/>
      <c r="BS425" s="7"/>
      <c r="BT425" s="7"/>
      <c r="BU425" s="2" t="s">
        <v>2890</v>
      </c>
      <c r="BV425" s="2" t="s">
        <v>227</v>
      </c>
      <c r="BW425" s="2" t="s">
        <v>227</v>
      </c>
      <c r="BX425" s="2" t="s">
        <v>711</v>
      </c>
      <c r="BY425" s="2" t="s">
        <v>236</v>
      </c>
      <c r="BZ425" s="2" t="s">
        <v>224</v>
      </c>
      <c r="CA425" s="2" t="s">
        <v>2878</v>
      </c>
      <c r="CB425" s="2" t="s">
        <v>2891</v>
      </c>
      <c r="CC425" s="2" t="s">
        <v>239</v>
      </c>
      <c r="CD425" s="2" t="s">
        <v>227</v>
      </c>
      <c r="CE425" s="4">
        <v>44</v>
      </c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>
        <v>80</v>
      </c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/>
      <c r="FP425" s="4"/>
      <c r="FQ425" s="4"/>
      <c r="FR425" s="4"/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/>
      <c r="GI425" s="4"/>
      <c r="GJ425" s="4"/>
      <c r="GK425" s="4"/>
      <c r="GL425" s="4"/>
      <c r="GM425" s="4"/>
      <c r="GN425" s="4"/>
      <c r="GO425" s="4"/>
      <c r="GP425" s="4"/>
      <c r="GQ425" s="4"/>
      <c r="GR425" s="4"/>
      <c r="GS425" s="4">
        <v>72</v>
      </c>
      <c r="GT425" s="4"/>
      <c r="GU425" s="4"/>
      <c r="GV425" s="4"/>
      <c r="GW425" s="4"/>
      <c r="GX425" s="4"/>
    </row>
    <row r="426">
      <c r="A426" s="2" t="s">
        <v>2892</v>
      </c>
      <c r="B426" s="2" t="s">
        <v>715</v>
      </c>
      <c r="C426" s="2" t="s">
        <v>360</v>
      </c>
      <c r="D426" s="2" t="s">
        <v>716</v>
      </c>
      <c r="E426" s="2" t="s">
        <v>717</v>
      </c>
      <c r="F426" s="2" t="s">
        <v>2871</v>
      </c>
      <c r="G426" s="2" t="s">
        <v>2872</v>
      </c>
      <c r="H426" s="2" t="s">
        <v>2873</v>
      </c>
      <c r="I426" s="2" t="s">
        <v>2887</v>
      </c>
      <c r="J426" s="2" t="s">
        <v>2893</v>
      </c>
      <c r="K426" s="2" t="s">
        <v>976</v>
      </c>
      <c r="L426" s="3">
        <v>20.25</v>
      </c>
      <c r="M426" s="3">
        <v>21.26</v>
      </c>
      <c r="N426" s="3">
        <v>44.99</v>
      </c>
      <c r="O426" s="2" t="s">
        <v>224</v>
      </c>
      <c r="P426" s="2" t="s">
        <v>225</v>
      </c>
      <c r="Q426" s="2" t="s">
        <v>226</v>
      </c>
      <c r="R426" s="2" t="s">
        <v>227</v>
      </c>
      <c r="S426" s="2" t="s">
        <v>2875</v>
      </c>
      <c r="T426" s="2" t="s">
        <v>227</v>
      </c>
      <c r="U426" s="2" t="s">
        <v>552</v>
      </c>
      <c r="V426" s="2" t="s">
        <v>230</v>
      </c>
      <c r="W426" s="2" t="s">
        <v>581</v>
      </c>
      <c r="X426" s="2" t="s">
        <v>1216</v>
      </c>
      <c r="Y426" s="2" t="s">
        <v>2648</v>
      </c>
      <c r="Z426" s="4">
        <v>52</v>
      </c>
      <c r="AA426" s="4">
        <f>=ROUNDDOWN(13,0)</f>
      </c>
      <c r="AB426" s="5">
        <v>4</v>
      </c>
      <c r="AC426" s="2" t="s">
        <v>732</v>
      </c>
      <c r="AD426" s="4">
        <v>152</v>
      </c>
      <c r="AE426" s="4">
        <v>152</v>
      </c>
      <c r="AF426" s="6">
        <v>64</v>
      </c>
      <c r="AG426" s="6"/>
      <c r="AH426" s="7">
        <v>1</v>
      </c>
      <c r="AI426" s="4"/>
      <c r="AJ426" s="4">
        <f>=ROUNDDOWN({0},0)</f>
      </c>
      <c r="AK426" s="5"/>
      <c r="AL426" s="2" t="s">
        <v>227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227</v>
      </c>
      <c r="AW426" s="8" t="s">
        <v>227</v>
      </c>
      <c r="AX426" s="4" t="s">
        <v>227</v>
      </c>
      <c r="AY426" s="8" t="s">
        <v>227</v>
      </c>
      <c r="AZ426" s="7" t="s">
        <v>227</v>
      </c>
      <c r="BA426" s="7" t="s">
        <v>227</v>
      </c>
      <c r="BB426" s="7"/>
      <c r="BC426" s="4" t="s">
        <v>227</v>
      </c>
      <c r="BD426" s="8" t="s">
        <v>227</v>
      </c>
      <c r="BE426" s="4" t="s">
        <v>227</v>
      </c>
      <c r="BF426" s="8" t="s">
        <v>227</v>
      </c>
      <c r="BG426" s="7" t="s">
        <v>227</v>
      </c>
      <c r="BH426" s="7" t="s">
        <v>227</v>
      </c>
      <c r="BI426" s="7"/>
      <c r="BJ426" s="4"/>
      <c r="BK426" s="8"/>
      <c r="BL426" s="2" t="s">
        <v>227</v>
      </c>
      <c r="BM426" s="7"/>
      <c r="BN426" s="7"/>
      <c r="BO426" s="4"/>
      <c r="BP426" s="8"/>
      <c r="BQ426" s="4"/>
      <c r="BR426" s="8"/>
      <c r="BS426" s="7"/>
      <c r="BT426" s="7"/>
      <c r="BU426" s="2" t="s">
        <v>2894</v>
      </c>
      <c r="BV426" s="2" t="s">
        <v>227</v>
      </c>
      <c r="BW426" s="2" t="s">
        <v>227</v>
      </c>
      <c r="BX426" s="2" t="s">
        <v>711</v>
      </c>
      <c r="BY426" s="2" t="s">
        <v>236</v>
      </c>
      <c r="BZ426" s="2" t="s">
        <v>224</v>
      </c>
      <c r="CA426" s="2" t="s">
        <v>2878</v>
      </c>
      <c r="CB426" s="2" t="s">
        <v>227</v>
      </c>
      <c r="CC426" s="2" t="s">
        <v>239</v>
      </c>
      <c r="CD426" s="2" t="s">
        <v>227</v>
      </c>
      <c r="CE426" s="4">
        <v>52</v>
      </c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>
        <v>152</v>
      </c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/>
      <c r="FP426" s="4"/>
      <c r="FQ426" s="4"/>
      <c r="FR426" s="4"/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/>
      <c r="GI426" s="4"/>
      <c r="GJ426" s="4"/>
      <c r="GK426" s="4"/>
      <c r="GL426" s="4"/>
      <c r="GM426" s="4"/>
      <c r="GN426" s="4"/>
      <c r="GO426" s="4"/>
      <c r="GP426" s="4"/>
      <c r="GQ426" s="4"/>
      <c r="GR426" s="4"/>
      <c r="GS426" s="4"/>
      <c r="GT426" s="4"/>
      <c r="GU426" s="4"/>
      <c r="GV426" s="4"/>
      <c r="GW426" s="4"/>
      <c r="GX426" s="4"/>
    </row>
    <row r="427">
      <c r="A427" s="2" t="s">
        <v>2895</v>
      </c>
      <c r="B427" s="2" t="s">
        <v>715</v>
      </c>
      <c r="C427" s="2" t="s">
        <v>360</v>
      </c>
      <c r="D427" s="2" t="s">
        <v>716</v>
      </c>
      <c r="E427" s="2" t="s">
        <v>717</v>
      </c>
      <c r="F427" s="2" t="s">
        <v>2871</v>
      </c>
      <c r="G427" s="2" t="s">
        <v>2872</v>
      </c>
      <c r="H427" s="2" t="s">
        <v>2873</v>
      </c>
      <c r="I427" s="2" t="s">
        <v>2874</v>
      </c>
      <c r="J427" s="2" t="s">
        <v>808</v>
      </c>
      <c r="K427" s="2" t="s">
        <v>389</v>
      </c>
      <c r="L427" s="3">
        <v>17.1</v>
      </c>
      <c r="M427" s="3">
        <v>17.96</v>
      </c>
      <c r="N427" s="3">
        <v>44.99</v>
      </c>
      <c r="O427" s="2" t="s">
        <v>224</v>
      </c>
      <c r="P427" s="2" t="s">
        <v>225</v>
      </c>
      <c r="Q427" s="2" t="s">
        <v>226</v>
      </c>
      <c r="R427" s="2" t="s">
        <v>227</v>
      </c>
      <c r="S427" s="2" t="s">
        <v>2896</v>
      </c>
      <c r="T427" s="2" t="s">
        <v>227</v>
      </c>
      <c r="U427" s="2" t="s">
        <v>552</v>
      </c>
      <c r="V427" s="2" t="s">
        <v>230</v>
      </c>
      <c r="W427" s="2" t="s">
        <v>581</v>
      </c>
      <c r="X427" s="2" t="s">
        <v>1872</v>
      </c>
      <c r="Y427" s="2" t="s">
        <v>2897</v>
      </c>
      <c r="Z427" s="4">
        <v>621</v>
      </c>
      <c r="AA427" s="4">
        <f>=ROUNDDOWN(51.75,0)</f>
      </c>
      <c r="AB427" s="5">
        <v>12</v>
      </c>
      <c r="AC427" s="2" t="s">
        <v>227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227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227</v>
      </c>
      <c r="AW427" s="8" t="s">
        <v>227</v>
      </c>
      <c r="AX427" s="4" t="s">
        <v>227</v>
      </c>
      <c r="AY427" s="8" t="s">
        <v>227</v>
      </c>
      <c r="AZ427" s="7" t="s">
        <v>227</v>
      </c>
      <c r="BA427" s="7" t="s">
        <v>227</v>
      </c>
      <c r="BB427" s="7"/>
      <c r="BC427" s="4" t="s">
        <v>227</v>
      </c>
      <c r="BD427" s="8" t="s">
        <v>227</v>
      </c>
      <c r="BE427" s="4" t="s">
        <v>227</v>
      </c>
      <c r="BF427" s="8" t="s">
        <v>227</v>
      </c>
      <c r="BG427" s="7" t="s">
        <v>227</v>
      </c>
      <c r="BH427" s="7" t="s">
        <v>227</v>
      </c>
      <c r="BI427" s="7"/>
      <c r="BJ427" s="4">
        <v>43</v>
      </c>
      <c r="BK427" s="8">
        <v>741.78</v>
      </c>
      <c r="BL427" s="2" t="s">
        <v>2898</v>
      </c>
      <c r="BM427" s="7"/>
      <c r="BN427" s="7"/>
      <c r="BO427" s="4"/>
      <c r="BP427" s="8"/>
      <c r="BQ427" s="4"/>
      <c r="BR427" s="8"/>
      <c r="BS427" s="7"/>
      <c r="BT427" s="7"/>
      <c r="BU427" s="2" t="s">
        <v>2899</v>
      </c>
      <c r="BV427" s="2" t="s">
        <v>227</v>
      </c>
      <c r="BW427" s="2" t="s">
        <v>227</v>
      </c>
      <c r="BX427" s="2" t="s">
        <v>2877</v>
      </c>
      <c r="BY427" s="2" t="s">
        <v>236</v>
      </c>
      <c r="BZ427" s="2" t="s">
        <v>224</v>
      </c>
      <c r="CA427" s="2" t="s">
        <v>2900</v>
      </c>
      <c r="CB427" s="2" t="s">
        <v>2901</v>
      </c>
      <c r="CC427" s="2" t="s">
        <v>239</v>
      </c>
      <c r="CD427" s="2" t="s">
        <v>227</v>
      </c>
      <c r="CE427" s="4">
        <v>621</v>
      </c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/>
      <c r="FP427" s="4"/>
      <c r="FQ427" s="4"/>
      <c r="FR427" s="4"/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/>
      <c r="GI427" s="4"/>
      <c r="GJ427" s="4"/>
      <c r="GK427" s="4"/>
      <c r="GL427" s="4"/>
      <c r="GM427" s="4"/>
      <c r="GN427" s="4"/>
      <c r="GO427" s="4"/>
      <c r="GP427" s="4"/>
      <c r="GQ427" s="4"/>
      <c r="GR427" s="4"/>
      <c r="GS427" s="4"/>
      <c r="GT427" s="4"/>
      <c r="GU427" s="4"/>
      <c r="GV427" s="4"/>
      <c r="GW427" s="4"/>
      <c r="GX427" s="4"/>
    </row>
    <row r="428">
      <c r="A428" s="2" t="s">
        <v>2902</v>
      </c>
      <c r="B428" s="2" t="s">
        <v>715</v>
      </c>
      <c r="C428" s="2" t="s">
        <v>360</v>
      </c>
      <c r="D428" s="2" t="s">
        <v>716</v>
      </c>
      <c r="E428" s="2" t="s">
        <v>717</v>
      </c>
      <c r="F428" s="2" t="s">
        <v>2871</v>
      </c>
      <c r="G428" s="2" t="s">
        <v>2872</v>
      </c>
      <c r="H428" s="2" t="s">
        <v>2873</v>
      </c>
      <c r="I428" s="2" t="s">
        <v>2874</v>
      </c>
      <c r="J428" s="2" t="s">
        <v>2884</v>
      </c>
      <c r="K428" s="2" t="s">
        <v>389</v>
      </c>
      <c r="L428" s="3">
        <v>23.1</v>
      </c>
      <c r="M428" s="3">
        <v>24.26</v>
      </c>
      <c r="N428" s="3">
        <v>54.99</v>
      </c>
      <c r="O428" s="2" t="s">
        <v>224</v>
      </c>
      <c r="P428" s="2" t="s">
        <v>225</v>
      </c>
      <c r="Q428" s="2" t="s">
        <v>226</v>
      </c>
      <c r="R428" s="2" t="s">
        <v>227</v>
      </c>
      <c r="S428" s="2" t="s">
        <v>2896</v>
      </c>
      <c r="T428" s="2" t="s">
        <v>227</v>
      </c>
      <c r="U428" s="2" t="s">
        <v>552</v>
      </c>
      <c r="V428" s="2" t="s">
        <v>230</v>
      </c>
      <c r="W428" s="2" t="s">
        <v>581</v>
      </c>
      <c r="X428" s="2" t="s">
        <v>1872</v>
      </c>
      <c r="Y428" s="2" t="s">
        <v>2897</v>
      </c>
      <c r="Z428" s="4">
        <v>130</v>
      </c>
      <c r="AA428" s="4">
        <f>=ROUNDDOWN(43.3333333333333,0)</f>
      </c>
      <c r="AB428" s="5">
        <v>3</v>
      </c>
      <c r="AC428" s="2" t="s">
        <v>227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227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227</v>
      </c>
      <c r="AW428" s="8" t="s">
        <v>227</v>
      </c>
      <c r="AX428" s="4" t="s">
        <v>227</v>
      </c>
      <c r="AY428" s="8" t="s">
        <v>227</v>
      </c>
      <c r="AZ428" s="7" t="s">
        <v>227</v>
      </c>
      <c r="BA428" s="7" t="s">
        <v>227</v>
      </c>
      <c r="BB428" s="7"/>
      <c r="BC428" s="4" t="s">
        <v>227</v>
      </c>
      <c r="BD428" s="8" t="s">
        <v>227</v>
      </c>
      <c r="BE428" s="4" t="s">
        <v>227</v>
      </c>
      <c r="BF428" s="8" t="s">
        <v>227</v>
      </c>
      <c r="BG428" s="7" t="s">
        <v>227</v>
      </c>
      <c r="BH428" s="7" t="s">
        <v>227</v>
      </c>
      <c r="BI428" s="7"/>
      <c r="BJ428" s="4">
        <v>1</v>
      </c>
      <c r="BK428" s="8">
        <v>24.16</v>
      </c>
      <c r="BL428" s="2" t="s">
        <v>654</v>
      </c>
      <c r="BM428" s="7"/>
      <c r="BN428" s="7"/>
      <c r="BO428" s="4"/>
      <c r="BP428" s="8"/>
      <c r="BQ428" s="4"/>
      <c r="BR428" s="8"/>
      <c r="BS428" s="7"/>
      <c r="BT428" s="7"/>
      <c r="BU428" s="2" t="s">
        <v>2903</v>
      </c>
      <c r="BV428" s="2" t="s">
        <v>227</v>
      </c>
      <c r="BW428" s="2" t="s">
        <v>227</v>
      </c>
      <c r="BX428" s="2" t="s">
        <v>2877</v>
      </c>
      <c r="BY428" s="2" t="s">
        <v>236</v>
      </c>
      <c r="BZ428" s="2" t="s">
        <v>224</v>
      </c>
      <c r="CA428" s="2" t="s">
        <v>2904</v>
      </c>
      <c r="CB428" s="2" t="s">
        <v>1274</v>
      </c>
      <c r="CC428" s="2" t="s">
        <v>239</v>
      </c>
      <c r="CD428" s="2" t="s">
        <v>227</v>
      </c>
      <c r="CE428" s="4">
        <v>130</v>
      </c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  <c r="GT428" s="4"/>
      <c r="GU428" s="4"/>
      <c r="GV428" s="4"/>
      <c r="GW428" s="4"/>
      <c r="GX428" s="4"/>
    </row>
    <row r="429">
      <c r="A429" s="2" t="s">
        <v>2905</v>
      </c>
      <c r="B429" s="2" t="s">
        <v>715</v>
      </c>
      <c r="C429" s="2" t="s">
        <v>360</v>
      </c>
      <c r="D429" s="2" t="s">
        <v>815</v>
      </c>
      <c r="E429" s="2" t="s">
        <v>816</v>
      </c>
      <c r="F429" s="2" t="s">
        <v>2871</v>
      </c>
      <c r="G429" s="2" t="s">
        <v>2872</v>
      </c>
      <c r="H429" s="2" t="s">
        <v>2873</v>
      </c>
      <c r="I429" s="2" t="s">
        <v>2906</v>
      </c>
      <c r="J429" s="2" t="s">
        <v>2907</v>
      </c>
      <c r="K429" s="2" t="s">
        <v>389</v>
      </c>
      <c r="L429" s="3">
        <v>12.6</v>
      </c>
      <c r="M429" s="3">
        <v>13.23</v>
      </c>
      <c r="N429" s="3">
        <v>29.99</v>
      </c>
      <c r="O429" s="2" t="s">
        <v>224</v>
      </c>
      <c r="P429" s="2" t="s">
        <v>225</v>
      </c>
      <c r="Q429" s="2" t="s">
        <v>226</v>
      </c>
      <c r="R429" s="2" t="s">
        <v>227</v>
      </c>
      <c r="S429" s="2" t="s">
        <v>2896</v>
      </c>
      <c r="T429" s="2" t="s">
        <v>227</v>
      </c>
      <c r="U429" s="2" t="s">
        <v>552</v>
      </c>
      <c r="V429" s="2" t="s">
        <v>230</v>
      </c>
      <c r="W429" s="2" t="s">
        <v>581</v>
      </c>
      <c r="X429" s="2" t="s">
        <v>227</v>
      </c>
      <c r="Y429" s="2" t="s">
        <v>2897</v>
      </c>
      <c r="Z429" s="4">
        <v>135</v>
      </c>
      <c r="AA429" s="4">
        <f>=ROUNDDOWN(16.875,0)</f>
      </c>
      <c r="AB429" s="5">
        <v>8</v>
      </c>
      <c r="AC429" s="2" t="s">
        <v>169</v>
      </c>
      <c r="AD429" s="4">
        <v>120</v>
      </c>
      <c r="AE429" s="4">
        <v>228</v>
      </c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227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227</v>
      </c>
      <c r="AW429" s="8" t="s">
        <v>227</v>
      </c>
      <c r="AX429" s="4" t="s">
        <v>227</v>
      </c>
      <c r="AY429" s="8" t="s">
        <v>227</v>
      </c>
      <c r="AZ429" s="7" t="s">
        <v>227</v>
      </c>
      <c r="BA429" s="7" t="s">
        <v>227</v>
      </c>
      <c r="BB429" s="7"/>
      <c r="BC429" s="4" t="s">
        <v>227</v>
      </c>
      <c r="BD429" s="8" t="s">
        <v>227</v>
      </c>
      <c r="BE429" s="4" t="s">
        <v>227</v>
      </c>
      <c r="BF429" s="8" t="s">
        <v>227</v>
      </c>
      <c r="BG429" s="7" t="s">
        <v>227</v>
      </c>
      <c r="BH429" s="7" t="s">
        <v>227</v>
      </c>
      <c r="BI429" s="7"/>
      <c r="BJ429" s="4">
        <v>16</v>
      </c>
      <c r="BK429" s="8">
        <v>216.83</v>
      </c>
      <c r="BL429" s="2" t="s">
        <v>2908</v>
      </c>
      <c r="BM429" s="7"/>
      <c r="BN429" s="7"/>
      <c r="BO429" s="4"/>
      <c r="BP429" s="8"/>
      <c r="BQ429" s="4"/>
      <c r="BR429" s="8"/>
      <c r="BS429" s="7"/>
      <c r="BT429" s="7"/>
      <c r="BU429" s="2" t="s">
        <v>2909</v>
      </c>
      <c r="BV429" s="2" t="s">
        <v>227</v>
      </c>
      <c r="BW429" s="2" t="s">
        <v>227</v>
      </c>
      <c r="BX429" s="2" t="s">
        <v>235</v>
      </c>
      <c r="BY429" s="2" t="s">
        <v>236</v>
      </c>
      <c r="BZ429" s="2" t="s">
        <v>224</v>
      </c>
      <c r="CA429" s="2" t="s">
        <v>1223</v>
      </c>
      <c r="CB429" s="2" t="s">
        <v>2910</v>
      </c>
      <c r="CC429" s="2" t="s">
        <v>239</v>
      </c>
      <c r="CD429" s="2" t="s">
        <v>227</v>
      </c>
      <c r="CE429" s="4">
        <v>135</v>
      </c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>
        <v>120</v>
      </c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>
        <v>108</v>
      </c>
      <c r="GT429" s="4"/>
      <c r="GU429" s="4"/>
      <c r="GV429" s="4"/>
      <c r="GW429" s="4"/>
      <c r="GX429" s="4"/>
    </row>
    <row r="430">
      <c r="A430" s="2" t="s">
        <v>2911</v>
      </c>
      <c r="B430" s="2" t="s">
        <v>715</v>
      </c>
      <c r="C430" s="2" t="s">
        <v>360</v>
      </c>
      <c r="D430" s="2" t="s">
        <v>716</v>
      </c>
      <c r="E430" s="2" t="s">
        <v>717</v>
      </c>
      <c r="F430" s="2" t="s">
        <v>2871</v>
      </c>
      <c r="G430" s="2" t="s">
        <v>2872</v>
      </c>
      <c r="H430" s="2" t="s">
        <v>2873</v>
      </c>
      <c r="I430" s="2" t="s">
        <v>2874</v>
      </c>
      <c r="J430" s="2" t="s">
        <v>722</v>
      </c>
      <c r="K430" s="2" t="s">
        <v>2833</v>
      </c>
      <c r="L430" s="3">
        <v>16</v>
      </c>
      <c r="M430" s="3">
        <v>16.8</v>
      </c>
      <c r="N430" s="3">
        <v>39.99</v>
      </c>
      <c r="O430" s="2" t="s">
        <v>224</v>
      </c>
      <c r="P430" s="2" t="s">
        <v>225</v>
      </c>
      <c r="Q430" s="2" t="s">
        <v>226</v>
      </c>
      <c r="R430" s="2" t="s">
        <v>227</v>
      </c>
      <c r="S430" s="2" t="s">
        <v>2834</v>
      </c>
      <c r="T430" s="2" t="s">
        <v>227</v>
      </c>
      <c r="U430" s="2" t="s">
        <v>552</v>
      </c>
      <c r="V430" s="2" t="s">
        <v>230</v>
      </c>
      <c r="W430" s="2" t="s">
        <v>581</v>
      </c>
      <c r="X430" s="2" t="s">
        <v>1872</v>
      </c>
      <c r="Y430" s="2" t="s">
        <v>232</v>
      </c>
      <c r="Z430" s="4">
        <v>683</v>
      </c>
      <c r="AA430" s="4">
        <f>=ROUNDDOWN(34.15,0)</f>
      </c>
      <c r="AB430" s="5">
        <v>20</v>
      </c>
      <c r="AC430" s="2" t="s">
        <v>938</v>
      </c>
      <c r="AD430" s="4">
        <v>134</v>
      </c>
      <c r="AE430" s="4">
        <v>134</v>
      </c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227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227</v>
      </c>
      <c r="AW430" s="8" t="s">
        <v>227</v>
      </c>
      <c r="AX430" s="4" t="s">
        <v>227</v>
      </c>
      <c r="AY430" s="8" t="s">
        <v>227</v>
      </c>
      <c r="AZ430" s="7" t="s">
        <v>227</v>
      </c>
      <c r="BA430" s="7" t="s">
        <v>227</v>
      </c>
      <c r="BB430" s="7"/>
      <c r="BC430" s="4" t="s">
        <v>227</v>
      </c>
      <c r="BD430" s="8" t="s">
        <v>227</v>
      </c>
      <c r="BE430" s="4" t="s">
        <v>227</v>
      </c>
      <c r="BF430" s="8" t="s">
        <v>227</v>
      </c>
      <c r="BG430" s="7" t="s">
        <v>227</v>
      </c>
      <c r="BH430" s="7" t="s">
        <v>227</v>
      </c>
      <c r="BI430" s="7"/>
      <c r="BJ430" s="4">
        <v>56</v>
      </c>
      <c r="BK430" s="8">
        <v>801.67</v>
      </c>
      <c r="BL430" s="2" t="s">
        <v>2912</v>
      </c>
      <c r="BM430" s="7"/>
      <c r="BN430" s="7"/>
      <c r="BO430" s="4"/>
      <c r="BP430" s="8"/>
      <c r="BQ430" s="4"/>
      <c r="BR430" s="8"/>
      <c r="BS430" s="7"/>
      <c r="BT430" s="7"/>
      <c r="BU430" s="2" t="s">
        <v>2913</v>
      </c>
      <c r="BV430" s="2" t="s">
        <v>227</v>
      </c>
      <c r="BW430" s="2" t="s">
        <v>227</v>
      </c>
      <c r="BX430" s="2" t="s">
        <v>2877</v>
      </c>
      <c r="BY430" s="2" t="s">
        <v>236</v>
      </c>
      <c r="BZ430" s="2" t="s">
        <v>224</v>
      </c>
      <c r="CA430" s="2" t="s">
        <v>237</v>
      </c>
      <c r="CB430" s="2" t="s">
        <v>443</v>
      </c>
      <c r="CC430" s="2" t="s">
        <v>239</v>
      </c>
      <c r="CD430" s="2" t="s">
        <v>227</v>
      </c>
      <c r="CE430" s="4">
        <v>683</v>
      </c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>
        <v>134</v>
      </c>
      <c r="GJ430" s="4"/>
      <c r="GK430" s="4"/>
      <c r="GL430" s="4"/>
      <c r="GM430" s="4"/>
      <c r="GN430" s="4"/>
      <c r="GO430" s="4"/>
      <c r="GP430" s="4"/>
      <c r="GQ430" s="4"/>
      <c r="GR430" s="4"/>
      <c r="GS430" s="4"/>
      <c r="GT430" s="4"/>
      <c r="GU430" s="4"/>
      <c r="GV430" s="4"/>
      <c r="GW430" s="4"/>
      <c r="GX430" s="4"/>
    </row>
    <row r="431">
      <c r="A431" s="2" t="s">
        <v>2914</v>
      </c>
      <c r="B431" s="2" t="s">
        <v>715</v>
      </c>
      <c r="C431" s="2" t="s">
        <v>360</v>
      </c>
      <c r="D431" s="2" t="s">
        <v>716</v>
      </c>
      <c r="E431" s="2" t="s">
        <v>717</v>
      </c>
      <c r="F431" s="2" t="s">
        <v>2871</v>
      </c>
      <c r="G431" s="2" t="s">
        <v>2872</v>
      </c>
      <c r="H431" s="2" t="s">
        <v>2873</v>
      </c>
      <c r="I431" s="2" t="s">
        <v>2874</v>
      </c>
      <c r="J431" s="2" t="s">
        <v>983</v>
      </c>
      <c r="K431" s="2" t="s">
        <v>2833</v>
      </c>
      <c r="L431" s="3">
        <v>21</v>
      </c>
      <c r="M431" s="3">
        <v>22.05</v>
      </c>
      <c r="N431" s="3">
        <v>49.99</v>
      </c>
      <c r="O431" s="2" t="s">
        <v>224</v>
      </c>
      <c r="P431" s="2" t="s">
        <v>225</v>
      </c>
      <c r="Q431" s="2" t="s">
        <v>226</v>
      </c>
      <c r="R431" s="2" t="s">
        <v>227</v>
      </c>
      <c r="S431" s="2" t="s">
        <v>2834</v>
      </c>
      <c r="T431" s="2" t="s">
        <v>227</v>
      </c>
      <c r="U431" s="2" t="s">
        <v>552</v>
      </c>
      <c r="V431" s="2" t="s">
        <v>230</v>
      </c>
      <c r="W431" s="2" t="s">
        <v>581</v>
      </c>
      <c r="X431" s="2" t="s">
        <v>1872</v>
      </c>
      <c r="Y431" s="2" t="s">
        <v>232</v>
      </c>
      <c r="Z431" s="4">
        <v>187</v>
      </c>
      <c r="AA431" s="4">
        <f>=ROUNDDOWN(26.7142857142857,0)</f>
      </c>
      <c r="AB431" s="5">
        <v>7</v>
      </c>
      <c r="AC431" s="2" t="s">
        <v>732</v>
      </c>
      <c r="AD431" s="4">
        <v>56</v>
      </c>
      <c r="AE431" s="4">
        <v>156</v>
      </c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227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227</v>
      </c>
      <c r="AW431" s="8" t="s">
        <v>227</v>
      </c>
      <c r="AX431" s="4" t="s">
        <v>227</v>
      </c>
      <c r="AY431" s="8" t="s">
        <v>227</v>
      </c>
      <c r="AZ431" s="7" t="s">
        <v>227</v>
      </c>
      <c r="BA431" s="7" t="s">
        <v>227</v>
      </c>
      <c r="BB431" s="7"/>
      <c r="BC431" s="4" t="s">
        <v>227</v>
      </c>
      <c r="BD431" s="8" t="s">
        <v>227</v>
      </c>
      <c r="BE431" s="4" t="s">
        <v>227</v>
      </c>
      <c r="BF431" s="8" t="s">
        <v>227</v>
      </c>
      <c r="BG431" s="7" t="s">
        <v>227</v>
      </c>
      <c r="BH431" s="7" t="s">
        <v>227</v>
      </c>
      <c r="BI431" s="7"/>
      <c r="BJ431" s="4">
        <v>16</v>
      </c>
      <c r="BK431" s="8">
        <v>412.32</v>
      </c>
      <c r="BL431" s="2" t="s">
        <v>2915</v>
      </c>
      <c r="BM431" s="7"/>
      <c r="BN431" s="7"/>
      <c r="BO431" s="4"/>
      <c r="BP431" s="8"/>
      <c r="BQ431" s="4"/>
      <c r="BR431" s="8"/>
      <c r="BS431" s="7"/>
      <c r="BT431" s="7"/>
      <c r="BU431" s="2" t="s">
        <v>2916</v>
      </c>
      <c r="BV431" s="2" t="s">
        <v>227</v>
      </c>
      <c r="BW431" s="2" t="s">
        <v>227</v>
      </c>
      <c r="BX431" s="2" t="s">
        <v>2877</v>
      </c>
      <c r="BY431" s="2" t="s">
        <v>236</v>
      </c>
      <c r="BZ431" s="2" t="s">
        <v>224</v>
      </c>
      <c r="CA431" s="2" t="s">
        <v>237</v>
      </c>
      <c r="CB431" s="2" t="s">
        <v>2917</v>
      </c>
      <c r="CC431" s="2" t="s">
        <v>239</v>
      </c>
      <c r="CD431" s="2" t="s">
        <v>227</v>
      </c>
      <c r="CE431" s="4">
        <v>187</v>
      </c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>
        <v>56</v>
      </c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>
        <v>100</v>
      </c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  <c r="GU431" s="4"/>
      <c r="GV431" s="4"/>
      <c r="GW431" s="4"/>
      <c r="GX431" s="4"/>
    </row>
    <row r="432">
      <c r="A432" s="2" t="s">
        <v>2918</v>
      </c>
      <c r="B432" s="2" t="s">
        <v>715</v>
      </c>
      <c r="C432" s="2" t="s">
        <v>360</v>
      </c>
      <c r="D432" s="2" t="s">
        <v>716</v>
      </c>
      <c r="E432" s="2" t="s">
        <v>717</v>
      </c>
      <c r="F432" s="2" t="s">
        <v>2871</v>
      </c>
      <c r="G432" s="2" t="s">
        <v>2872</v>
      </c>
      <c r="H432" s="2" t="s">
        <v>2873</v>
      </c>
      <c r="I432" s="2" t="s">
        <v>2874</v>
      </c>
      <c r="J432" s="2" t="s">
        <v>722</v>
      </c>
      <c r="K432" s="2" t="s">
        <v>1106</v>
      </c>
      <c r="L432" s="3">
        <v>16</v>
      </c>
      <c r="M432" s="3">
        <v>16.8</v>
      </c>
      <c r="N432" s="3">
        <v>39.99</v>
      </c>
      <c r="O432" s="2" t="s">
        <v>224</v>
      </c>
      <c r="P432" s="2" t="s">
        <v>550</v>
      </c>
      <c r="Q432" s="2" t="s">
        <v>226</v>
      </c>
      <c r="R432" s="2" t="s">
        <v>227</v>
      </c>
      <c r="S432" s="2" t="s">
        <v>2919</v>
      </c>
      <c r="T432" s="2" t="s">
        <v>227</v>
      </c>
      <c r="U432" s="2" t="s">
        <v>552</v>
      </c>
      <c r="V432" s="2" t="s">
        <v>230</v>
      </c>
      <c r="W432" s="2" t="s">
        <v>581</v>
      </c>
      <c r="X432" s="2" t="s">
        <v>1872</v>
      </c>
      <c r="Y432" s="2" t="s">
        <v>232</v>
      </c>
      <c r="Z432" s="4">
        <v>1201</v>
      </c>
      <c r="AA432" s="4">
        <f>=ROUNDDOWN(21.4464285714286,0)</f>
      </c>
      <c r="AB432" s="5">
        <v>56</v>
      </c>
      <c r="AC432" s="2" t="s">
        <v>732</v>
      </c>
      <c r="AD432" s="4">
        <v>368</v>
      </c>
      <c r="AE432" s="4">
        <v>1208</v>
      </c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227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227</v>
      </c>
      <c r="AW432" s="8" t="s">
        <v>227</v>
      </c>
      <c r="AX432" s="4" t="s">
        <v>227</v>
      </c>
      <c r="AY432" s="8" t="s">
        <v>227</v>
      </c>
      <c r="AZ432" s="7" t="s">
        <v>227</v>
      </c>
      <c r="BA432" s="7" t="s">
        <v>227</v>
      </c>
      <c r="BB432" s="7"/>
      <c r="BC432" s="4" t="s">
        <v>227</v>
      </c>
      <c r="BD432" s="8" t="s">
        <v>227</v>
      </c>
      <c r="BE432" s="4" t="s">
        <v>227</v>
      </c>
      <c r="BF432" s="8" t="s">
        <v>227</v>
      </c>
      <c r="BG432" s="7" t="s">
        <v>227</v>
      </c>
      <c r="BH432" s="7" t="s">
        <v>227</v>
      </c>
      <c r="BI432" s="7"/>
      <c r="BJ432" s="4">
        <v>115</v>
      </c>
      <c r="BK432" s="8">
        <v>1660.84</v>
      </c>
      <c r="BL432" s="2" t="s">
        <v>2920</v>
      </c>
      <c r="BM432" s="7"/>
      <c r="BN432" s="7"/>
      <c r="BO432" s="4"/>
      <c r="BP432" s="8"/>
      <c r="BQ432" s="4"/>
      <c r="BR432" s="8"/>
      <c r="BS432" s="7"/>
      <c r="BT432" s="7"/>
      <c r="BU432" s="2" t="s">
        <v>2921</v>
      </c>
      <c r="BV432" s="2" t="s">
        <v>227</v>
      </c>
      <c r="BW432" s="2" t="s">
        <v>227</v>
      </c>
      <c r="BX432" s="2" t="s">
        <v>2877</v>
      </c>
      <c r="BY432" s="2" t="s">
        <v>236</v>
      </c>
      <c r="BZ432" s="2" t="s">
        <v>224</v>
      </c>
      <c r="CA432" s="2" t="s">
        <v>237</v>
      </c>
      <c r="CB432" s="2" t="s">
        <v>981</v>
      </c>
      <c r="CC432" s="2" t="s">
        <v>239</v>
      </c>
      <c r="CD432" s="2" t="s">
        <v>227</v>
      </c>
      <c r="CE432" s="4">
        <v>1109</v>
      </c>
      <c r="CF432" s="4"/>
      <c r="CG432" s="4"/>
      <c r="CH432" s="4"/>
      <c r="CI432" s="4"/>
      <c r="CJ432" s="4"/>
      <c r="CK432" s="4">
        <v>92</v>
      </c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>
        <v>368</v>
      </c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>
        <v>240</v>
      </c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>
        <v>600</v>
      </c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  <c r="GR432" s="4"/>
      <c r="GS432" s="4"/>
      <c r="GT432" s="4"/>
      <c r="GU432" s="4"/>
      <c r="GV432" s="4"/>
      <c r="GW432" s="4"/>
      <c r="GX432" s="4"/>
    </row>
    <row r="433">
      <c r="A433" s="2" t="s">
        <v>2922</v>
      </c>
      <c r="B433" s="2" t="s">
        <v>715</v>
      </c>
      <c r="C433" s="2" t="s">
        <v>360</v>
      </c>
      <c r="D433" s="2" t="s">
        <v>716</v>
      </c>
      <c r="E433" s="2" t="s">
        <v>717</v>
      </c>
      <c r="F433" s="2" t="s">
        <v>2871</v>
      </c>
      <c r="G433" s="2" t="s">
        <v>2872</v>
      </c>
      <c r="H433" s="2" t="s">
        <v>2873</v>
      </c>
      <c r="I433" s="2" t="s">
        <v>2874</v>
      </c>
      <c r="J433" s="2" t="s">
        <v>983</v>
      </c>
      <c r="K433" s="2" t="s">
        <v>1106</v>
      </c>
      <c r="L433" s="3">
        <v>21</v>
      </c>
      <c r="M433" s="3">
        <v>22.05</v>
      </c>
      <c r="N433" s="3">
        <v>49.99</v>
      </c>
      <c r="O433" s="2" t="s">
        <v>224</v>
      </c>
      <c r="P433" s="2" t="s">
        <v>550</v>
      </c>
      <c r="Q433" s="2" t="s">
        <v>226</v>
      </c>
      <c r="R433" s="2" t="s">
        <v>227</v>
      </c>
      <c r="S433" s="2" t="s">
        <v>2919</v>
      </c>
      <c r="T433" s="2" t="s">
        <v>227</v>
      </c>
      <c r="U433" s="2" t="s">
        <v>552</v>
      </c>
      <c r="V433" s="2" t="s">
        <v>230</v>
      </c>
      <c r="W433" s="2" t="s">
        <v>581</v>
      </c>
      <c r="X433" s="2" t="s">
        <v>1872</v>
      </c>
      <c r="Y433" s="2" t="s">
        <v>232</v>
      </c>
      <c r="Z433" s="4">
        <v>454</v>
      </c>
      <c r="AA433" s="4">
        <f>=ROUNDDOWN(19.7391304347826,0)</f>
      </c>
      <c r="AB433" s="5">
        <v>23</v>
      </c>
      <c r="AC433" s="2" t="s">
        <v>583</v>
      </c>
      <c r="AD433" s="4">
        <v>100</v>
      </c>
      <c r="AE433" s="4">
        <v>450</v>
      </c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227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227</v>
      </c>
      <c r="AW433" s="8" t="s">
        <v>227</v>
      </c>
      <c r="AX433" s="4" t="s">
        <v>227</v>
      </c>
      <c r="AY433" s="8" t="s">
        <v>227</v>
      </c>
      <c r="AZ433" s="7" t="s">
        <v>227</v>
      </c>
      <c r="BA433" s="7" t="s">
        <v>227</v>
      </c>
      <c r="BB433" s="7"/>
      <c r="BC433" s="4" t="s">
        <v>227</v>
      </c>
      <c r="BD433" s="8" t="s">
        <v>227</v>
      </c>
      <c r="BE433" s="4" t="s">
        <v>227</v>
      </c>
      <c r="BF433" s="8" t="s">
        <v>227</v>
      </c>
      <c r="BG433" s="7" t="s">
        <v>227</v>
      </c>
      <c r="BH433" s="7" t="s">
        <v>227</v>
      </c>
      <c r="BI433" s="7"/>
      <c r="BJ433" s="4">
        <v>44</v>
      </c>
      <c r="BK433" s="8">
        <v>1075.77</v>
      </c>
      <c r="BL433" s="2" t="s">
        <v>2923</v>
      </c>
      <c r="BM433" s="7"/>
      <c r="BN433" s="7"/>
      <c r="BO433" s="4"/>
      <c r="BP433" s="8"/>
      <c r="BQ433" s="4"/>
      <c r="BR433" s="8"/>
      <c r="BS433" s="7"/>
      <c r="BT433" s="7"/>
      <c r="BU433" s="2" t="s">
        <v>2924</v>
      </c>
      <c r="BV433" s="2" t="s">
        <v>227</v>
      </c>
      <c r="BW433" s="2" t="s">
        <v>227</v>
      </c>
      <c r="BX433" s="2" t="s">
        <v>2877</v>
      </c>
      <c r="BY433" s="2" t="s">
        <v>236</v>
      </c>
      <c r="BZ433" s="2" t="s">
        <v>224</v>
      </c>
      <c r="CA433" s="2" t="s">
        <v>237</v>
      </c>
      <c r="CB433" s="2" t="s">
        <v>2925</v>
      </c>
      <c r="CC433" s="2" t="s">
        <v>239</v>
      </c>
      <c r="CD433" s="2" t="s">
        <v>227</v>
      </c>
      <c r="CE433" s="4">
        <v>374</v>
      </c>
      <c r="CF433" s="4"/>
      <c r="CG433" s="4"/>
      <c r="CH433" s="4"/>
      <c r="CI433" s="4"/>
      <c r="CJ433" s="4"/>
      <c r="CK433" s="4">
        <v>80</v>
      </c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>
        <v>100</v>
      </c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>
        <v>196</v>
      </c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>
        <v>100</v>
      </c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>
        <v>54</v>
      </c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  <c r="GR433" s="4"/>
      <c r="GS433" s="4"/>
      <c r="GT433" s="4"/>
      <c r="GU433" s="4"/>
      <c r="GV433" s="4"/>
      <c r="GW433" s="4"/>
      <c r="GX433" s="4"/>
    </row>
    <row r="434">
      <c r="A434" s="2" t="s">
        <v>2926</v>
      </c>
      <c r="B434" s="2" t="s">
        <v>715</v>
      </c>
      <c r="C434" s="2" t="s">
        <v>360</v>
      </c>
      <c r="D434" s="2" t="s">
        <v>815</v>
      </c>
      <c r="E434" s="2" t="s">
        <v>816</v>
      </c>
      <c r="F434" s="2" t="s">
        <v>2871</v>
      </c>
      <c r="G434" s="2" t="s">
        <v>2872</v>
      </c>
      <c r="H434" s="2" t="s">
        <v>2873</v>
      </c>
      <c r="I434" s="2" t="s">
        <v>2906</v>
      </c>
      <c r="J434" s="2" t="s">
        <v>2907</v>
      </c>
      <c r="K434" s="2" t="s">
        <v>1106</v>
      </c>
      <c r="L434" s="3">
        <v>12.6</v>
      </c>
      <c r="M434" s="3">
        <v>13.23</v>
      </c>
      <c r="N434" s="3">
        <v>29.99</v>
      </c>
      <c r="O434" s="2" t="s">
        <v>224</v>
      </c>
      <c r="P434" s="2" t="s">
        <v>225</v>
      </c>
      <c r="Q434" s="2" t="s">
        <v>226</v>
      </c>
      <c r="R434" s="2" t="s">
        <v>227</v>
      </c>
      <c r="S434" s="2" t="s">
        <v>2919</v>
      </c>
      <c r="T434" s="2" t="s">
        <v>227</v>
      </c>
      <c r="U434" s="2" t="s">
        <v>227</v>
      </c>
      <c r="V434" s="2" t="s">
        <v>230</v>
      </c>
      <c r="W434" s="2" t="s">
        <v>581</v>
      </c>
      <c r="X434" s="2" t="s">
        <v>227</v>
      </c>
      <c r="Y434" s="2" t="s">
        <v>2927</v>
      </c>
      <c r="Z434" s="4">
        <v>542</v>
      </c>
      <c r="AA434" s="4">
        <f>=ROUNDDOWN(33.875,0)</f>
      </c>
      <c r="AB434" s="5">
        <v>16</v>
      </c>
      <c r="AC434" s="2" t="s">
        <v>732</v>
      </c>
      <c r="AD434" s="4">
        <v>48</v>
      </c>
      <c r="AE434" s="4">
        <v>136</v>
      </c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227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227</v>
      </c>
      <c r="AW434" s="8" t="s">
        <v>227</v>
      </c>
      <c r="AX434" s="4" t="s">
        <v>227</v>
      </c>
      <c r="AY434" s="8" t="s">
        <v>227</v>
      </c>
      <c r="AZ434" s="7" t="s">
        <v>227</v>
      </c>
      <c r="BA434" s="7" t="s">
        <v>227</v>
      </c>
      <c r="BB434" s="7"/>
      <c r="BC434" s="4" t="s">
        <v>227</v>
      </c>
      <c r="BD434" s="8" t="s">
        <v>227</v>
      </c>
      <c r="BE434" s="4" t="s">
        <v>227</v>
      </c>
      <c r="BF434" s="8" t="s">
        <v>227</v>
      </c>
      <c r="BG434" s="7" t="s">
        <v>227</v>
      </c>
      <c r="BH434" s="7" t="s">
        <v>227</v>
      </c>
      <c r="BI434" s="7"/>
      <c r="BJ434" s="4">
        <v>43</v>
      </c>
      <c r="BK434" s="8">
        <v>682.03</v>
      </c>
      <c r="BL434" s="2" t="s">
        <v>2928</v>
      </c>
      <c r="BM434" s="7"/>
      <c r="BN434" s="7"/>
      <c r="BO434" s="4"/>
      <c r="BP434" s="8"/>
      <c r="BQ434" s="4"/>
      <c r="BR434" s="8"/>
      <c r="BS434" s="7"/>
      <c r="BT434" s="7"/>
      <c r="BU434" s="2" t="s">
        <v>2929</v>
      </c>
      <c r="BV434" s="2" t="s">
        <v>227</v>
      </c>
      <c r="BW434" s="2" t="s">
        <v>227</v>
      </c>
      <c r="BX434" s="2" t="s">
        <v>235</v>
      </c>
      <c r="BY434" s="2" t="s">
        <v>236</v>
      </c>
      <c r="BZ434" s="2" t="s">
        <v>224</v>
      </c>
      <c r="CA434" s="2" t="s">
        <v>1671</v>
      </c>
      <c r="CB434" s="2" t="s">
        <v>2930</v>
      </c>
      <c r="CC434" s="2" t="s">
        <v>239</v>
      </c>
      <c r="CD434" s="2" t="s">
        <v>227</v>
      </c>
      <c r="CE434" s="4">
        <v>294</v>
      </c>
      <c r="CF434" s="4"/>
      <c r="CG434" s="4"/>
      <c r="CH434" s="4"/>
      <c r="CI434" s="4"/>
      <c r="CJ434" s="4"/>
      <c r="CK434" s="4">
        <v>248</v>
      </c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>
        <v>48</v>
      </c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>
        <v>88</v>
      </c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  <c r="GT434" s="4"/>
      <c r="GU434" s="4"/>
      <c r="GV434" s="4"/>
      <c r="GW434" s="4"/>
      <c r="GX434" s="4"/>
    </row>
    <row r="435">
      <c r="A435" s="2" t="s">
        <v>2931</v>
      </c>
      <c r="B435" s="2" t="s">
        <v>715</v>
      </c>
      <c r="C435" s="2" t="s">
        <v>360</v>
      </c>
      <c r="D435" s="2" t="s">
        <v>716</v>
      </c>
      <c r="E435" s="2" t="s">
        <v>717</v>
      </c>
      <c r="F435" s="2" t="s">
        <v>2871</v>
      </c>
      <c r="G435" s="2" t="s">
        <v>2872</v>
      </c>
      <c r="H435" s="2" t="s">
        <v>2873</v>
      </c>
      <c r="I435" s="2" t="s">
        <v>2874</v>
      </c>
      <c r="J435" s="2" t="s">
        <v>722</v>
      </c>
      <c r="K435" s="2" t="s">
        <v>1242</v>
      </c>
      <c r="L435" s="3">
        <v>16</v>
      </c>
      <c r="M435" s="3">
        <v>16.8</v>
      </c>
      <c r="N435" s="3">
        <v>39.99</v>
      </c>
      <c r="O435" s="2" t="s">
        <v>224</v>
      </c>
      <c r="P435" s="2" t="s">
        <v>225</v>
      </c>
      <c r="Q435" s="2" t="s">
        <v>226</v>
      </c>
      <c r="R435" s="2" t="s">
        <v>227</v>
      </c>
      <c r="S435" s="2" t="s">
        <v>2932</v>
      </c>
      <c r="T435" s="2" t="s">
        <v>227</v>
      </c>
      <c r="U435" s="2" t="s">
        <v>552</v>
      </c>
      <c r="V435" s="2" t="s">
        <v>230</v>
      </c>
      <c r="W435" s="2" t="s">
        <v>581</v>
      </c>
      <c r="X435" s="2" t="s">
        <v>1872</v>
      </c>
      <c r="Y435" s="2" t="s">
        <v>2933</v>
      </c>
      <c r="Z435" s="4">
        <v>686</v>
      </c>
      <c r="AA435" s="4">
        <f>=ROUNDDOWN(28.5833333333333,0)</f>
      </c>
      <c r="AB435" s="5">
        <v>24</v>
      </c>
      <c r="AC435" s="2" t="s">
        <v>187</v>
      </c>
      <c r="AD435" s="4">
        <v>300</v>
      </c>
      <c r="AE435" s="4">
        <v>300</v>
      </c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227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227</v>
      </c>
      <c r="AW435" s="8" t="s">
        <v>227</v>
      </c>
      <c r="AX435" s="4" t="s">
        <v>227</v>
      </c>
      <c r="AY435" s="8" t="s">
        <v>227</v>
      </c>
      <c r="AZ435" s="7" t="s">
        <v>227</v>
      </c>
      <c r="BA435" s="7" t="s">
        <v>227</v>
      </c>
      <c r="BB435" s="7"/>
      <c r="BC435" s="4" t="s">
        <v>227</v>
      </c>
      <c r="BD435" s="8" t="s">
        <v>227</v>
      </c>
      <c r="BE435" s="4" t="s">
        <v>227</v>
      </c>
      <c r="BF435" s="8" t="s">
        <v>227</v>
      </c>
      <c r="BG435" s="7" t="s">
        <v>227</v>
      </c>
      <c r="BH435" s="7" t="s">
        <v>227</v>
      </c>
      <c r="BI435" s="7"/>
      <c r="BJ435" s="4">
        <v>64</v>
      </c>
      <c r="BK435" s="8">
        <v>970.62</v>
      </c>
      <c r="BL435" s="2" t="s">
        <v>2934</v>
      </c>
      <c r="BM435" s="7"/>
      <c r="BN435" s="7"/>
      <c r="BO435" s="4"/>
      <c r="BP435" s="8"/>
      <c r="BQ435" s="4"/>
      <c r="BR435" s="8"/>
      <c r="BS435" s="7"/>
      <c r="BT435" s="7"/>
      <c r="BU435" s="2" t="s">
        <v>2935</v>
      </c>
      <c r="BV435" s="2" t="s">
        <v>227</v>
      </c>
      <c r="BW435" s="2" t="s">
        <v>227</v>
      </c>
      <c r="BX435" s="2" t="s">
        <v>2877</v>
      </c>
      <c r="BY435" s="2" t="s">
        <v>236</v>
      </c>
      <c r="BZ435" s="2" t="s">
        <v>224</v>
      </c>
      <c r="CA435" s="2" t="s">
        <v>2936</v>
      </c>
      <c r="CB435" s="2" t="s">
        <v>2937</v>
      </c>
      <c r="CC435" s="2" t="s">
        <v>239</v>
      </c>
      <c r="CD435" s="2" t="s">
        <v>227</v>
      </c>
      <c r="CE435" s="4">
        <v>686</v>
      </c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>
        <v>300</v>
      </c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/>
    </row>
    <row r="436">
      <c r="A436" s="2" t="s">
        <v>2938</v>
      </c>
      <c r="B436" s="2" t="s">
        <v>715</v>
      </c>
      <c r="C436" s="2" t="s">
        <v>360</v>
      </c>
      <c r="D436" s="2" t="s">
        <v>716</v>
      </c>
      <c r="E436" s="2" t="s">
        <v>717</v>
      </c>
      <c r="F436" s="2" t="s">
        <v>2871</v>
      </c>
      <c r="G436" s="2" t="s">
        <v>2872</v>
      </c>
      <c r="H436" s="2" t="s">
        <v>2873</v>
      </c>
      <c r="I436" s="2" t="s">
        <v>2874</v>
      </c>
      <c r="J436" s="2" t="s">
        <v>808</v>
      </c>
      <c r="K436" s="2" t="s">
        <v>1242</v>
      </c>
      <c r="L436" s="3">
        <v>17.1</v>
      </c>
      <c r="M436" s="3">
        <v>17.96</v>
      </c>
      <c r="N436" s="3">
        <v>44.99</v>
      </c>
      <c r="O436" s="2" t="s">
        <v>224</v>
      </c>
      <c r="P436" s="2" t="s">
        <v>225</v>
      </c>
      <c r="Q436" s="2" t="s">
        <v>226</v>
      </c>
      <c r="R436" s="2" t="s">
        <v>227</v>
      </c>
      <c r="S436" s="2" t="s">
        <v>2932</v>
      </c>
      <c r="T436" s="2" t="s">
        <v>227</v>
      </c>
      <c r="U436" s="2" t="s">
        <v>552</v>
      </c>
      <c r="V436" s="2" t="s">
        <v>230</v>
      </c>
      <c r="W436" s="2" t="s">
        <v>581</v>
      </c>
      <c r="X436" s="2" t="s">
        <v>1872</v>
      </c>
      <c r="Y436" s="2" t="s">
        <v>2933</v>
      </c>
      <c r="Z436" s="4">
        <v>332</v>
      </c>
      <c r="AA436" s="4">
        <f>=ROUNDDOWN(27.6666666666667,0)</f>
      </c>
      <c r="AB436" s="5">
        <v>12</v>
      </c>
      <c r="AC436" s="2" t="s">
        <v>158</v>
      </c>
      <c r="AD436" s="4">
        <v>200</v>
      </c>
      <c r="AE436" s="4">
        <v>300</v>
      </c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227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227</v>
      </c>
      <c r="AW436" s="8" t="s">
        <v>227</v>
      </c>
      <c r="AX436" s="4" t="s">
        <v>227</v>
      </c>
      <c r="AY436" s="8" t="s">
        <v>227</v>
      </c>
      <c r="AZ436" s="7" t="s">
        <v>227</v>
      </c>
      <c r="BA436" s="7" t="s">
        <v>227</v>
      </c>
      <c r="BB436" s="7"/>
      <c r="BC436" s="4" t="s">
        <v>227</v>
      </c>
      <c r="BD436" s="8" t="s">
        <v>227</v>
      </c>
      <c r="BE436" s="4" t="s">
        <v>227</v>
      </c>
      <c r="BF436" s="8" t="s">
        <v>227</v>
      </c>
      <c r="BG436" s="7" t="s">
        <v>227</v>
      </c>
      <c r="BH436" s="7" t="s">
        <v>227</v>
      </c>
      <c r="BI436" s="7"/>
      <c r="BJ436" s="4">
        <v>9</v>
      </c>
      <c r="BK436" s="8">
        <v>196.83</v>
      </c>
      <c r="BL436" s="2" t="s">
        <v>2939</v>
      </c>
      <c r="BM436" s="7"/>
      <c r="BN436" s="7"/>
      <c r="BO436" s="4"/>
      <c r="BP436" s="8"/>
      <c r="BQ436" s="4"/>
      <c r="BR436" s="8"/>
      <c r="BS436" s="7"/>
      <c r="BT436" s="7"/>
      <c r="BU436" s="2" t="s">
        <v>2940</v>
      </c>
      <c r="BV436" s="2" t="s">
        <v>227</v>
      </c>
      <c r="BW436" s="2" t="s">
        <v>227</v>
      </c>
      <c r="BX436" s="2" t="s">
        <v>2877</v>
      </c>
      <c r="BY436" s="2" t="s">
        <v>236</v>
      </c>
      <c r="BZ436" s="2" t="s">
        <v>224</v>
      </c>
      <c r="CA436" s="2" t="s">
        <v>2936</v>
      </c>
      <c r="CB436" s="2" t="s">
        <v>2941</v>
      </c>
      <c r="CC436" s="2" t="s">
        <v>239</v>
      </c>
      <c r="CD436" s="2" t="s">
        <v>227</v>
      </c>
      <c r="CE436" s="4">
        <v>332</v>
      </c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>
        <v>200</v>
      </c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>
        <v>100</v>
      </c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  <c r="GR436" s="4"/>
      <c r="GS436" s="4"/>
      <c r="GT436" s="4"/>
      <c r="GU436" s="4"/>
      <c r="GV436" s="4"/>
      <c r="GW436" s="4"/>
      <c r="GX436" s="4"/>
    </row>
    <row r="437">
      <c r="A437" s="2" t="s">
        <v>2942</v>
      </c>
      <c r="B437" s="2" t="s">
        <v>715</v>
      </c>
      <c r="C437" s="2" t="s">
        <v>360</v>
      </c>
      <c r="D437" s="2" t="s">
        <v>716</v>
      </c>
      <c r="E437" s="2" t="s">
        <v>717</v>
      </c>
      <c r="F437" s="2" t="s">
        <v>2871</v>
      </c>
      <c r="G437" s="2" t="s">
        <v>2872</v>
      </c>
      <c r="H437" s="2" t="s">
        <v>2873</v>
      </c>
      <c r="I437" s="2" t="s">
        <v>2874</v>
      </c>
      <c r="J437" s="2" t="s">
        <v>983</v>
      </c>
      <c r="K437" s="2" t="s">
        <v>1242</v>
      </c>
      <c r="L437" s="3">
        <v>21</v>
      </c>
      <c r="M437" s="3">
        <v>22.05</v>
      </c>
      <c r="N437" s="3">
        <v>49.99</v>
      </c>
      <c r="O437" s="2" t="s">
        <v>224</v>
      </c>
      <c r="P437" s="2" t="s">
        <v>225</v>
      </c>
      <c r="Q437" s="2" t="s">
        <v>226</v>
      </c>
      <c r="R437" s="2" t="s">
        <v>227</v>
      </c>
      <c r="S437" s="2" t="s">
        <v>2932</v>
      </c>
      <c r="T437" s="2" t="s">
        <v>227</v>
      </c>
      <c r="U437" s="2" t="s">
        <v>552</v>
      </c>
      <c r="V437" s="2" t="s">
        <v>230</v>
      </c>
      <c r="W437" s="2" t="s">
        <v>581</v>
      </c>
      <c r="X437" s="2" t="s">
        <v>1872</v>
      </c>
      <c r="Y437" s="2" t="s">
        <v>2933</v>
      </c>
      <c r="Z437" s="4">
        <v>354</v>
      </c>
      <c r="AA437" s="4">
        <f>=ROUNDDOWN(35.4,0)</f>
      </c>
      <c r="AB437" s="5">
        <v>10</v>
      </c>
      <c r="AC437" s="2" t="s">
        <v>187</v>
      </c>
      <c r="AD437" s="4">
        <v>100</v>
      </c>
      <c r="AE437" s="4">
        <v>100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227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227</v>
      </c>
      <c r="AW437" s="8" t="s">
        <v>227</v>
      </c>
      <c r="AX437" s="4" t="s">
        <v>227</v>
      </c>
      <c r="AY437" s="8" t="s">
        <v>227</v>
      </c>
      <c r="AZ437" s="7" t="s">
        <v>227</v>
      </c>
      <c r="BA437" s="7" t="s">
        <v>227</v>
      </c>
      <c r="BB437" s="7"/>
      <c r="BC437" s="4" t="s">
        <v>227</v>
      </c>
      <c r="BD437" s="8" t="s">
        <v>227</v>
      </c>
      <c r="BE437" s="4" t="s">
        <v>227</v>
      </c>
      <c r="BF437" s="8" t="s">
        <v>227</v>
      </c>
      <c r="BG437" s="7" t="s">
        <v>227</v>
      </c>
      <c r="BH437" s="7" t="s">
        <v>227</v>
      </c>
      <c r="BI437" s="7"/>
      <c r="BJ437" s="4">
        <v>30</v>
      </c>
      <c r="BK437" s="8">
        <v>666.24</v>
      </c>
      <c r="BL437" s="2" t="s">
        <v>2943</v>
      </c>
      <c r="BM437" s="7"/>
      <c r="BN437" s="7"/>
      <c r="BO437" s="4"/>
      <c r="BP437" s="8"/>
      <c r="BQ437" s="4"/>
      <c r="BR437" s="8"/>
      <c r="BS437" s="7"/>
      <c r="BT437" s="7"/>
      <c r="BU437" s="2" t="s">
        <v>2944</v>
      </c>
      <c r="BV437" s="2" t="s">
        <v>227</v>
      </c>
      <c r="BW437" s="2" t="s">
        <v>227</v>
      </c>
      <c r="BX437" s="2" t="s">
        <v>2877</v>
      </c>
      <c r="BY437" s="2" t="s">
        <v>236</v>
      </c>
      <c r="BZ437" s="2" t="s">
        <v>224</v>
      </c>
      <c r="CA437" s="2" t="s">
        <v>2936</v>
      </c>
      <c r="CB437" s="2" t="s">
        <v>2945</v>
      </c>
      <c r="CC437" s="2" t="s">
        <v>239</v>
      </c>
      <c r="CD437" s="2" t="s">
        <v>227</v>
      </c>
      <c r="CE437" s="4">
        <v>354</v>
      </c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/>
      <c r="FV437" s="4"/>
      <c r="FW437" s="4">
        <v>100</v>
      </c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  <c r="GR437" s="4"/>
      <c r="GS437" s="4"/>
      <c r="GT437" s="4"/>
      <c r="GU437" s="4"/>
      <c r="GV437" s="4"/>
      <c r="GW437" s="4"/>
      <c r="GX437" s="4"/>
    </row>
    <row r="438">
      <c r="A438" s="2" t="s">
        <v>2946</v>
      </c>
      <c r="B438" s="2" t="s">
        <v>715</v>
      </c>
      <c r="C438" s="2" t="s">
        <v>360</v>
      </c>
      <c r="D438" s="2" t="s">
        <v>716</v>
      </c>
      <c r="E438" s="2" t="s">
        <v>717</v>
      </c>
      <c r="F438" s="2" t="s">
        <v>2871</v>
      </c>
      <c r="G438" s="2" t="s">
        <v>2872</v>
      </c>
      <c r="H438" s="2" t="s">
        <v>2873</v>
      </c>
      <c r="I438" s="2" t="s">
        <v>2874</v>
      </c>
      <c r="J438" s="2" t="s">
        <v>2884</v>
      </c>
      <c r="K438" s="2" t="s">
        <v>1242</v>
      </c>
      <c r="L438" s="3">
        <v>23.1</v>
      </c>
      <c r="M438" s="3">
        <v>24.26</v>
      </c>
      <c r="N438" s="3">
        <v>54.99</v>
      </c>
      <c r="O438" s="2" t="s">
        <v>224</v>
      </c>
      <c r="P438" s="2" t="s">
        <v>225</v>
      </c>
      <c r="Q438" s="2" t="s">
        <v>226</v>
      </c>
      <c r="R438" s="2" t="s">
        <v>227</v>
      </c>
      <c r="S438" s="2" t="s">
        <v>2932</v>
      </c>
      <c r="T438" s="2" t="s">
        <v>227</v>
      </c>
      <c r="U438" s="2" t="s">
        <v>552</v>
      </c>
      <c r="V438" s="2" t="s">
        <v>230</v>
      </c>
      <c r="W438" s="2" t="s">
        <v>581</v>
      </c>
      <c r="X438" s="2" t="s">
        <v>1872</v>
      </c>
      <c r="Y438" s="2" t="s">
        <v>2933</v>
      </c>
      <c r="Z438" s="4">
        <v>96</v>
      </c>
      <c r="AA438" s="4">
        <f>=ROUNDDOWN(24,0)</f>
      </c>
      <c r="AB438" s="5">
        <v>4</v>
      </c>
      <c r="AC438" s="2" t="s">
        <v>227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227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227</v>
      </c>
      <c r="AW438" s="8" t="s">
        <v>227</v>
      </c>
      <c r="AX438" s="4" t="s">
        <v>227</v>
      </c>
      <c r="AY438" s="8" t="s">
        <v>227</v>
      </c>
      <c r="AZ438" s="7" t="s">
        <v>227</v>
      </c>
      <c r="BA438" s="7" t="s">
        <v>227</v>
      </c>
      <c r="BB438" s="7"/>
      <c r="BC438" s="4" t="s">
        <v>227</v>
      </c>
      <c r="BD438" s="8" t="s">
        <v>227</v>
      </c>
      <c r="BE438" s="4" t="s">
        <v>227</v>
      </c>
      <c r="BF438" s="8" t="s">
        <v>227</v>
      </c>
      <c r="BG438" s="7" t="s">
        <v>227</v>
      </c>
      <c r="BH438" s="7" t="s">
        <v>227</v>
      </c>
      <c r="BI438" s="7"/>
      <c r="BJ438" s="4">
        <v>9</v>
      </c>
      <c r="BK438" s="8">
        <v>224.32</v>
      </c>
      <c r="BL438" s="2" t="s">
        <v>2947</v>
      </c>
      <c r="BM438" s="7"/>
      <c r="BN438" s="7"/>
      <c r="BO438" s="4"/>
      <c r="BP438" s="8"/>
      <c r="BQ438" s="4"/>
      <c r="BR438" s="8"/>
      <c r="BS438" s="7"/>
      <c r="BT438" s="7"/>
      <c r="BU438" s="2" t="s">
        <v>2948</v>
      </c>
      <c r="BV438" s="2" t="s">
        <v>227</v>
      </c>
      <c r="BW438" s="2" t="s">
        <v>227</v>
      </c>
      <c r="BX438" s="2" t="s">
        <v>2877</v>
      </c>
      <c r="BY438" s="2" t="s">
        <v>236</v>
      </c>
      <c r="BZ438" s="2" t="s">
        <v>224</v>
      </c>
      <c r="CA438" s="2" t="s">
        <v>2936</v>
      </c>
      <c r="CB438" s="2" t="s">
        <v>2949</v>
      </c>
      <c r="CC438" s="2" t="s">
        <v>239</v>
      </c>
      <c r="CD438" s="2" t="s">
        <v>227</v>
      </c>
      <c r="CE438" s="4">
        <v>96</v>
      </c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/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4"/>
      <c r="GR438" s="4"/>
      <c r="GS438" s="4"/>
      <c r="GT438" s="4"/>
      <c r="GU438" s="4"/>
      <c r="GV438" s="4"/>
      <c r="GW438" s="4"/>
      <c r="GX438" s="4"/>
    </row>
    <row r="439">
      <c r="A439" s="2" t="s">
        <v>2950</v>
      </c>
      <c r="B439" s="2" t="s">
        <v>715</v>
      </c>
      <c r="C439" s="2" t="s">
        <v>360</v>
      </c>
      <c r="D439" s="2" t="s">
        <v>815</v>
      </c>
      <c r="E439" s="2" t="s">
        <v>816</v>
      </c>
      <c r="F439" s="2" t="s">
        <v>2871</v>
      </c>
      <c r="G439" s="2" t="s">
        <v>2872</v>
      </c>
      <c r="H439" s="2" t="s">
        <v>2873</v>
      </c>
      <c r="I439" s="2" t="s">
        <v>2906</v>
      </c>
      <c r="J439" s="2" t="s">
        <v>2907</v>
      </c>
      <c r="K439" s="2" t="s">
        <v>1242</v>
      </c>
      <c r="L439" s="3">
        <v>12.6</v>
      </c>
      <c r="M439" s="3">
        <v>13.23</v>
      </c>
      <c r="N439" s="3">
        <v>29.99</v>
      </c>
      <c r="O439" s="2" t="s">
        <v>224</v>
      </c>
      <c r="P439" s="2" t="s">
        <v>225</v>
      </c>
      <c r="Q439" s="2" t="s">
        <v>226</v>
      </c>
      <c r="R439" s="2" t="s">
        <v>227</v>
      </c>
      <c r="S439" s="2" t="s">
        <v>2932</v>
      </c>
      <c r="T439" s="2" t="s">
        <v>227</v>
      </c>
      <c r="U439" s="2" t="s">
        <v>552</v>
      </c>
      <c r="V439" s="2" t="s">
        <v>230</v>
      </c>
      <c r="W439" s="2" t="s">
        <v>581</v>
      </c>
      <c r="X439" s="2" t="s">
        <v>227</v>
      </c>
      <c r="Y439" s="2" t="s">
        <v>2933</v>
      </c>
      <c r="Z439" s="4">
        <v>434</v>
      </c>
      <c r="AA439" s="4">
        <f>=ROUNDDOWN(39.4545454545455,0)</f>
      </c>
      <c r="AB439" s="5">
        <v>11</v>
      </c>
      <c r="AC439" s="2" t="s">
        <v>227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227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227</v>
      </c>
      <c r="AW439" s="8" t="s">
        <v>227</v>
      </c>
      <c r="AX439" s="4" t="s">
        <v>227</v>
      </c>
      <c r="AY439" s="8" t="s">
        <v>227</v>
      </c>
      <c r="AZ439" s="7" t="s">
        <v>227</v>
      </c>
      <c r="BA439" s="7" t="s">
        <v>227</v>
      </c>
      <c r="BB439" s="7"/>
      <c r="BC439" s="4" t="s">
        <v>227</v>
      </c>
      <c r="BD439" s="8" t="s">
        <v>227</v>
      </c>
      <c r="BE439" s="4" t="s">
        <v>227</v>
      </c>
      <c r="BF439" s="8" t="s">
        <v>227</v>
      </c>
      <c r="BG439" s="7" t="s">
        <v>227</v>
      </c>
      <c r="BH439" s="7" t="s">
        <v>227</v>
      </c>
      <c r="BI439" s="7"/>
      <c r="BJ439" s="4">
        <v>30</v>
      </c>
      <c r="BK439" s="8">
        <v>527.66</v>
      </c>
      <c r="BL439" s="2" t="s">
        <v>2951</v>
      </c>
      <c r="BM439" s="7"/>
      <c r="BN439" s="7"/>
      <c r="BO439" s="4"/>
      <c r="BP439" s="8"/>
      <c r="BQ439" s="4"/>
      <c r="BR439" s="8"/>
      <c r="BS439" s="7"/>
      <c r="BT439" s="7"/>
      <c r="BU439" s="2" t="s">
        <v>2952</v>
      </c>
      <c r="BV439" s="2" t="s">
        <v>227</v>
      </c>
      <c r="BW439" s="2" t="s">
        <v>227</v>
      </c>
      <c r="BX439" s="2" t="s">
        <v>235</v>
      </c>
      <c r="BY439" s="2" t="s">
        <v>236</v>
      </c>
      <c r="BZ439" s="2" t="s">
        <v>224</v>
      </c>
      <c r="CA439" s="2" t="s">
        <v>2263</v>
      </c>
      <c r="CB439" s="2" t="s">
        <v>2953</v>
      </c>
      <c r="CC439" s="2" t="s">
        <v>239</v>
      </c>
      <c r="CD439" s="2" t="s">
        <v>227</v>
      </c>
      <c r="CE439" s="4">
        <v>434</v>
      </c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4"/>
      <c r="GR439" s="4"/>
      <c r="GS439" s="4"/>
      <c r="GT439" s="4"/>
      <c r="GU439" s="4"/>
      <c r="GV439" s="4"/>
      <c r="GW439" s="4"/>
      <c r="GX439" s="4"/>
    </row>
    <row r="440">
      <c r="A440" s="2" t="s">
        <v>2954</v>
      </c>
      <c r="B440" s="2" t="s">
        <v>715</v>
      </c>
      <c r="C440" s="2" t="s">
        <v>360</v>
      </c>
      <c r="D440" s="2" t="s">
        <v>716</v>
      </c>
      <c r="E440" s="2" t="s">
        <v>717</v>
      </c>
      <c r="F440" s="2" t="s">
        <v>2871</v>
      </c>
      <c r="G440" s="2" t="s">
        <v>2872</v>
      </c>
      <c r="H440" s="2" t="s">
        <v>2873</v>
      </c>
      <c r="I440" s="2" t="s">
        <v>2874</v>
      </c>
      <c r="J440" s="2" t="s">
        <v>808</v>
      </c>
      <c r="K440" s="2" t="s">
        <v>2955</v>
      </c>
      <c r="L440" s="3">
        <v>17.1</v>
      </c>
      <c r="M440" s="3">
        <v>17.96</v>
      </c>
      <c r="N440" s="3">
        <v>44.99</v>
      </c>
      <c r="O440" s="2" t="s">
        <v>224</v>
      </c>
      <c r="P440" s="2" t="s">
        <v>225</v>
      </c>
      <c r="Q440" s="2" t="s">
        <v>226</v>
      </c>
      <c r="R440" s="2" t="s">
        <v>227</v>
      </c>
      <c r="S440" s="2" t="s">
        <v>2956</v>
      </c>
      <c r="T440" s="2" t="s">
        <v>227</v>
      </c>
      <c r="U440" s="2" t="s">
        <v>552</v>
      </c>
      <c r="V440" s="2" t="s">
        <v>230</v>
      </c>
      <c r="W440" s="2" t="s">
        <v>581</v>
      </c>
      <c r="X440" s="2" t="s">
        <v>1872</v>
      </c>
      <c r="Y440" s="2" t="s">
        <v>232</v>
      </c>
      <c r="Z440" s="4">
        <v>240</v>
      </c>
      <c r="AA440" s="4">
        <f>=ROUNDDOWN(13.3333333333333,0)</f>
      </c>
      <c r="AB440" s="5">
        <v>18</v>
      </c>
      <c r="AC440" s="2" t="s">
        <v>583</v>
      </c>
      <c r="AD440" s="4">
        <v>240</v>
      </c>
      <c r="AE440" s="4">
        <v>464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227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227</v>
      </c>
      <c r="AW440" s="8" t="s">
        <v>227</v>
      </c>
      <c r="AX440" s="4" t="s">
        <v>227</v>
      </c>
      <c r="AY440" s="8" t="s">
        <v>227</v>
      </c>
      <c r="AZ440" s="7" t="s">
        <v>227</v>
      </c>
      <c r="BA440" s="7" t="s">
        <v>227</v>
      </c>
      <c r="BB440" s="7"/>
      <c r="BC440" s="4" t="s">
        <v>227</v>
      </c>
      <c r="BD440" s="8" t="s">
        <v>227</v>
      </c>
      <c r="BE440" s="4" t="s">
        <v>227</v>
      </c>
      <c r="BF440" s="8" t="s">
        <v>227</v>
      </c>
      <c r="BG440" s="7" t="s">
        <v>227</v>
      </c>
      <c r="BH440" s="7" t="s">
        <v>227</v>
      </c>
      <c r="BI440" s="7"/>
      <c r="BJ440" s="4">
        <v>32</v>
      </c>
      <c r="BK440" s="8">
        <v>497.36</v>
      </c>
      <c r="BL440" s="2" t="s">
        <v>2957</v>
      </c>
      <c r="BM440" s="7"/>
      <c r="BN440" s="7"/>
      <c r="BO440" s="4"/>
      <c r="BP440" s="8"/>
      <c r="BQ440" s="4"/>
      <c r="BR440" s="8"/>
      <c r="BS440" s="7"/>
      <c r="BT440" s="7"/>
      <c r="BU440" s="2" t="s">
        <v>2958</v>
      </c>
      <c r="BV440" s="2" t="s">
        <v>227</v>
      </c>
      <c r="BW440" s="2" t="s">
        <v>227</v>
      </c>
      <c r="BX440" s="2" t="s">
        <v>2877</v>
      </c>
      <c r="BY440" s="2" t="s">
        <v>236</v>
      </c>
      <c r="BZ440" s="2" t="s">
        <v>224</v>
      </c>
      <c r="CA440" s="2" t="s">
        <v>237</v>
      </c>
      <c r="CB440" s="2" t="s">
        <v>2959</v>
      </c>
      <c r="CC440" s="2" t="s">
        <v>239</v>
      </c>
      <c r="CD440" s="2" t="s">
        <v>227</v>
      </c>
      <c r="CE440" s="4">
        <v>240</v>
      </c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>
        <v>240</v>
      </c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>
        <v>112</v>
      </c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/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/>
      <c r="GI440" s="4"/>
      <c r="GJ440" s="4"/>
      <c r="GK440" s="4"/>
      <c r="GL440" s="4"/>
      <c r="GM440" s="4">
        <v>112</v>
      </c>
      <c r="GN440" s="4"/>
      <c r="GO440" s="4"/>
      <c r="GP440" s="4"/>
      <c r="GQ440" s="4"/>
      <c r="GR440" s="4"/>
      <c r="GS440" s="4"/>
      <c r="GT440" s="4"/>
      <c r="GU440" s="4"/>
      <c r="GV440" s="4"/>
      <c r="GW440" s="4"/>
      <c r="GX440" s="4"/>
    </row>
    <row r="441">
      <c r="A441" s="2" t="s">
        <v>2960</v>
      </c>
      <c r="B441" s="2" t="s">
        <v>715</v>
      </c>
      <c r="C441" s="2" t="s">
        <v>360</v>
      </c>
      <c r="D441" s="2" t="s">
        <v>815</v>
      </c>
      <c r="E441" s="2" t="s">
        <v>816</v>
      </c>
      <c r="F441" s="2" t="s">
        <v>2871</v>
      </c>
      <c r="G441" s="2" t="s">
        <v>2872</v>
      </c>
      <c r="H441" s="2" t="s">
        <v>2873</v>
      </c>
      <c r="I441" s="2" t="s">
        <v>2906</v>
      </c>
      <c r="J441" s="2" t="s">
        <v>2907</v>
      </c>
      <c r="K441" s="2" t="s">
        <v>2955</v>
      </c>
      <c r="L441" s="3">
        <v>12.6</v>
      </c>
      <c r="M441" s="3">
        <v>13.23</v>
      </c>
      <c r="N441" s="3">
        <v>29.99</v>
      </c>
      <c r="O441" s="2" t="s">
        <v>224</v>
      </c>
      <c r="P441" s="2" t="s">
        <v>225</v>
      </c>
      <c r="Q441" s="2" t="s">
        <v>226</v>
      </c>
      <c r="R441" s="2" t="s">
        <v>227</v>
      </c>
      <c r="S441" s="2" t="s">
        <v>2956</v>
      </c>
      <c r="T441" s="2" t="s">
        <v>227</v>
      </c>
      <c r="U441" s="2" t="s">
        <v>227</v>
      </c>
      <c r="V441" s="2" t="s">
        <v>230</v>
      </c>
      <c r="W441" s="2" t="s">
        <v>581</v>
      </c>
      <c r="X441" s="2" t="s">
        <v>227</v>
      </c>
      <c r="Y441" s="2" t="s">
        <v>2927</v>
      </c>
      <c r="Z441" s="4">
        <v>132</v>
      </c>
      <c r="AA441" s="4">
        <f>=ROUNDDOWN(18.8571428571429,0)</f>
      </c>
      <c r="AB441" s="5">
        <v>7</v>
      </c>
      <c r="AC441" s="2" t="s">
        <v>583</v>
      </c>
      <c r="AD441" s="4">
        <v>80</v>
      </c>
      <c r="AE441" s="4">
        <v>192</v>
      </c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227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227</v>
      </c>
      <c r="AW441" s="8" t="s">
        <v>227</v>
      </c>
      <c r="AX441" s="4" t="s">
        <v>227</v>
      </c>
      <c r="AY441" s="8" t="s">
        <v>227</v>
      </c>
      <c r="AZ441" s="7" t="s">
        <v>227</v>
      </c>
      <c r="BA441" s="7" t="s">
        <v>227</v>
      </c>
      <c r="BB441" s="7"/>
      <c r="BC441" s="4" t="s">
        <v>227</v>
      </c>
      <c r="BD441" s="8" t="s">
        <v>227</v>
      </c>
      <c r="BE441" s="4" t="s">
        <v>227</v>
      </c>
      <c r="BF441" s="8" t="s">
        <v>227</v>
      </c>
      <c r="BG441" s="7" t="s">
        <v>227</v>
      </c>
      <c r="BH441" s="7" t="s">
        <v>227</v>
      </c>
      <c r="BI441" s="7"/>
      <c r="BJ441" s="4">
        <v>9</v>
      </c>
      <c r="BK441" s="8">
        <v>113.4</v>
      </c>
      <c r="BL441" s="2" t="s">
        <v>2961</v>
      </c>
      <c r="BM441" s="7"/>
      <c r="BN441" s="7"/>
      <c r="BO441" s="4"/>
      <c r="BP441" s="8"/>
      <c r="BQ441" s="4"/>
      <c r="BR441" s="8"/>
      <c r="BS441" s="7"/>
      <c r="BT441" s="7"/>
      <c r="BU441" s="2" t="s">
        <v>2962</v>
      </c>
      <c r="BV441" s="2" t="s">
        <v>227</v>
      </c>
      <c r="BW441" s="2" t="s">
        <v>227</v>
      </c>
      <c r="BX441" s="2" t="s">
        <v>235</v>
      </c>
      <c r="BY441" s="2" t="s">
        <v>236</v>
      </c>
      <c r="BZ441" s="2" t="s">
        <v>224</v>
      </c>
      <c r="CA441" s="2" t="s">
        <v>1671</v>
      </c>
      <c r="CB441" s="2" t="s">
        <v>2963</v>
      </c>
      <c r="CC441" s="2" t="s">
        <v>239</v>
      </c>
      <c r="CD441" s="2" t="s">
        <v>227</v>
      </c>
      <c r="CE441" s="4">
        <v>132</v>
      </c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>
        <v>80</v>
      </c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>
        <v>56</v>
      </c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/>
      <c r="GI441" s="4"/>
      <c r="GJ441" s="4"/>
      <c r="GK441" s="4"/>
      <c r="GL441" s="4"/>
      <c r="GM441" s="4">
        <v>56</v>
      </c>
      <c r="GN441" s="4"/>
      <c r="GO441" s="4"/>
      <c r="GP441" s="4"/>
      <c r="GQ441" s="4"/>
      <c r="GR441" s="4"/>
      <c r="GS441" s="4"/>
      <c r="GT441" s="4"/>
      <c r="GU441" s="4"/>
      <c r="GV441" s="4"/>
      <c r="GW441" s="4"/>
      <c r="GX441" s="4"/>
    </row>
    <row r="442">
      <c r="A442" s="2" t="s">
        <v>2964</v>
      </c>
      <c r="B442" s="2" t="s">
        <v>715</v>
      </c>
      <c r="C442" s="2" t="s">
        <v>360</v>
      </c>
      <c r="D442" s="2" t="s">
        <v>716</v>
      </c>
      <c r="E442" s="2" t="s">
        <v>717</v>
      </c>
      <c r="F442" s="2" t="s">
        <v>2871</v>
      </c>
      <c r="G442" s="2" t="s">
        <v>2872</v>
      </c>
      <c r="H442" s="2" t="s">
        <v>2873</v>
      </c>
      <c r="I442" s="2" t="s">
        <v>2874</v>
      </c>
      <c r="J442" s="2" t="s">
        <v>983</v>
      </c>
      <c r="K442" s="2" t="s">
        <v>657</v>
      </c>
      <c r="L442" s="3">
        <v>21</v>
      </c>
      <c r="M442" s="3">
        <v>22.05</v>
      </c>
      <c r="N442" s="3">
        <v>49.99</v>
      </c>
      <c r="O442" s="2" t="s">
        <v>224</v>
      </c>
      <c r="P442" s="2" t="s">
        <v>225</v>
      </c>
      <c r="Q442" s="2" t="s">
        <v>226</v>
      </c>
      <c r="R442" s="2" t="s">
        <v>227</v>
      </c>
      <c r="S442" s="2" t="s">
        <v>2965</v>
      </c>
      <c r="T442" s="2" t="s">
        <v>227</v>
      </c>
      <c r="U442" s="2" t="s">
        <v>552</v>
      </c>
      <c r="V442" s="2" t="s">
        <v>230</v>
      </c>
      <c r="W442" s="2" t="s">
        <v>581</v>
      </c>
      <c r="X442" s="2" t="s">
        <v>1872</v>
      </c>
      <c r="Y442" s="2" t="s">
        <v>2897</v>
      </c>
      <c r="Z442" s="4">
        <v>318</v>
      </c>
      <c r="AA442" s="4">
        <f>=ROUNDDOWN(35.3333333333333,0)</f>
      </c>
      <c r="AB442" s="5">
        <v>9</v>
      </c>
      <c r="AC442" s="2" t="s">
        <v>209</v>
      </c>
      <c r="AD442" s="4">
        <v>40</v>
      </c>
      <c r="AE442" s="4">
        <v>40</v>
      </c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227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227</v>
      </c>
      <c r="AW442" s="8" t="s">
        <v>227</v>
      </c>
      <c r="AX442" s="4" t="s">
        <v>227</v>
      </c>
      <c r="AY442" s="8" t="s">
        <v>227</v>
      </c>
      <c r="AZ442" s="7" t="s">
        <v>227</v>
      </c>
      <c r="BA442" s="7" t="s">
        <v>227</v>
      </c>
      <c r="BB442" s="7"/>
      <c r="BC442" s="4" t="s">
        <v>227</v>
      </c>
      <c r="BD442" s="8" t="s">
        <v>227</v>
      </c>
      <c r="BE442" s="4" t="s">
        <v>227</v>
      </c>
      <c r="BF442" s="8" t="s">
        <v>227</v>
      </c>
      <c r="BG442" s="7" t="s">
        <v>227</v>
      </c>
      <c r="BH442" s="7" t="s">
        <v>227</v>
      </c>
      <c r="BI442" s="7"/>
      <c r="BJ442" s="4">
        <v>23</v>
      </c>
      <c r="BK442" s="8">
        <v>510.59</v>
      </c>
      <c r="BL442" s="2" t="s">
        <v>2966</v>
      </c>
      <c r="BM442" s="7"/>
      <c r="BN442" s="7"/>
      <c r="BO442" s="4"/>
      <c r="BP442" s="8"/>
      <c r="BQ442" s="4"/>
      <c r="BR442" s="8"/>
      <c r="BS442" s="7"/>
      <c r="BT442" s="7"/>
      <c r="BU442" s="2" t="s">
        <v>2967</v>
      </c>
      <c r="BV442" s="2" t="s">
        <v>227</v>
      </c>
      <c r="BW442" s="2" t="s">
        <v>227</v>
      </c>
      <c r="BX442" s="2" t="s">
        <v>2877</v>
      </c>
      <c r="BY442" s="2" t="s">
        <v>236</v>
      </c>
      <c r="BZ442" s="2" t="s">
        <v>224</v>
      </c>
      <c r="CA442" s="2" t="s">
        <v>2968</v>
      </c>
      <c r="CB442" s="2" t="s">
        <v>2969</v>
      </c>
      <c r="CC442" s="2" t="s">
        <v>239</v>
      </c>
      <c r="CD442" s="2" t="s">
        <v>227</v>
      </c>
      <c r="CE442" s="4">
        <v>318</v>
      </c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/>
      <c r="GI442" s="4"/>
      <c r="GJ442" s="4"/>
      <c r="GK442" s="4"/>
      <c r="GL442" s="4"/>
      <c r="GM442" s="4"/>
      <c r="GN442" s="4"/>
      <c r="GO442" s="4"/>
      <c r="GP442" s="4"/>
      <c r="GQ442" s="4"/>
      <c r="GR442" s="4"/>
      <c r="GS442" s="4">
        <v>40</v>
      </c>
      <c r="GT442" s="4"/>
      <c r="GU442" s="4"/>
      <c r="GV442" s="4"/>
      <c r="GW442" s="4"/>
      <c r="GX442" s="4"/>
    </row>
    <row r="443">
      <c r="A443" s="2" t="s">
        <v>2970</v>
      </c>
      <c r="B443" s="2" t="s">
        <v>715</v>
      </c>
      <c r="C443" s="2" t="s">
        <v>360</v>
      </c>
      <c r="D443" s="2" t="s">
        <v>716</v>
      </c>
      <c r="E443" s="2" t="s">
        <v>717</v>
      </c>
      <c r="F443" s="2" t="s">
        <v>2871</v>
      </c>
      <c r="G443" s="2" t="s">
        <v>2872</v>
      </c>
      <c r="H443" s="2" t="s">
        <v>2873</v>
      </c>
      <c r="I443" s="2" t="s">
        <v>2874</v>
      </c>
      <c r="J443" s="2" t="s">
        <v>2884</v>
      </c>
      <c r="K443" s="2" t="s">
        <v>657</v>
      </c>
      <c r="L443" s="3">
        <v>23.1</v>
      </c>
      <c r="M443" s="3">
        <v>24.26</v>
      </c>
      <c r="N443" s="3">
        <v>54.99</v>
      </c>
      <c r="O443" s="2" t="s">
        <v>224</v>
      </c>
      <c r="P443" s="2" t="s">
        <v>225</v>
      </c>
      <c r="Q443" s="2" t="s">
        <v>226</v>
      </c>
      <c r="R443" s="2" t="s">
        <v>227</v>
      </c>
      <c r="S443" s="2" t="s">
        <v>2965</v>
      </c>
      <c r="T443" s="2" t="s">
        <v>227</v>
      </c>
      <c r="U443" s="2" t="s">
        <v>552</v>
      </c>
      <c r="V443" s="2" t="s">
        <v>230</v>
      </c>
      <c r="W443" s="2" t="s">
        <v>581</v>
      </c>
      <c r="X443" s="2" t="s">
        <v>1872</v>
      </c>
      <c r="Y443" s="2" t="s">
        <v>2897</v>
      </c>
      <c r="Z443" s="4">
        <v>147</v>
      </c>
      <c r="AA443" s="4">
        <f>=ROUNDDOWN(36.75,0)</f>
      </c>
      <c r="AB443" s="5">
        <v>4</v>
      </c>
      <c r="AC443" s="2" t="s">
        <v>227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227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227</v>
      </c>
      <c r="AW443" s="8" t="s">
        <v>227</v>
      </c>
      <c r="AX443" s="4" t="s">
        <v>227</v>
      </c>
      <c r="AY443" s="8" t="s">
        <v>227</v>
      </c>
      <c r="AZ443" s="7" t="s">
        <v>227</v>
      </c>
      <c r="BA443" s="7" t="s">
        <v>227</v>
      </c>
      <c r="BB443" s="7"/>
      <c r="BC443" s="4" t="s">
        <v>227</v>
      </c>
      <c r="BD443" s="8" t="s">
        <v>227</v>
      </c>
      <c r="BE443" s="4" t="s">
        <v>227</v>
      </c>
      <c r="BF443" s="8" t="s">
        <v>227</v>
      </c>
      <c r="BG443" s="7" t="s">
        <v>227</v>
      </c>
      <c r="BH443" s="7" t="s">
        <v>227</v>
      </c>
      <c r="BI443" s="7"/>
      <c r="BJ443" s="4">
        <v>6</v>
      </c>
      <c r="BK443" s="8">
        <v>134.62</v>
      </c>
      <c r="BL443" s="2" t="s">
        <v>2971</v>
      </c>
      <c r="BM443" s="7"/>
      <c r="BN443" s="7"/>
      <c r="BO443" s="4"/>
      <c r="BP443" s="8"/>
      <c r="BQ443" s="4"/>
      <c r="BR443" s="8"/>
      <c r="BS443" s="7"/>
      <c r="BT443" s="7"/>
      <c r="BU443" s="2" t="s">
        <v>2972</v>
      </c>
      <c r="BV443" s="2" t="s">
        <v>227</v>
      </c>
      <c r="BW443" s="2" t="s">
        <v>227</v>
      </c>
      <c r="BX443" s="2" t="s">
        <v>2877</v>
      </c>
      <c r="BY443" s="2" t="s">
        <v>236</v>
      </c>
      <c r="BZ443" s="2" t="s">
        <v>224</v>
      </c>
      <c r="CA443" s="2" t="s">
        <v>2900</v>
      </c>
      <c r="CB443" s="2" t="s">
        <v>2973</v>
      </c>
      <c r="CC443" s="2" t="s">
        <v>239</v>
      </c>
      <c r="CD443" s="2" t="s">
        <v>227</v>
      </c>
      <c r="CE443" s="4">
        <v>147</v>
      </c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4"/>
      <c r="GR443" s="4"/>
      <c r="GS443" s="4"/>
      <c r="GT443" s="4"/>
      <c r="GU443" s="4"/>
      <c r="GV443" s="4"/>
      <c r="GW443" s="4"/>
      <c r="GX443" s="4"/>
    </row>
    <row r="444">
      <c r="A444" s="2" t="s">
        <v>2974</v>
      </c>
      <c r="B444" s="2" t="s">
        <v>715</v>
      </c>
      <c r="C444" s="2" t="s">
        <v>360</v>
      </c>
      <c r="D444" s="2" t="s">
        <v>815</v>
      </c>
      <c r="E444" s="2" t="s">
        <v>816</v>
      </c>
      <c r="F444" s="2" t="s">
        <v>2871</v>
      </c>
      <c r="G444" s="2" t="s">
        <v>2872</v>
      </c>
      <c r="H444" s="2" t="s">
        <v>2873</v>
      </c>
      <c r="I444" s="2" t="s">
        <v>2906</v>
      </c>
      <c r="J444" s="2" t="s">
        <v>2907</v>
      </c>
      <c r="K444" s="2" t="s">
        <v>657</v>
      </c>
      <c r="L444" s="3">
        <v>12.6</v>
      </c>
      <c r="M444" s="3">
        <v>13.23</v>
      </c>
      <c r="N444" s="3">
        <v>29.99</v>
      </c>
      <c r="O444" s="2" t="s">
        <v>224</v>
      </c>
      <c r="P444" s="2" t="s">
        <v>225</v>
      </c>
      <c r="Q444" s="2" t="s">
        <v>226</v>
      </c>
      <c r="R444" s="2" t="s">
        <v>227</v>
      </c>
      <c r="S444" s="2" t="s">
        <v>2965</v>
      </c>
      <c r="T444" s="2" t="s">
        <v>227</v>
      </c>
      <c r="U444" s="2" t="s">
        <v>552</v>
      </c>
      <c r="V444" s="2" t="s">
        <v>230</v>
      </c>
      <c r="W444" s="2" t="s">
        <v>581</v>
      </c>
      <c r="X444" s="2" t="s">
        <v>227</v>
      </c>
      <c r="Y444" s="2" t="s">
        <v>2897</v>
      </c>
      <c r="Z444" s="4">
        <v>279</v>
      </c>
      <c r="AA444" s="4">
        <f>=ROUNDDOWN(27.9,0)</f>
      </c>
      <c r="AB444" s="5">
        <v>10</v>
      </c>
      <c r="AC444" s="2" t="s">
        <v>209</v>
      </c>
      <c r="AD444" s="4">
        <v>104</v>
      </c>
      <c r="AE444" s="4">
        <v>104</v>
      </c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227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227</v>
      </c>
      <c r="AW444" s="8" t="s">
        <v>227</v>
      </c>
      <c r="AX444" s="4" t="s">
        <v>227</v>
      </c>
      <c r="AY444" s="8" t="s">
        <v>227</v>
      </c>
      <c r="AZ444" s="7" t="s">
        <v>227</v>
      </c>
      <c r="BA444" s="7" t="s">
        <v>227</v>
      </c>
      <c r="BB444" s="7"/>
      <c r="BC444" s="4" t="s">
        <v>227</v>
      </c>
      <c r="BD444" s="8" t="s">
        <v>227</v>
      </c>
      <c r="BE444" s="4" t="s">
        <v>227</v>
      </c>
      <c r="BF444" s="8" t="s">
        <v>227</v>
      </c>
      <c r="BG444" s="7" t="s">
        <v>227</v>
      </c>
      <c r="BH444" s="7" t="s">
        <v>227</v>
      </c>
      <c r="BI444" s="7"/>
      <c r="BJ444" s="4">
        <v>19</v>
      </c>
      <c r="BK444" s="8">
        <v>268.17</v>
      </c>
      <c r="BL444" s="2" t="s">
        <v>2975</v>
      </c>
      <c r="BM444" s="7"/>
      <c r="BN444" s="7"/>
      <c r="BO444" s="4"/>
      <c r="BP444" s="8"/>
      <c r="BQ444" s="4"/>
      <c r="BR444" s="8"/>
      <c r="BS444" s="7"/>
      <c r="BT444" s="7"/>
      <c r="BU444" s="2" t="s">
        <v>2976</v>
      </c>
      <c r="BV444" s="2" t="s">
        <v>227</v>
      </c>
      <c r="BW444" s="2" t="s">
        <v>227</v>
      </c>
      <c r="BX444" s="2" t="s">
        <v>235</v>
      </c>
      <c r="BY444" s="2" t="s">
        <v>236</v>
      </c>
      <c r="BZ444" s="2" t="s">
        <v>224</v>
      </c>
      <c r="CA444" s="2" t="s">
        <v>1223</v>
      </c>
      <c r="CB444" s="2" t="s">
        <v>1274</v>
      </c>
      <c r="CC444" s="2" t="s">
        <v>239</v>
      </c>
      <c r="CD444" s="2" t="s">
        <v>227</v>
      </c>
      <c r="CE444" s="4">
        <v>279</v>
      </c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/>
      <c r="GI444" s="4"/>
      <c r="GJ444" s="4"/>
      <c r="GK444" s="4"/>
      <c r="GL444" s="4"/>
      <c r="GM444" s="4"/>
      <c r="GN444" s="4"/>
      <c r="GO444" s="4"/>
      <c r="GP444" s="4"/>
      <c r="GQ444" s="4"/>
      <c r="GR444" s="4"/>
      <c r="GS444" s="4">
        <v>104</v>
      </c>
      <c r="GT444" s="4"/>
      <c r="GU444" s="4"/>
      <c r="GV444" s="4"/>
      <c r="GW444" s="4"/>
      <c r="GX444" s="4"/>
    </row>
    <row r="445">
      <c r="A445" s="2" t="s">
        <v>2977</v>
      </c>
      <c r="B445" s="2" t="s">
        <v>715</v>
      </c>
      <c r="C445" s="2" t="s">
        <v>360</v>
      </c>
      <c r="D445" s="2" t="s">
        <v>716</v>
      </c>
      <c r="E445" s="2" t="s">
        <v>717</v>
      </c>
      <c r="F445" s="2" t="s">
        <v>2871</v>
      </c>
      <c r="G445" s="2" t="s">
        <v>2872</v>
      </c>
      <c r="H445" s="2" t="s">
        <v>2873</v>
      </c>
      <c r="I445" s="2" t="s">
        <v>2874</v>
      </c>
      <c r="J445" s="2" t="s">
        <v>808</v>
      </c>
      <c r="K445" s="2" t="s">
        <v>2978</v>
      </c>
      <c r="L445" s="3">
        <v>17.1</v>
      </c>
      <c r="M445" s="3">
        <v>17.96</v>
      </c>
      <c r="N445" s="3">
        <v>44.99</v>
      </c>
      <c r="O445" s="2" t="s">
        <v>224</v>
      </c>
      <c r="P445" s="2" t="s">
        <v>225</v>
      </c>
      <c r="Q445" s="2" t="s">
        <v>226</v>
      </c>
      <c r="R445" s="2" t="s">
        <v>227</v>
      </c>
      <c r="S445" s="2" t="s">
        <v>2979</v>
      </c>
      <c r="T445" s="2" t="s">
        <v>227</v>
      </c>
      <c r="U445" s="2" t="s">
        <v>552</v>
      </c>
      <c r="V445" s="2" t="s">
        <v>230</v>
      </c>
      <c r="W445" s="2" t="s">
        <v>581</v>
      </c>
      <c r="X445" s="2" t="s">
        <v>1872</v>
      </c>
      <c r="Y445" s="2" t="s">
        <v>232</v>
      </c>
      <c r="Z445" s="4">
        <v>467</v>
      </c>
      <c r="AA445" s="4">
        <f>=ROUNDDOWN(24.5789473684211,0)</f>
      </c>
      <c r="AB445" s="5">
        <v>19</v>
      </c>
      <c r="AC445" s="2" t="s">
        <v>583</v>
      </c>
      <c r="AD445" s="4">
        <v>52</v>
      </c>
      <c r="AE445" s="4">
        <v>252</v>
      </c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227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227</v>
      </c>
      <c r="AW445" s="8" t="s">
        <v>227</v>
      </c>
      <c r="AX445" s="4" t="s">
        <v>227</v>
      </c>
      <c r="AY445" s="8" t="s">
        <v>227</v>
      </c>
      <c r="AZ445" s="7" t="s">
        <v>227</v>
      </c>
      <c r="BA445" s="7" t="s">
        <v>227</v>
      </c>
      <c r="BB445" s="7"/>
      <c r="BC445" s="4" t="s">
        <v>227</v>
      </c>
      <c r="BD445" s="8" t="s">
        <v>227</v>
      </c>
      <c r="BE445" s="4" t="s">
        <v>227</v>
      </c>
      <c r="BF445" s="8" t="s">
        <v>227</v>
      </c>
      <c r="BG445" s="7" t="s">
        <v>227</v>
      </c>
      <c r="BH445" s="7" t="s">
        <v>227</v>
      </c>
      <c r="BI445" s="7"/>
      <c r="BJ445" s="4">
        <v>68</v>
      </c>
      <c r="BK445" s="8">
        <v>1039.87</v>
      </c>
      <c r="BL445" s="2" t="s">
        <v>2980</v>
      </c>
      <c r="BM445" s="7"/>
      <c r="BN445" s="7"/>
      <c r="BO445" s="4"/>
      <c r="BP445" s="8"/>
      <c r="BQ445" s="4"/>
      <c r="BR445" s="8"/>
      <c r="BS445" s="7"/>
      <c r="BT445" s="7"/>
      <c r="BU445" s="2" t="s">
        <v>2981</v>
      </c>
      <c r="BV445" s="2" t="s">
        <v>227</v>
      </c>
      <c r="BW445" s="2" t="s">
        <v>227</v>
      </c>
      <c r="BX445" s="2" t="s">
        <v>2877</v>
      </c>
      <c r="BY445" s="2" t="s">
        <v>236</v>
      </c>
      <c r="BZ445" s="2" t="s">
        <v>224</v>
      </c>
      <c r="CA445" s="2" t="s">
        <v>237</v>
      </c>
      <c r="CB445" s="2" t="s">
        <v>2959</v>
      </c>
      <c r="CC445" s="2" t="s">
        <v>239</v>
      </c>
      <c r="CD445" s="2" t="s">
        <v>227</v>
      </c>
      <c r="CE445" s="4">
        <v>467</v>
      </c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>
        <v>52</v>
      </c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>
        <v>200</v>
      </c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4"/>
      <c r="GR445" s="4"/>
      <c r="GS445" s="4"/>
      <c r="GT445" s="4"/>
      <c r="GU445" s="4"/>
      <c r="GV445" s="4"/>
      <c r="GW445" s="4"/>
      <c r="GX445" s="4"/>
    </row>
    <row r="446">
      <c r="A446" s="2" t="s">
        <v>2982</v>
      </c>
      <c r="B446" s="2" t="s">
        <v>715</v>
      </c>
      <c r="C446" s="2" t="s">
        <v>360</v>
      </c>
      <c r="D446" s="2" t="s">
        <v>716</v>
      </c>
      <c r="E446" s="2" t="s">
        <v>717</v>
      </c>
      <c r="F446" s="2" t="s">
        <v>2871</v>
      </c>
      <c r="G446" s="2" t="s">
        <v>2872</v>
      </c>
      <c r="H446" s="2" t="s">
        <v>2873</v>
      </c>
      <c r="I446" s="2" t="s">
        <v>2874</v>
      </c>
      <c r="J446" s="2" t="s">
        <v>983</v>
      </c>
      <c r="K446" s="2" t="s">
        <v>2978</v>
      </c>
      <c r="L446" s="3">
        <v>21</v>
      </c>
      <c r="M446" s="3">
        <v>22.05</v>
      </c>
      <c r="N446" s="3">
        <v>49.99</v>
      </c>
      <c r="O446" s="2" t="s">
        <v>224</v>
      </c>
      <c r="P446" s="2" t="s">
        <v>225</v>
      </c>
      <c r="Q446" s="2" t="s">
        <v>226</v>
      </c>
      <c r="R446" s="2" t="s">
        <v>227</v>
      </c>
      <c r="S446" s="2" t="s">
        <v>2979</v>
      </c>
      <c r="T446" s="2" t="s">
        <v>227</v>
      </c>
      <c r="U446" s="2" t="s">
        <v>552</v>
      </c>
      <c r="V446" s="2" t="s">
        <v>230</v>
      </c>
      <c r="W446" s="2" t="s">
        <v>581</v>
      </c>
      <c r="X446" s="2" t="s">
        <v>1872</v>
      </c>
      <c r="Y446" s="2" t="s">
        <v>232</v>
      </c>
      <c r="Z446" s="4">
        <v>309</v>
      </c>
      <c r="AA446" s="4">
        <f>=ROUNDDOWN(30.9,0)</f>
      </c>
      <c r="AB446" s="5">
        <v>10</v>
      </c>
      <c r="AC446" s="2" t="s">
        <v>583</v>
      </c>
      <c r="AD446" s="4">
        <v>100</v>
      </c>
      <c r="AE446" s="4">
        <v>196</v>
      </c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227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227</v>
      </c>
      <c r="AW446" s="8" t="s">
        <v>227</v>
      </c>
      <c r="AX446" s="4" t="s">
        <v>227</v>
      </c>
      <c r="AY446" s="8" t="s">
        <v>227</v>
      </c>
      <c r="AZ446" s="7" t="s">
        <v>227</v>
      </c>
      <c r="BA446" s="7" t="s">
        <v>227</v>
      </c>
      <c r="BB446" s="7"/>
      <c r="BC446" s="4" t="s">
        <v>227</v>
      </c>
      <c r="BD446" s="8" t="s">
        <v>227</v>
      </c>
      <c r="BE446" s="4" t="s">
        <v>227</v>
      </c>
      <c r="BF446" s="8" t="s">
        <v>227</v>
      </c>
      <c r="BG446" s="7" t="s">
        <v>227</v>
      </c>
      <c r="BH446" s="7" t="s">
        <v>227</v>
      </c>
      <c r="BI446" s="7"/>
      <c r="BJ446" s="4">
        <v>35</v>
      </c>
      <c r="BK446" s="8">
        <v>669.89</v>
      </c>
      <c r="BL446" s="2" t="s">
        <v>2983</v>
      </c>
      <c r="BM446" s="7"/>
      <c r="BN446" s="7"/>
      <c r="BO446" s="4"/>
      <c r="BP446" s="8"/>
      <c r="BQ446" s="4"/>
      <c r="BR446" s="8"/>
      <c r="BS446" s="7"/>
      <c r="BT446" s="7"/>
      <c r="BU446" s="2" t="s">
        <v>2984</v>
      </c>
      <c r="BV446" s="2" t="s">
        <v>227</v>
      </c>
      <c r="BW446" s="2" t="s">
        <v>227</v>
      </c>
      <c r="BX446" s="2" t="s">
        <v>2877</v>
      </c>
      <c r="BY446" s="2" t="s">
        <v>236</v>
      </c>
      <c r="BZ446" s="2" t="s">
        <v>224</v>
      </c>
      <c r="CA446" s="2" t="s">
        <v>237</v>
      </c>
      <c r="CB446" s="2" t="s">
        <v>888</v>
      </c>
      <c r="CC446" s="2" t="s">
        <v>239</v>
      </c>
      <c r="CD446" s="2" t="s">
        <v>227</v>
      </c>
      <c r="CE446" s="4">
        <v>309</v>
      </c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>
        <v>100</v>
      </c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>
        <v>96</v>
      </c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4"/>
      <c r="GR446" s="4"/>
      <c r="GS446" s="4"/>
      <c r="GT446" s="4"/>
      <c r="GU446" s="4"/>
      <c r="GV446" s="4"/>
      <c r="GW446" s="4"/>
      <c r="GX446" s="4"/>
    </row>
    <row r="447">
      <c r="A447" s="2" t="s">
        <v>2985</v>
      </c>
      <c r="B447" s="2" t="s">
        <v>715</v>
      </c>
      <c r="C447" s="2" t="s">
        <v>360</v>
      </c>
      <c r="D447" s="2" t="s">
        <v>716</v>
      </c>
      <c r="E447" s="2" t="s">
        <v>717</v>
      </c>
      <c r="F447" s="2" t="s">
        <v>2871</v>
      </c>
      <c r="G447" s="2" t="s">
        <v>2872</v>
      </c>
      <c r="H447" s="2" t="s">
        <v>2873</v>
      </c>
      <c r="I447" s="2" t="s">
        <v>2887</v>
      </c>
      <c r="J447" s="2" t="s">
        <v>2893</v>
      </c>
      <c r="K447" s="2" t="s">
        <v>2978</v>
      </c>
      <c r="L447" s="3">
        <v>20.25</v>
      </c>
      <c r="M447" s="3">
        <v>21.26</v>
      </c>
      <c r="N447" s="3">
        <v>44.99</v>
      </c>
      <c r="O447" s="2" t="s">
        <v>224</v>
      </c>
      <c r="P447" s="2" t="s">
        <v>225</v>
      </c>
      <c r="Q447" s="2" t="s">
        <v>226</v>
      </c>
      <c r="R447" s="2" t="s">
        <v>227</v>
      </c>
      <c r="S447" s="2" t="s">
        <v>2986</v>
      </c>
      <c r="T447" s="2" t="s">
        <v>227</v>
      </c>
      <c r="U447" s="2" t="s">
        <v>552</v>
      </c>
      <c r="V447" s="2" t="s">
        <v>230</v>
      </c>
      <c r="W447" s="2" t="s">
        <v>581</v>
      </c>
      <c r="X447" s="2" t="s">
        <v>1216</v>
      </c>
      <c r="Y447" s="2" t="s">
        <v>2987</v>
      </c>
      <c r="Z447" s="4">
        <v>187</v>
      </c>
      <c r="AA447" s="4">
        <f>=ROUNDDOWN(31.1666666666667,0)</f>
      </c>
      <c r="AB447" s="5">
        <v>6</v>
      </c>
      <c r="AC447" s="2" t="s">
        <v>583</v>
      </c>
      <c r="AD447" s="4">
        <v>172</v>
      </c>
      <c r="AE447" s="4">
        <v>232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227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227</v>
      </c>
      <c r="AW447" s="8" t="s">
        <v>227</v>
      </c>
      <c r="AX447" s="4" t="s">
        <v>227</v>
      </c>
      <c r="AY447" s="8" t="s">
        <v>227</v>
      </c>
      <c r="AZ447" s="7" t="s">
        <v>227</v>
      </c>
      <c r="BA447" s="7" t="s">
        <v>227</v>
      </c>
      <c r="BB447" s="7"/>
      <c r="BC447" s="4" t="s">
        <v>227</v>
      </c>
      <c r="BD447" s="8" t="s">
        <v>227</v>
      </c>
      <c r="BE447" s="4" t="s">
        <v>227</v>
      </c>
      <c r="BF447" s="8" t="s">
        <v>227</v>
      </c>
      <c r="BG447" s="7" t="s">
        <v>227</v>
      </c>
      <c r="BH447" s="7" t="s">
        <v>227</v>
      </c>
      <c r="BI447" s="7"/>
      <c r="BJ447" s="4">
        <v>5</v>
      </c>
      <c r="BK447" s="8">
        <v>110.01</v>
      </c>
      <c r="BL447" s="2" t="s">
        <v>2988</v>
      </c>
      <c r="BM447" s="7"/>
      <c r="BN447" s="7"/>
      <c r="BO447" s="4"/>
      <c r="BP447" s="8"/>
      <c r="BQ447" s="4"/>
      <c r="BR447" s="8"/>
      <c r="BS447" s="7"/>
      <c r="BT447" s="7"/>
      <c r="BU447" s="2" t="s">
        <v>2989</v>
      </c>
      <c r="BV447" s="2" t="s">
        <v>227</v>
      </c>
      <c r="BW447" s="2" t="s">
        <v>227</v>
      </c>
      <c r="BX447" s="2" t="s">
        <v>711</v>
      </c>
      <c r="BY447" s="2" t="s">
        <v>236</v>
      </c>
      <c r="BZ447" s="2" t="s">
        <v>224</v>
      </c>
      <c r="CA447" s="2" t="s">
        <v>2685</v>
      </c>
      <c r="CB447" s="2" t="s">
        <v>2990</v>
      </c>
      <c r="CC447" s="2" t="s">
        <v>239</v>
      </c>
      <c r="CD447" s="2" t="s">
        <v>227</v>
      </c>
      <c r="CE447" s="4">
        <v>187</v>
      </c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>
        <v>172</v>
      </c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>
        <v>60</v>
      </c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/>
      <c r="GJ447" s="4"/>
      <c r="GK447" s="4"/>
      <c r="GL447" s="4"/>
      <c r="GM447" s="4"/>
      <c r="GN447" s="4"/>
      <c r="GO447" s="4"/>
      <c r="GP447" s="4"/>
      <c r="GQ447" s="4"/>
      <c r="GR447" s="4"/>
      <c r="GS447" s="4"/>
      <c r="GT447" s="4"/>
      <c r="GU447" s="4"/>
      <c r="GV447" s="4"/>
      <c r="GW447" s="4"/>
      <c r="GX447" s="4"/>
    </row>
    <row r="448">
      <c r="A448" s="2" t="s">
        <v>2991</v>
      </c>
      <c r="B448" s="2" t="s">
        <v>715</v>
      </c>
      <c r="C448" s="2" t="s">
        <v>360</v>
      </c>
      <c r="D448" s="2" t="s">
        <v>716</v>
      </c>
      <c r="E448" s="2" t="s">
        <v>717</v>
      </c>
      <c r="F448" s="2" t="s">
        <v>2871</v>
      </c>
      <c r="G448" s="2" t="s">
        <v>2872</v>
      </c>
      <c r="H448" s="2" t="s">
        <v>2873</v>
      </c>
      <c r="I448" s="2" t="s">
        <v>2874</v>
      </c>
      <c r="J448" s="2" t="s">
        <v>808</v>
      </c>
      <c r="K448" s="2" t="s">
        <v>536</v>
      </c>
      <c r="L448" s="3">
        <v>17.1</v>
      </c>
      <c r="M448" s="3">
        <v>17.96</v>
      </c>
      <c r="N448" s="3">
        <v>44.99</v>
      </c>
      <c r="O448" s="2" t="s">
        <v>224</v>
      </c>
      <c r="P448" s="2" t="s">
        <v>225</v>
      </c>
      <c r="Q448" s="2" t="s">
        <v>226</v>
      </c>
      <c r="R448" s="2" t="s">
        <v>227</v>
      </c>
      <c r="S448" s="2" t="s">
        <v>2992</v>
      </c>
      <c r="T448" s="2" t="s">
        <v>227</v>
      </c>
      <c r="U448" s="2" t="s">
        <v>552</v>
      </c>
      <c r="V448" s="2" t="s">
        <v>230</v>
      </c>
      <c r="W448" s="2" t="s">
        <v>581</v>
      </c>
      <c r="X448" s="2" t="s">
        <v>1872</v>
      </c>
      <c r="Y448" s="2" t="s">
        <v>2897</v>
      </c>
      <c r="Z448" s="4">
        <v>541</v>
      </c>
      <c r="AA448" s="4">
        <f>=ROUNDDOWN(45.0833333333333,0)</f>
      </c>
      <c r="AB448" s="5">
        <v>12</v>
      </c>
      <c r="AC448" s="2" t="s">
        <v>732</v>
      </c>
      <c r="AD448" s="4">
        <v>200</v>
      </c>
      <c r="AE448" s="4">
        <v>400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227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227</v>
      </c>
      <c r="AW448" s="8" t="s">
        <v>227</v>
      </c>
      <c r="AX448" s="4" t="s">
        <v>227</v>
      </c>
      <c r="AY448" s="8" t="s">
        <v>227</v>
      </c>
      <c r="AZ448" s="7" t="s">
        <v>227</v>
      </c>
      <c r="BA448" s="7" t="s">
        <v>227</v>
      </c>
      <c r="BB448" s="7"/>
      <c r="BC448" s="4" t="s">
        <v>227</v>
      </c>
      <c r="BD448" s="8" t="s">
        <v>227</v>
      </c>
      <c r="BE448" s="4" t="s">
        <v>227</v>
      </c>
      <c r="BF448" s="8" t="s">
        <v>227</v>
      </c>
      <c r="BG448" s="7" t="s">
        <v>227</v>
      </c>
      <c r="BH448" s="7" t="s">
        <v>227</v>
      </c>
      <c r="BI448" s="7"/>
      <c r="BJ448" s="4">
        <v>18</v>
      </c>
      <c r="BK448" s="8">
        <v>293.62</v>
      </c>
      <c r="BL448" s="2" t="s">
        <v>2993</v>
      </c>
      <c r="BM448" s="7"/>
      <c r="BN448" s="7"/>
      <c r="BO448" s="4"/>
      <c r="BP448" s="8"/>
      <c r="BQ448" s="4"/>
      <c r="BR448" s="8"/>
      <c r="BS448" s="7"/>
      <c r="BT448" s="7"/>
      <c r="BU448" s="2" t="s">
        <v>2994</v>
      </c>
      <c r="BV448" s="2" t="s">
        <v>227</v>
      </c>
      <c r="BW448" s="2" t="s">
        <v>227</v>
      </c>
      <c r="BX448" s="2" t="s">
        <v>2877</v>
      </c>
      <c r="BY448" s="2" t="s">
        <v>236</v>
      </c>
      <c r="BZ448" s="2" t="s">
        <v>224</v>
      </c>
      <c r="CA448" s="2" t="s">
        <v>2900</v>
      </c>
      <c r="CB448" s="2" t="s">
        <v>1570</v>
      </c>
      <c r="CC448" s="2" t="s">
        <v>239</v>
      </c>
      <c r="CD448" s="2" t="s">
        <v>227</v>
      </c>
      <c r="CE448" s="4">
        <v>541</v>
      </c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>
        <v>200</v>
      </c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/>
      <c r="FM448" s="4"/>
      <c r="FN448" s="4"/>
      <c r="FO448" s="4"/>
      <c r="FP448" s="4"/>
      <c r="FQ448" s="4"/>
      <c r="FR448" s="4"/>
      <c r="FS448" s="4"/>
      <c r="FT448" s="4"/>
      <c r="FU448" s="4"/>
      <c r="FV448" s="4"/>
      <c r="FW448" s="4"/>
      <c r="FX448" s="4"/>
      <c r="FY448" s="4"/>
      <c r="FZ448" s="4"/>
      <c r="GA448" s="4"/>
      <c r="GB448" s="4"/>
      <c r="GC448" s="4"/>
      <c r="GD448" s="4"/>
      <c r="GE448" s="4"/>
      <c r="GF448" s="4"/>
      <c r="GG448" s="4"/>
      <c r="GH448" s="4"/>
      <c r="GI448" s="4"/>
      <c r="GJ448" s="4"/>
      <c r="GK448" s="4"/>
      <c r="GL448" s="4"/>
      <c r="GM448" s="4"/>
      <c r="GN448" s="4"/>
      <c r="GO448" s="4"/>
      <c r="GP448" s="4"/>
      <c r="GQ448" s="4"/>
      <c r="GR448" s="4"/>
      <c r="GS448" s="4"/>
      <c r="GT448" s="4"/>
      <c r="GU448" s="4"/>
      <c r="GV448" s="4"/>
      <c r="GW448" s="4"/>
      <c r="GX448" s="4">
        <v>200</v>
      </c>
    </row>
    <row r="449">
      <c r="A449" s="2" t="s">
        <v>2995</v>
      </c>
      <c r="B449" s="2" t="s">
        <v>715</v>
      </c>
      <c r="C449" s="2" t="s">
        <v>360</v>
      </c>
      <c r="D449" s="2" t="s">
        <v>716</v>
      </c>
      <c r="E449" s="2" t="s">
        <v>717</v>
      </c>
      <c r="F449" s="2" t="s">
        <v>2871</v>
      </c>
      <c r="G449" s="2" t="s">
        <v>2872</v>
      </c>
      <c r="H449" s="2" t="s">
        <v>2873</v>
      </c>
      <c r="I449" s="2" t="s">
        <v>2874</v>
      </c>
      <c r="J449" s="2" t="s">
        <v>2884</v>
      </c>
      <c r="K449" s="2" t="s">
        <v>536</v>
      </c>
      <c r="L449" s="3">
        <v>23.1</v>
      </c>
      <c r="M449" s="3">
        <v>24.26</v>
      </c>
      <c r="N449" s="3">
        <v>54.99</v>
      </c>
      <c r="O449" s="2" t="s">
        <v>224</v>
      </c>
      <c r="P449" s="2" t="s">
        <v>225</v>
      </c>
      <c r="Q449" s="2" t="s">
        <v>226</v>
      </c>
      <c r="R449" s="2" t="s">
        <v>227</v>
      </c>
      <c r="S449" s="2" t="s">
        <v>2992</v>
      </c>
      <c r="T449" s="2" t="s">
        <v>227</v>
      </c>
      <c r="U449" s="2" t="s">
        <v>552</v>
      </c>
      <c r="V449" s="2" t="s">
        <v>230</v>
      </c>
      <c r="W449" s="2" t="s">
        <v>581</v>
      </c>
      <c r="X449" s="2" t="s">
        <v>1872</v>
      </c>
      <c r="Y449" s="2" t="s">
        <v>2897</v>
      </c>
      <c r="Z449" s="4">
        <v>190</v>
      </c>
      <c r="AA449" s="4">
        <f>=ROUNDDOWN(47.5,0)</f>
      </c>
      <c r="AB449" s="5">
        <v>4</v>
      </c>
      <c r="AC449" s="2" t="s">
        <v>227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227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227</v>
      </c>
      <c r="AW449" s="8" t="s">
        <v>227</v>
      </c>
      <c r="AX449" s="4" t="s">
        <v>227</v>
      </c>
      <c r="AY449" s="8" t="s">
        <v>227</v>
      </c>
      <c r="AZ449" s="7" t="s">
        <v>227</v>
      </c>
      <c r="BA449" s="7" t="s">
        <v>227</v>
      </c>
      <c r="BB449" s="7"/>
      <c r="BC449" s="4" t="s">
        <v>227</v>
      </c>
      <c r="BD449" s="8" t="s">
        <v>227</v>
      </c>
      <c r="BE449" s="4" t="s">
        <v>227</v>
      </c>
      <c r="BF449" s="8" t="s">
        <v>227</v>
      </c>
      <c r="BG449" s="7" t="s">
        <v>227</v>
      </c>
      <c r="BH449" s="7" t="s">
        <v>227</v>
      </c>
      <c r="BI449" s="7"/>
      <c r="BJ449" s="4">
        <v>8</v>
      </c>
      <c r="BK449" s="8">
        <v>200.16</v>
      </c>
      <c r="BL449" s="2" t="s">
        <v>2339</v>
      </c>
      <c r="BM449" s="7"/>
      <c r="BN449" s="7"/>
      <c r="BO449" s="4"/>
      <c r="BP449" s="8"/>
      <c r="BQ449" s="4"/>
      <c r="BR449" s="8"/>
      <c r="BS449" s="7"/>
      <c r="BT449" s="7"/>
      <c r="BU449" s="2" t="s">
        <v>2996</v>
      </c>
      <c r="BV449" s="2" t="s">
        <v>227</v>
      </c>
      <c r="BW449" s="2" t="s">
        <v>227</v>
      </c>
      <c r="BX449" s="2" t="s">
        <v>2877</v>
      </c>
      <c r="BY449" s="2" t="s">
        <v>236</v>
      </c>
      <c r="BZ449" s="2" t="s">
        <v>224</v>
      </c>
      <c r="CA449" s="2" t="s">
        <v>2968</v>
      </c>
      <c r="CB449" s="2" t="s">
        <v>2311</v>
      </c>
      <c r="CC449" s="2" t="s">
        <v>239</v>
      </c>
      <c r="CD449" s="2" t="s">
        <v>227</v>
      </c>
      <c r="CE449" s="4">
        <v>190</v>
      </c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/>
      <c r="FM449" s="4"/>
      <c r="FN449" s="4"/>
      <c r="FO449" s="4"/>
      <c r="FP449" s="4"/>
      <c r="FQ449" s="4"/>
      <c r="FR449" s="4"/>
      <c r="FS449" s="4"/>
      <c r="FT449" s="4"/>
      <c r="FU449" s="4"/>
      <c r="FV449" s="4"/>
      <c r="FW449" s="4"/>
      <c r="FX449" s="4"/>
      <c r="FY449" s="4"/>
      <c r="FZ449" s="4"/>
      <c r="GA449" s="4"/>
      <c r="GB449" s="4"/>
      <c r="GC449" s="4"/>
      <c r="GD449" s="4"/>
      <c r="GE449" s="4"/>
      <c r="GF449" s="4"/>
      <c r="GG449" s="4"/>
      <c r="GH449" s="4"/>
      <c r="GI449" s="4"/>
      <c r="GJ449" s="4"/>
      <c r="GK449" s="4"/>
      <c r="GL449" s="4"/>
      <c r="GM449" s="4"/>
      <c r="GN449" s="4"/>
      <c r="GO449" s="4"/>
      <c r="GP449" s="4"/>
      <c r="GQ449" s="4"/>
      <c r="GR449" s="4"/>
      <c r="GS449" s="4"/>
      <c r="GT449" s="4"/>
      <c r="GU449" s="4"/>
      <c r="GV449" s="4"/>
      <c r="GW449" s="4"/>
      <c r="GX449" s="4"/>
    </row>
    <row r="450">
      <c r="A450" s="2" t="s">
        <v>2997</v>
      </c>
      <c r="B450" s="2" t="s">
        <v>715</v>
      </c>
      <c r="C450" s="2" t="s">
        <v>360</v>
      </c>
      <c r="D450" s="2" t="s">
        <v>716</v>
      </c>
      <c r="E450" s="2" t="s">
        <v>717</v>
      </c>
      <c r="F450" s="2" t="s">
        <v>2998</v>
      </c>
      <c r="G450" s="2" t="s">
        <v>2999</v>
      </c>
      <c r="H450" s="2" t="s">
        <v>3000</v>
      </c>
      <c r="I450" s="2" t="s">
        <v>3001</v>
      </c>
      <c r="J450" s="2" t="s">
        <v>848</v>
      </c>
      <c r="K450" s="2" t="s">
        <v>737</v>
      </c>
      <c r="L450" s="3">
        <v>13.5</v>
      </c>
      <c r="M450" s="3">
        <v>14.18</v>
      </c>
      <c r="N450" s="3">
        <v>29.99</v>
      </c>
      <c r="O450" s="2" t="s">
        <v>224</v>
      </c>
      <c r="P450" s="2" t="s">
        <v>225</v>
      </c>
      <c r="Q450" s="2" t="s">
        <v>226</v>
      </c>
      <c r="R450" s="2" t="s">
        <v>227</v>
      </c>
      <c r="S450" s="2" t="s">
        <v>3002</v>
      </c>
      <c r="T450" s="2" t="s">
        <v>227</v>
      </c>
      <c r="U450" s="2" t="s">
        <v>552</v>
      </c>
      <c r="V450" s="2" t="s">
        <v>230</v>
      </c>
      <c r="W450" s="2" t="s">
        <v>836</v>
      </c>
      <c r="X450" s="2" t="s">
        <v>725</v>
      </c>
      <c r="Y450" s="2" t="s">
        <v>2475</v>
      </c>
      <c r="Z450" s="4">
        <v>300</v>
      </c>
      <c r="AA450" s="4">
        <f>=ROUNDDOWN(75,0)</f>
      </c>
      <c r="AB450" s="5">
        <v>4</v>
      </c>
      <c r="AC450" s="2" t="s">
        <v>227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227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/>
      <c r="BD450" s="8"/>
      <c r="BE450" s="4"/>
      <c r="BF450" s="8"/>
      <c r="BG450" s="7"/>
      <c r="BH450" s="7"/>
      <c r="BI450" s="7"/>
      <c r="BJ450" s="4">
        <v>2</v>
      </c>
      <c r="BK450" s="8">
        <v>29.76</v>
      </c>
      <c r="BL450" s="2" t="s">
        <v>3003</v>
      </c>
      <c r="BM450" s="7"/>
      <c r="BN450" s="7"/>
      <c r="BO450" s="4"/>
      <c r="BP450" s="8"/>
      <c r="BQ450" s="4"/>
      <c r="BR450" s="8"/>
      <c r="BS450" s="7"/>
      <c r="BT450" s="7"/>
      <c r="BU450" s="2" t="s">
        <v>3004</v>
      </c>
      <c r="BV450" s="2" t="s">
        <v>227</v>
      </c>
      <c r="BW450" s="2" t="s">
        <v>227</v>
      </c>
      <c r="BX450" s="2" t="s">
        <v>235</v>
      </c>
      <c r="BY450" s="2" t="s">
        <v>236</v>
      </c>
      <c r="BZ450" s="2" t="s">
        <v>224</v>
      </c>
      <c r="CA450" s="2" t="s">
        <v>3005</v>
      </c>
      <c r="CB450" s="2" t="s">
        <v>3006</v>
      </c>
      <c r="CC450" s="2" t="s">
        <v>239</v>
      </c>
      <c r="CD450" s="2" t="s">
        <v>227</v>
      </c>
      <c r="CE450" s="4">
        <v>300</v>
      </c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/>
      <c r="EU450" s="4"/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  <c r="FM450" s="4"/>
      <c r="FN450" s="4"/>
      <c r="FO450" s="4"/>
      <c r="FP450" s="4"/>
      <c r="FQ450" s="4"/>
      <c r="FR450" s="4"/>
      <c r="FS450" s="4"/>
      <c r="FT450" s="4"/>
      <c r="FU450" s="4"/>
      <c r="FV450" s="4"/>
      <c r="FW450" s="4"/>
      <c r="FX450" s="4"/>
      <c r="FY450" s="4"/>
      <c r="FZ450" s="4"/>
      <c r="GA450" s="4"/>
      <c r="GB450" s="4"/>
      <c r="GC450" s="4"/>
      <c r="GD450" s="4"/>
      <c r="GE450" s="4"/>
      <c r="GF450" s="4"/>
      <c r="GG450" s="4"/>
      <c r="GH450" s="4"/>
      <c r="GI450" s="4"/>
      <c r="GJ450" s="4"/>
      <c r="GK450" s="4"/>
      <c r="GL450" s="4"/>
      <c r="GM450" s="4"/>
      <c r="GN450" s="4"/>
      <c r="GO450" s="4"/>
      <c r="GP450" s="4"/>
      <c r="GQ450" s="4"/>
      <c r="GR450" s="4"/>
      <c r="GS450" s="4"/>
      <c r="GT450" s="4"/>
      <c r="GU450" s="4"/>
      <c r="GV450" s="4"/>
      <c r="GW450" s="4"/>
      <c r="GX450" s="4"/>
    </row>
    <row r="451">
      <c r="A451" s="2" t="s">
        <v>3007</v>
      </c>
      <c r="B451" s="2" t="s">
        <v>542</v>
      </c>
      <c r="C451" s="2" t="s">
        <v>543</v>
      </c>
      <c r="D451" s="2" t="s">
        <v>544</v>
      </c>
      <c r="E451" s="2" t="s">
        <v>545</v>
      </c>
      <c r="F451" s="2" t="s">
        <v>3008</v>
      </c>
      <c r="G451" s="2" t="s">
        <v>3008</v>
      </c>
      <c r="H451" s="2" t="s">
        <v>3008</v>
      </c>
      <c r="I451" s="2" t="s">
        <v>3009</v>
      </c>
      <c r="J451" s="2" t="s">
        <v>548</v>
      </c>
      <c r="K451" s="2" t="s">
        <v>549</v>
      </c>
      <c r="L451" s="3">
        <v>17.03</v>
      </c>
      <c r="M451" s="3">
        <v>17.88</v>
      </c>
      <c r="N451" s="3">
        <v>39.09</v>
      </c>
      <c r="O451" s="2" t="s">
        <v>224</v>
      </c>
      <c r="P451" s="2" t="s">
        <v>225</v>
      </c>
      <c r="Q451" s="2" t="s">
        <v>226</v>
      </c>
      <c r="R451" s="2" t="s">
        <v>227</v>
      </c>
      <c r="S451" s="2" t="s">
        <v>3010</v>
      </c>
      <c r="T451" s="2" t="s">
        <v>227</v>
      </c>
      <c r="U451" s="2" t="s">
        <v>552</v>
      </c>
      <c r="V451" s="2" t="s">
        <v>553</v>
      </c>
      <c r="W451" s="2" t="s">
        <v>506</v>
      </c>
      <c r="X451" s="2" t="s">
        <v>554</v>
      </c>
      <c r="Y451" s="2" t="s">
        <v>555</v>
      </c>
      <c r="Z451" s="4">
        <v>168</v>
      </c>
      <c r="AA451" s="4">
        <f>=ROUNDDOWN(16.8,0)</f>
      </c>
      <c r="AB451" s="5">
        <v>10</v>
      </c>
      <c r="AC451" s="2" t="s">
        <v>164</v>
      </c>
      <c r="AD451" s="4">
        <v>100</v>
      </c>
      <c r="AE451" s="4">
        <v>100</v>
      </c>
      <c r="AF451" s="6">
        <v>63</v>
      </c>
      <c r="AG451" s="6">
        <v>46</v>
      </c>
      <c r="AH451" s="7">
        <v>1</v>
      </c>
      <c r="AI451" s="4"/>
      <c r="AJ451" s="4">
        <f>=ROUNDDOWN({0},0)</f>
      </c>
      <c r="AK451" s="5"/>
      <c r="AL451" s="2" t="s">
        <v>227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/>
      <c r="BD451" s="8"/>
      <c r="BE451" s="4"/>
      <c r="BF451" s="8"/>
      <c r="BG451" s="7"/>
      <c r="BH451" s="7"/>
      <c r="BI451" s="7"/>
      <c r="BJ451" s="4">
        <v>35</v>
      </c>
      <c r="BK451" s="8">
        <v>753.6</v>
      </c>
      <c r="BL451" s="2" t="s">
        <v>3011</v>
      </c>
      <c r="BM451" s="7"/>
      <c r="BN451" s="7"/>
      <c r="BO451" s="4"/>
      <c r="BP451" s="8"/>
      <c r="BQ451" s="4"/>
      <c r="BR451" s="8"/>
      <c r="BS451" s="7"/>
      <c r="BT451" s="7"/>
      <c r="BU451" s="2" t="s">
        <v>3012</v>
      </c>
      <c r="BV451" s="2" t="s">
        <v>227</v>
      </c>
      <c r="BW451" s="2" t="s">
        <v>227</v>
      </c>
      <c r="BX451" s="2" t="s">
        <v>235</v>
      </c>
      <c r="BY451" s="2" t="s">
        <v>236</v>
      </c>
      <c r="BZ451" s="2" t="s">
        <v>224</v>
      </c>
      <c r="CA451" s="2" t="s">
        <v>558</v>
      </c>
      <c r="CB451" s="2" t="s">
        <v>3013</v>
      </c>
      <c r="CC451" s="2" t="s">
        <v>239</v>
      </c>
      <c r="CD451" s="2" t="s">
        <v>227</v>
      </c>
      <c r="CE451" s="4"/>
      <c r="CF451" s="4">
        <v>168</v>
      </c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/>
      <c r="EU451" s="4"/>
      <c r="EV451" s="4"/>
      <c r="EW451" s="4"/>
      <c r="EX451" s="4"/>
      <c r="EY451" s="4"/>
      <c r="EZ451" s="4">
        <v>100</v>
      </c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  <c r="FM451" s="4"/>
      <c r="FN451" s="4"/>
      <c r="FO451" s="4"/>
      <c r="FP451" s="4"/>
      <c r="FQ451" s="4"/>
      <c r="FR451" s="4"/>
      <c r="FS451" s="4"/>
      <c r="FT451" s="4"/>
      <c r="FU451" s="4"/>
      <c r="FV451" s="4"/>
      <c r="FW451" s="4"/>
      <c r="FX451" s="4"/>
      <c r="FY451" s="4"/>
      <c r="FZ451" s="4"/>
      <c r="GA451" s="4"/>
      <c r="GB451" s="4"/>
      <c r="GC451" s="4"/>
      <c r="GD451" s="4"/>
      <c r="GE451" s="4"/>
      <c r="GF451" s="4"/>
      <c r="GG451" s="4"/>
      <c r="GH451" s="4"/>
      <c r="GI451" s="4"/>
      <c r="GJ451" s="4"/>
      <c r="GK451" s="4"/>
      <c r="GL451" s="4"/>
      <c r="GM451" s="4"/>
      <c r="GN451" s="4"/>
      <c r="GO451" s="4"/>
      <c r="GP451" s="4"/>
      <c r="GQ451" s="4"/>
      <c r="GR451" s="4"/>
      <c r="GS451" s="4"/>
      <c r="GT451" s="4"/>
      <c r="GU451" s="4"/>
      <c r="GV451" s="4"/>
      <c r="GW451" s="4"/>
      <c r="GX451" s="4"/>
    </row>
    <row r="452">
      <c r="A452" s="2" t="s">
        <v>3014</v>
      </c>
      <c r="B452" s="2" t="s">
        <v>573</v>
      </c>
      <c r="C452" s="2" t="s">
        <v>1139</v>
      </c>
      <c r="D452" s="2" t="s">
        <v>1230</v>
      </c>
      <c r="E452" s="2" t="s">
        <v>1231</v>
      </c>
      <c r="F452" s="2" t="s">
        <v>3015</v>
      </c>
      <c r="G452" s="2" t="s">
        <v>3015</v>
      </c>
      <c r="H452" s="2" t="s">
        <v>3015</v>
      </c>
      <c r="I452" s="2" t="s">
        <v>3016</v>
      </c>
      <c r="J452" s="2" t="s">
        <v>548</v>
      </c>
      <c r="K452" s="2" t="s">
        <v>1067</v>
      </c>
      <c r="L452" s="3">
        <v>102.6</v>
      </c>
      <c r="M452" s="3">
        <v>107.73</v>
      </c>
      <c r="N452" s="3">
        <v>219</v>
      </c>
      <c r="O452" s="2" t="s">
        <v>224</v>
      </c>
      <c r="P452" s="2" t="s">
        <v>580</v>
      </c>
      <c r="Q452" s="2" t="s">
        <v>226</v>
      </c>
      <c r="R452" s="2" t="s">
        <v>227</v>
      </c>
      <c r="S452" s="2" t="s">
        <v>227</v>
      </c>
      <c r="T452" s="2" t="s">
        <v>227</v>
      </c>
      <c r="U452" s="2" t="s">
        <v>1044</v>
      </c>
      <c r="V452" s="2" t="s">
        <v>566</v>
      </c>
      <c r="W452" s="2" t="s">
        <v>581</v>
      </c>
      <c r="X452" s="2" t="s">
        <v>836</v>
      </c>
      <c r="Y452" s="2" t="s">
        <v>3017</v>
      </c>
      <c r="Z452" s="4">
        <v>107</v>
      </c>
      <c r="AA452" s="4">
        <f>=ROUNDDOWN(53.5,0)</f>
      </c>
      <c r="AB452" s="5">
        <v>2</v>
      </c>
      <c r="AC452" s="2" t="s">
        <v>227</v>
      </c>
      <c r="AD452" s="4"/>
      <c r="AE452" s="4"/>
      <c r="AF452" s="6">
        <v>76</v>
      </c>
      <c r="AG452" s="6"/>
      <c r="AH452" s="7">
        <v>1</v>
      </c>
      <c r="AI452" s="4"/>
      <c r="AJ452" s="4">
        <f>=ROUNDDOWN({0},0)</f>
      </c>
      <c r="AK452" s="5"/>
      <c r="AL452" s="2" t="s">
        <v>227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 t="s">
        <v>227</v>
      </c>
      <c r="BD452" s="8" t="s">
        <v>227</v>
      </c>
      <c r="BE452" s="4" t="s">
        <v>227</v>
      </c>
      <c r="BF452" s="8" t="s">
        <v>227</v>
      </c>
      <c r="BG452" s="7" t="s">
        <v>227</v>
      </c>
      <c r="BH452" s="7" t="s">
        <v>227</v>
      </c>
      <c r="BI452" s="7"/>
      <c r="BJ452" s="4"/>
      <c r="BK452" s="8"/>
      <c r="BL452" s="2" t="s">
        <v>227</v>
      </c>
      <c r="BM452" s="7"/>
      <c r="BN452" s="7"/>
      <c r="BO452" s="4"/>
      <c r="BP452" s="8"/>
      <c r="BQ452" s="4"/>
      <c r="BR452" s="8"/>
      <c r="BS452" s="7"/>
      <c r="BT452" s="7"/>
      <c r="BU452" s="2" t="s">
        <v>3018</v>
      </c>
      <c r="BV452" s="2" t="s">
        <v>227</v>
      </c>
      <c r="BW452" s="2" t="s">
        <v>227</v>
      </c>
      <c r="BX452" s="2" t="s">
        <v>235</v>
      </c>
      <c r="BY452" s="2" t="s">
        <v>236</v>
      </c>
      <c r="BZ452" s="2" t="s">
        <v>224</v>
      </c>
      <c r="CA452" s="2" t="s">
        <v>2868</v>
      </c>
      <c r="CB452" s="2" t="s">
        <v>2869</v>
      </c>
      <c r="CC452" s="2" t="s">
        <v>239</v>
      </c>
      <c r="CD452" s="2" t="s">
        <v>227</v>
      </c>
      <c r="CE452" s="4"/>
      <c r="CF452" s="4">
        <v>107</v>
      </c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/>
      <c r="EU452" s="4"/>
      <c r="EV452" s="4"/>
      <c r="EW452" s="4"/>
      <c r="EX452" s="4"/>
      <c r="EY452" s="4"/>
      <c r="EZ452" s="4"/>
      <c r="FA452" s="4"/>
      <c r="FB452" s="4"/>
      <c r="FC452" s="4"/>
      <c r="FD452" s="4"/>
      <c r="FE452" s="4"/>
      <c r="FF452" s="4"/>
      <c r="FG452" s="4"/>
      <c r="FH452" s="4"/>
      <c r="FI452" s="4"/>
      <c r="FJ452" s="4"/>
      <c r="FK452" s="4"/>
      <c r="FL452" s="4"/>
      <c r="FM452" s="4"/>
      <c r="FN452" s="4"/>
      <c r="FO452" s="4"/>
      <c r="FP452" s="4"/>
      <c r="FQ452" s="4"/>
      <c r="FR452" s="4"/>
      <c r="FS452" s="4"/>
      <c r="FT452" s="4"/>
      <c r="FU452" s="4"/>
      <c r="FV452" s="4"/>
      <c r="FW452" s="4"/>
      <c r="FX452" s="4"/>
      <c r="FY452" s="4"/>
      <c r="FZ452" s="4"/>
      <c r="GA452" s="4"/>
      <c r="GB452" s="4"/>
      <c r="GC452" s="4"/>
      <c r="GD452" s="4"/>
      <c r="GE452" s="4"/>
      <c r="GF452" s="4"/>
      <c r="GG452" s="4"/>
      <c r="GH452" s="4"/>
      <c r="GI452" s="4"/>
      <c r="GJ452" s="4"/>
      <c r="GK452" s="4"/>
      <c r="GL452" s="4"/>
      <c r="GM452" s="4"/>
      <c r="GN452" s="4"/>
      <c r="GO452" s="4"/>
      <c r="GP452" s="4"/>
      <c r="GQ452" s="4"/>
      <c r="GR452" s="4"/>
      <c r="GS452" s="4"/>
      <c r="GT452" s="4"/>
      <c r="GU452" s="4"/>
      <c r="GV452" s="4"/>
      <c r="GW452" s="4"/>
      <c r="GX452" s="4"/>
    </row>
    <row r="453">
      <c r="A453" s="2" t="s">
        <v>3019</v>
      </c>
      <c r="B453" s="2" t="s">
        <v>1001</v>
      </c>
      <c r="C453" s="2" t="s">
        <v>668</v>
      </c>
      <c r="D453" s="2" t="s">
        <v>1140</v>
      </c>
      <c r="E453" s="2" t="s">
        <v>1141</v>
      </c>
      <c r="F453" s="2" t="s">
        <v>3015</v>
      </c>
      <c r="G453" s="2" t="s">
        <v>3015</v>
      </c>
      <c r="H453" s="2" t="s">
        <v>3015</v>
      </c>
      <c r="I453" s="2" t="s">
        <v>3020</v>
      </c>
      <c r="J453" s="2" t="s">
        <v>548</v>
      </c>
      <c r="K453" s="2" t="s">
        <v>264</v>
      </c>
      <c r="L453" s="3">
        <v>39.5</v>
      </c>
      <c r="M453" s="3">
        <v>41.48</v>
      </c>
      <c r="N453" s="3">
        <v>89.99</v>
      </c>
      <c r="O453" s="2" t="s">
        <v>224</v>
      </c>
      <c r="P453" s="2" t="s">
        <v>225</v>
      </c>
      <c r="Q453" s="2" t="s">
        <v>226</v>
      </c>
      <c r="R453" s="2" t="s">
        <v>227</v>
      </c>
      <c r="S453" s="2" t="s">
        <v>227</v>
      </c>
      <c r="T453" s="2" t="s">
        <v>227</v>
      </c>
      <c r="U453" s="2" t="s">
        <v>552</v>
      </c>
      <c r="V453" s="2" t="s">
        <v>566</v>
      </c>
      <c r="W453" s="2" t="s">
        <v>836</v>
      </c>
      <c r="X453" s="2" t="s">
        <v>227</v>
      </c>
      <c r="Y453" s="2" t="s">
        <v>1144</v>
      </c>
      <c r="Z453" s="4">
        <v>157</v>
      </c>
      <c r="AA453" s="4">
        <f>=ROUNDDOWN(78.5,0)</f>
      </c>
      <c r="AB453" s="5">
        <v>2</v>
      </c>
      <c r="AC453" s="2" t="s">
        <v>227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227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/>
      <c r="AW453" s="8"/>
      <c r="AX453" s="4"/>
      <c r="AY453" s="8"/>
      <c r="AZ453" s="7"/>
      <c r="BA453" s="7"/>
      <c r="BB453" s="7"/>
      <c r="BC453" s="4" t="s">
        <v>227</v>
      </c>
      <c r="BD453" s="8" t="s">
        <v>227</v>
      </c>
      <c r="BE453" s="4" t="s">
        <v>227</v>
      </c>
      <c r="BF453" s="8" t="s">
        <v>227</v>
      </c>
      <c r="BG453" s="7" t="s">
        <v>227</v>
      </c>
      <c r="BH453" s="7" t="s">
        <v>227</v>
      </c>
      <c r="BI453" s="7"/>
      <c r="BJ453" s="4">
        <v>5</v>
      </c>
      <c r="BK453" s="8">
        <v>218.83</v>
      </c>
      <c r="BL453" s="2" t="s">
        <v>3021</v>
      </c>
      <c r="BM453" s="7"/>
      <c r="BN453" s="7"/>
      <c r="BO453" s="4"/>
      <c r="BP453" s="8"/>
      <c r="BQ453" s="4"/>
      <c r="BR453" s="8"/>
      <c r="BS453" s="7"/>
      <c r="BT453" s="7"/>
      <c r="BU453" s="2" t="s">
        <v>3022</v>
      </c>
      <c r="BV453" s="2" t="s">
        <v>227</v>
      </c>
      <c r="BW453" s="2" t="s">
        <v>227</v>
      </c>
      <c r="BX453" s="2" t="s">
        <v>235</v>
      </c>
      <c r="BY453" s="2" t="s">
        <v>236</v>
      </c>
      <c r="BZ453" s="2" t="s">
        <v>224</v>
      </c>
      <c r="CA453" s="2" t="s">
        <v>1147</v>
      </c>
      <c r="CB453" s="2" t="s">
        <v>3023</v>
      </c>
      <c r="CC453" s="2" t="s">
        <v>239</v>
      </c>
      <c r="CD453" s="2" t="s">
        <v>227</v>
      </c>
      <c r="CE453" s="4"/>
      <c r="CF453" s="4">
        <v>157</v>
      </c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/>
      <c r="EU453" s="4"/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4"/>
      <c r="FG453" s="4"/>
      <c r="FH453" s="4"/>
      <c r="FI453" s="4"/>
      <c r="FJ453" s="4"/>
      <c r="FK453" s="4"/>
      <c r="FL453" s="4"/>
      <c r="FM453" s="4"/>
      <c r="FN453" s="4"/>
      <c r="FO453" s="4"/>
      <c r="FP453" s="4"/>
      <c r="FQ453" s="4"/>
      <c r="FR453" s="4"/>
      <c r="FS453" s="4"/>
      <c r="FT453" s="4"/>
      <c r="FU453" s="4"/>
      <c r="FV453" s="4"/>
      <c r="FW453" s="4"/>
      <c r="FX453" s="4"/>
      <c r="FY453" s="4"/>
      <c r="FZ453" s="4"/>
      <c r="GA453" s="4"/>
      <c r="GB453" s="4"/>
      <c r="GC453" s="4"/>
      <c r="GD453" s="4"/>
      <c r="GE453" s="4"/>
      <c r="GF453" s="4"/>
      <c r="GG453" s="4"/>
      <c r="GH453" s="4"/>
      <c r="GI453" s="4"/>
      <c r="GJ453" s="4"/>
      <c r="GK453" s="4"/>
      <c r="GL453" s="4"/>
      <c r="GM453" s="4"/>
      <c r="GN453" s="4"/>
      <c r="GO453" s="4"/>
      <c r="GP453" s="4"/>
      <c r="GQ453" s="4"/>
      <c r="GR453" s="4"/>
      <c r="GS453" s="4"/>
      <c r="GT453" s="4"/>
      <c r="GU453" s="4"/>
      <c r="GV453" s="4"/>
      <c r="GW453" s="4"/>
      <c r="GX453" s="4"/>
    </row>
    <row r="454">
      <c r="A454" s="2" t="s">
        <v>3024</v>
      </c>
      <c r="B454" s="2" t="s">
        <v>542</v>
      </c>
      <c r="C454" s="2" t="s">
        <v>360</v>
      </c>
      <c r="D454" s="2" t="s">
        <v>544</v>
      </c>
      <c r="E454" s="2" t="s">
        <v>1377</v>
      </c>
      <c r="F454" s="2" t="s">
        <v>3025</v>
      </c>
      <c r="G454" s="2" t="s">
        <v>3025</v>
      </c>
      <c r="H454" s="2" t="s">
        <v>3025</v>
      </c>
      <c r="I454" s="2" t="s">
        <v>3026</v>
      </c>
      <c r="J454" s="2" t="s">
        <v>548</v>
      </c>
      <c r="K454" s="2" t="s">
        <v>1389</v>
      </c>
      <c r="L454" s="3">
        <v>21.31</v>
      </c>
      <c r="M454" s="3">
        <v>22.38</v>
      </c>
      <c r="N454" s="3">
        <v>50.99</v>
      </c>
      <c r="O454" s="2" t="s">
        <v>224</v>
      </c>
      <c r="P454" s="2" t="s">
        <v>225</v>
      </c>
      <c r="Q454" s="2" t="s">
        <v>226</v>
      </c>
      <c r="R454" s="2" t="s">
        <v>227</v>
      </c>
      <c r="S454" s="2" t="s">
        <v>3027</v>
      </c>
      <c r="T454" s="2" t="s">
        <v>227</v>
      </c>
      <c r="U454" s="2" t="s">
        <v>674</v>
      </c>
      <c r="V454" s="2" t="s">
        <v>301</v>
      </c>
      <c r="W454" s="2" t="s">
        <v>231</v>
      </c>
      <c r="X454" s="2" t="s">
        <v>581</v>
      </c>
      <c r="Y454" s="2" t="s">
        <v>3028</v>
      </c>
      <c r="Z454" s="4">
        <v>319</v>
      </c>
      <c r="AA454" s="4">
        <f>=ROUNDDOWN(24.921875,0)</f>
      </c>
      <c r="AB454" s="5">
        <v>12.8</v>
      </c>
      <c r="AC454" s="2" t="s">
        <v>227</v>
      </c>
      <c r="AD454" s="4"/>
      <c r="AE454" s="4"/>
      <c r="AF454" s="6">
        <v>63</v>
      </c>
      <c r="AG454" s="6"/>
      <c r="AH454" s="7">
        <v>1</v>
      </c>
      <c r="AI454" s="4"/>
      <c r="AJ454" s="4">
        <f>=ROUNDDOWN({0},0)</f>
      </c>
      <c r="AK454" s="5"/>
      <c r="AL454" s="2" t="s">
        <v>227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/>
      <c r="AW454" s="8"/>
      <c r="AX454" s="4"/>
      <c r="AY454" s="8"/>
      <c r="AZ454" s="7"/>
      <c r="BA454" s="7"/>
      <c r="BB454" s="7"/>
      <c r="BC454" s="4"/>
      <c r="BD454" s="8"/>
      <c r="BE454" s="4"/>
      <c r="BF454" s="8"/>
      <c r="BG454" s="7"/>
      <c r="BH454" s="7"/>
      <c r="BI454" s="7"/>
      <c r="BJ454" s="4">
        <v>53</v>
      </c>
      <c r="BK454" s="8">
        <v>1483.08</v>
      </c>
      <c r="BL454" s="2" t="s">
        <v>3029</v>
      </c>
      <c r="BM454" s="7"/>
      <c r="BN454" s="7"/>
      <c r="BO454" s="4"/>
      <c r="BP454" s="8"/>
      <c r="BQ454" s="4"/>
      <c r="BR454" s="8"/>
      <c r="BS454" s="7"/>
      <c r="BT454" s="7"/>
      <c r="BU454" s="2" t="s">
        <v>3030</v>
      </c>
      <c r="BV454" s="2" t="s">
        <v>227</v>
      </c>
      <c r="BW454" s="2" t="s">
        <v>227</v>
      </c>
      <c r="BX454" s="2" t="s">
        <v>235</v>
      </c>
      <c r="BY454" s="2" t="s">
        <v>236</v>
      </c>
      <c r="BZ454" s="2" t="s">
        <v>224</v>
      </c>
      <c r="CA454" s="2" t="s">
        <v>3031</v>
      </c>
      <c r="CB454" s="2" t="s">
        <v>3032</v>
      </c>
      <c r="CC454" s="2" t="s">
        <v>239</v>
      </c>
      <c r="CD454" s="2" t="s">
        <v>227</v>
      </c>
      <c r="CE454" s="4"/>
      <c r="CF454" s="4">
        <v>319</v>
      </c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/>
      <c r="FG454" s="4"/>
      <c r="FH454" s="4"/>
      <c r="FI454" s="4"/>
      <c r="FJ454" s="4"/>
      <c r="FK454" s="4"/>
      <c r="FL454" s="4"/>
      <c r="FM454" s="4"/>
      <c r="FN454" s="4"/>
      <c r="FO454" s="4"/>
      <c r="FP454" s="4"/>
      <c r="FQ454" s="4"/>
      <c r="FR454" s="4"/>
      <c r="FS454" s="4"/>
      <c r="FT454" s="4"/>
      <c r="FU454" s="4"/>
      <c r="FV454" s="4"/>
      <c r="FW454" s="4"/>
      <c r="FX454" s="4"/>
      <c r="FY454" s="4"/>
      <c r="FZ454" s="4"/>
      <c r="GA454" s="4"/>
      <c r="GB454" s="4"/>
      <c r="GC454" s="4"/>
      <c r="GD454" s="4"/>
      <c r="GE454" s="4"/>
      <c r="GF454" s="4"/>
      <c r="GG454" s="4"/>
      <c r="GH454" s="4"/>
      <c r="GI454" s="4"/>
      <c r="GJ454" s="4"/>
      <c r="GK454" s="4"/>
      <c r="GL454" s="4"/>
      <c r="GM454" s="4"/>
      <c r="GN454" s="4"/>
      <c r="GO454" s="4"/>
      <c r="GP454" s="4"/>
      <c r="GQ454" s="4"/>
      <c r="GR454" s="4"/>
      <c r="GS454" s="4"/>
      <c r="GT454" s="4"/>
      <c r="GU454" s="4"/>
      <c r="GV454" s="4"/>
      <c r="GW454" s="4"/>
      <c r="GX454" s="4"/>
    </row>
    <row r="455">
      <c r="A455" s="2" t="s">
        <v>3033</v>
      </c>
      <c r="B455" s="2" t="s">
        <v>618</v>
      </c>
      <c r="C455" s="2" t="s">
        <v>1299</v>
      </c>
      <c r="D455" s="2" t="s">
        <v>620</v>
      </c>
      <c r="E455" s="2" t="s">
        <v>621</v>
      </c>
      <c r="F455" s="2" t="s">
        <v>3034</v>
      </c>
      <c r="G455" s="2" t="s">
        <v>3035</v>
      </c>
      <c r="H455" s="2" t="s">
        <v>3036</v>
      </c>
      <c r="I455" s="2" t="s">
        <v>3037</v>
      </c>
      <c r="J455" s="2" t="s">
        <v>1304</v>
      </c>
      <c r="K455" s="2" t="s">
        <v>389</v>
      </c>
      <c r="L455" s="3">
        <v>27.6</v>
      </c>
      <c r="M455" s="3">
        <v>28.98</v>
      </c>
      <c r="N455" s="3">
        <v>59.99</v>
      </c>
      <c r="O455" s="2" t="s">
        <v>224</v>
      </c>
      <c r="P455" s="2" t="s">
        <v>550</v>
      </c>
      <c r="Q455" s="2" t="s">
        <v>226</v>
      </c>
      <c r="R455" s="2" t="s">
        <v>227</v>
      </c>
      <c r="S455" s="2" t="s">
        <v>3038</v>
      </c>
      <c r="T455" s="2" t="s">
        <v>1871</v>
      </c>
      <c r="U455" s="2" t="s">
        <v>674</v>
      </c>
      <c r="V455" s="2" t="s">
        <v>230</v>
      </c>
      <c r="W455" s="2" t="s">
        <v>487</v>
      </c>
      <c r="X455" s="2" t="s">
        <v>1070</v>
      </c>
      <c r="Y455" s="2" t="s">
        <v>3039</v>
      </c>
      <c r="Z455" s="4">
        <v>462</v>
      </c>
      <c r="AA455" s="4">
        <f>=ROUNDDOWN(66,0)</f>
      </c>
      <c r="AB455" s="5">
        <v>7</v>
      </c>
      <c r="AC455" s="2" t="s">
        <v>732</v>
      </c>
      <c r="AD455" s="4">
        <v>90</v>
      </c>
      <c r="AE455" s="4">
        <v>270</v>
      </c>
      <c r="AF455" s="6">
        <v>64</v>
      </c>
      <c r="AG455" s="6">
        <v>47</v>
      </c>
      <c r="AH455" s="7">
        <v>1</v>
      </c>
      <c r="AI455" s="4"/>
      <c r="AJ455" s="4">
        <f>=ROUNDDOWN({0},0)</f>
      </c>
      <c r="AK455" s="5"/>
      <c r="AL455" s="2" t="s">
        <v>227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227</v>
      </c>
      <c r="AW455" s="8" t="s">
        <v>227</v>
      </c>
      <c r="AX455" s="4" t="s">
        <v>227</v>
      </c>
      <c r="AY455" s="8" t="s">
        <v>227</v>
      </c>
      <c r="AZ455" s="7" t="s">
        <v>227</v>
      </c>
      <c r="BA455" s="7" t="s">
        <v>227</v>
      </c>
      <c r="BB455" s="7"/>
      <c r="BC455" s="4" t="s">
        <v>227</v>
      </c>
      <c r="BD455" s="8" t="s">
        <v>227</v>
      </c>
      <c r="BE455" s="4" t="s">
        <v>227</v>
      </c>
      <c r="BF455" s="8" t="s">
        <v>227</v>
      </c>
      <c r="BG455" s="7" t="s">
        <v>227</v>
      </c>
      <c r="BH455" s="7" t="s">
        <v>227</v>
      </c>
      <c r="BI455" s="7"/>
      <c r="BJ455" s="4">
        <v>25</v>
      </c>
      <c r="BK455" s="8">
        <v>747.06</v>
      </c>
      <c r="BL455" s="2" t="s">
        <v>3040</v>
      </c>
      <c r="BM455" s="7"/>
      <c r="BN455" s="7"/>
      <c r="BO455" s="4"/>
      <c r="BP455" s="8"/>
      <c r="BQ455" s="4"/>
      <c r="BR455" s="8"/>
      <c r="BS455" s="7"/>
      <c r="BT455" s="7"/>
      <c r="BU455" s="2" t="s">
        <v>3041</v>
      </c>
      <c r="BV455" s="2" t="s">
        <v>227</v>
      </c>
      <c r="BW455" s="2" t="s">
        <v>227</v>
      </c>
      <c r="BX455" s="2" t="s">
        <v>235</v>
      </c>
      <c r="BY455" s="2" t="s">
        <v>236</v>
      </c>
      <c r="BZ455" s="2" t="s">
        <v>224</v>
      </c>
      <c r="CA455" s="2" t="s">
        <v>3042</v>
      </c>
      <c r="CB455" s="2" t="s">
        <v>3043</v>
      </c>
      <c r="CC455" s="2" t="s">
        <v>239</v>
      </c>
      <c r="CD455" s="2" t="s">
        <v>227</v>
      </c>
      <c r="CE455" s="4">
        <v>236</v>
      </c>
      <c r="CF455" s="4"/>
      <c r="CG455" s="4"/>
      <c r="CH455" s="4">
        <v>226</v>
      </c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>
        <v>90</v>
      </c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>
        <v>90</v>
      </c>
      <c r="ER455" s="4"/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/>
      <c r="FD455" s="4"/>
      <c r="FE455" s="4">
        <v>90</v>
      </c>
      <c r="FF455" s="4"/>
      <c r="FG455" s="4"/>
      <c r="FH455" s="4"/>
      <c r="FI455" s="4"/>
      <c r="FJ455" s="4"/>
      <c r="FK455" s="4"/>
      <c r="FL455" s="4"/>
      <c r="FM455" s="4"/>
      <c r="FN455" s="4"/>
      <c r="FO455" s="4"/>
      <c r="FP455" s="4"/>
      <c r="FQ455" s="4"/>
      <c r="FR455" s="4"/>
      <c r="FS455" s="4"/>
      <c r="FT455" s="4"/>
      <c r="FU455" s="4"/>
      <c r="FV455" s="4"/>
      <c r="FW455" s="4"/>
      <c r="FX455" s="4"/>
      <c r="FY455" s="4"/>
      <c r="FZ455" s="4"/>
      <c r="GA455" s="4"/>
      <c r="GB455" s="4"/>
      <c r="GC455" s="4"/>
      <c r="GD455" s="4"/>
      <c r="GE455" s="4"/>
      <c r="GF455" s="4"/>
      <c r="GG455" s="4"/>
      <c r="GH455" s="4"/>
      <c r="GI455" s="4"/>
      <c r="GJ455" s="4"/>
      <c r="GK455" s="4"/>
      <c r="GL455" s="4"/>
      <c r="GM455" s="4"/>
      <c r="GN455" s="4"/>
      <c r="GO455" s="4"/>
      <c r="GP455" s="4"/>
      <c r="GQ455" s="4"/>
      <c r="GR455" s="4"/>
      <c r="GS455" s="4"/>
      <c r="GT455" s="4"/>
      <c r="GU455" s="4"/>
      <c r="GV455" s="4"/>
      <c r="GW455" s="4"/>
      <c r="GX455" s="4"/>
    </row>
    <row r="456">
      <c r="A456" s="2" t="s">
        <v>3044</v>
      </c>
      <c r="B456" s="2" t="s">
        <v>618</v>
      </c>
      <c r="C456" s="2" t="s">
        <v>1299</v>
      </c>
      <c r="D456" s="2" t="s">
        <v>620</v>
      </c>
      <c r="E456" s="2" t="s">
        <v>621</v>
      </c>
      <c r="F456" s="2" t="s">
        <v>3034</v>
      </c>
      <c r="G456" s="2" t="s">
        <v>3035</v>
      </c>
      <c r="H456" s="2" t="s">
        <v>3036</v>
      </c>
      <c r="I456" s="2" t="s">
        <v>3037</v>
      </c>
      <c r="J456" s="2" t="s">
        <v>682</v>
      </c>
      <c r="K456" s="2" t="s">
        <v>389</v>
      </c>
      <c r="L456" s="3">
        <v>36.75</v>
      </c>
      <c r="M456" s="3">
        <v>38.59</v>
      </c>
      <c r="N456" s="3">
        <v>74.99</v>
      </c>
      <c r="O456" s="2" t="s">
        <v>224</v>
      </c>
      <c r="P456" s="2" t="s">
        <v>550</v>
      </c>
      <c r="Q456" s="2" t="s">
        <v>226</v>
      </c>
      <c r="R456" s="2" t="s">
        <v>227</v>
      </c>
      <c r="S456" s="2" t="s">
        <v>3038</v>
      </c>
      <c r="T456" s="2" t="s">
        <v>1871</v>
      </c>
      <c r="U456" s="2" t="s">
        <v>287</v>
      </c>
      <c r="V456" s="2" t="s">
        <v>230</v>
      </c>
      <c r="W456" s="2" t="s">
        <v>487</v>
      </c>
      <c r="X456" s="2" t="s">
        <v>1070</v>
      </c>
      <c r="Y456" s="2" t="s">
        <v>3045</v>
      </c>
      <c r="Z456" s="4">
        <v>314</v>
      </c>
      <c r="AA456" s="4">
        <f>=ROUNDDOWN(52.3333333333333,0)</f>
      </c>
      <c r="AB456" s="5">
        <v>6</v>
      </c>
      <c r="AC456" s="2" t="s">
        <v>1085</v>
      </c>
      <c r="AD456" s="4">
        <v>50</v>
      </c>
      <c r="AE456" s="4">
        <v>220</v>
      </c>
      <c r="AF456" s="6">
        <v>64</v>
      </c>
      <c r="AG456" s="6"/>
      <c r="AH456" s="7">
        <v>1</v>
      </c>
      <c r="AI456" s="4"/>
      <c r="AJ456" s="4">
        <f>=ROUNDDOWN({0},0)</f>
      </c>
      <c r="AK456" s="5"/>
      <c r="AL456" s="2" t="s">
        <v>227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227</v>
      </c>
      <c r="AW456" s="8" t="s">
        <v>227</v>
      </c>
      <c r="AX456" s="4" t="s">
        <v>227</v>
      </c>
      <c r="AY456" s="8" t="s">
        <v>227</v>
      </c>
      <c r="AZ456" s="7" t="s">
        <v>227</v>
      </c>
      <c r="BA456" s="7" t="s">
        <v>227</v>
      </c>
      <c r="BB456" s="7"/>
      <c r="BC456" s="4" t="s">
        <v>227</v>
      </c>
      <c r="BD456" s="8" t="s">
        <v>227</v>
      </c>
      <c r="BE456" s="4" t="s">
        <v>227</v>
      </c>
      <c r="BF456" s="8" t="s">
        <v>227</v>
      </c>
      <c r="BG456" s="7" t="s">
        <v>227</v>
      </c>
      <c r="BH456" s="7" t="s">
        <v>227</v>
      </c>
      <c r="BI456" s="7"/>
      <c r="BJ456" s="4">
        <v>25</v>
      </c>
      <c r="BK456" s="8">
        <v>985.64</v>
      </c>
      <c r="BL456" s="2" t="s">
        <v>3046</v>
      </c>
      <c r="BM456" s="7"/>
      <c r="BN456" s="7"/>
      <c r="BO456" s="4"/>
      <c r="BP456" s="8"/>
      <c r="BQ456" s="4"/>
      <c r="BR456" s="8"/>
      <c r="BS456" s="7"/>
      <c r="BT456" s="7"/>
      <c r="BU456" s="2" t="s">
        <v>3047</v>
      </c>
      <c r="BV456" s="2" t="s">
        <v>227</v>
      </c>
      <c r="BW456" s="2" t="s">
        <v>227</v>
      </c>
      <c r="BX456" s="2" t="s">
        <v>235</v>
      </c>
      <c r="BY456" s="2" t="s">
        <v>236</v>
      </c>
      <c r="BZ456" s="2" t="s">
        <v>224</v>
      </c>
      <c r="CA456" s="2" t="s">
        <v>3045</v>
      </c>
      <c r="CB456" s="2" t="s">
        <v>3048</v>
      </c>
      <c r="CC456" s="2" t="s">
        <v>239</v>
      </c>
      <c r="CD456" s="2" t="s">
        <v>227</v>
      </c>
      <c r="CE456" s="4">
        <v>138</v>
      </c>
      <c r="CF456" s="4">
        <v>176</v>
      </c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>
        <v>50</v>
      </c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>
        <v>85</v>
      </c>
      <c r="ER456" s="4"/>
      <c r="ES456" s="4"/>
      <c r="ET456" s="4"/>
      <c r="EU456" s="4"/>
      <c r="EV456" s="4"/>
      <c r="EW456" s="4"/>
      <c r="EX456" s="4"/>
      <c r="EY456" s="4"/>
      <c r="EZ456" s="4"/>
      <c r="FA456" s="4"/>
      <c r="FB456" s="4"/>
      <c r="FC456" s="4"/>
      <c r="FD456" s="4"/>
      <c r="FE456" s="4">
        <v>85</v>
      </c>
      <c r="FF456" s="4"/>
      <c r="FG456" s="4"/>
      <c r="FH456" s="4"/>
      <c r="FI456" s="4"/>
      <c r="FJ456" s="4"/>
      <c r="FK456" s="4"/>
      <c r="FL456" s="4"/>
      <c r="FM456" s="4"/>
      <c r="FN456" s="4"/>
      <c r="FO456" s="4"/>
      <c r="FP456" s="4"/>
      <c r="FQ456" s="4"/>
      <c r="FR456" s="4"/>
      <c r="FS456" s="4"/>
      <c r="FT456" s="4"/>
      <c r="FU456" s="4"/>
      <c r="FV456" s="4"/>
      <c r="FW456" s="4"/>
      <c r="FX456" s="4"/>
      <c r="FY456" s="4"/>
      <c r="FZ456" s="4"/>
      <c r="GA456" s="4"/>
      <c r="GB456" s="4"/>
      <c r="GC456" s="4"/>
      <c r="GD456" s="4"/>
      <c r="GE456" s="4"/>
      <c r="GF456" s="4"/>
      <c r="GG456" s="4"/>
      <c r="GH456" s="4"/>
      <c r="GI456" s="4"/>
      <c r="GJ456" s="4"/>
      <c r="GK456" s="4"/>
      <c r="GL456" s="4"/>
      <c r="GM456" s="4"/>
      <c r="GN456" s="4"/>
      <c r="GO456" s="4"/>
      <c r="GP456" s="4"/>
      <c r="GQ456" s="4"/>
      <c r="GR456" s="4"/>
      <c r="GS456" s="4"/>
      <c r="GT456" s="4"/>
      <c r="GU456" s="4"/>
      <c r="GV456" s="4"/>
      <c r="GW456" s="4"/>
      <c r="GX456" s="4"/>
    </row>
    <row r="457">
      <c r="A457" s="2" t="s">
        <v>3049</v>
      </c>
      <c r="B457" s="2" t="s">
        <v>618</v>
      </c>
      <c r="C457" s="2" t="s">
        <v>1299</v>
      </c>
      <c r="D457" s="2" t="s">
        <v>687</v>
      </c>
      <c r="E457" s="2" t="s">
        <v>699</v>
      </c>
      <c r="F457" s="2" t="s">
        <v>3034</v>
      </c>
      <c r="G457" s="2" t="s">
        <v>3035</v>
      </c>
      <c r="H457" s="2" t="s">
        <v>3036</v>
      </c>
      <c r="I457" s="2" t="s">
        <v>3050</v>
      </c>
      <c r="J457" s="2" t="s">
        <v>626</v>
      </c>
      <c r="K457" s="2" t="s">
        <v>780</v>
      </c>
      <c r="L457" s="3">
        <v>36.72</v>
      </c>
      <c r="M457" s="3">
        <v>38.56</v>
      </c>
      <c r="N457" s="3">
        <v>69.99</v>
      </c>
      <c r="O457" s="2" t="s">
        <v>224</v>
      </c>
      <c r="P457" s="2" t="s">
        <v>225</v>
      </c>
      <c r="Q457" s="2" t="s">
        <v>226</v>
      </c>
      <c r="R457" s="2" t="s">
        <v>227</v>
      </c>
      <c r="S457" s="2" t="s">
        <v>3051</v>
      </c>
      <c r="T457" s="2" t="s">
        <v>1871</v>
      </c>
      <c r="U457" s="2" t="s">
        <v>287</v>
      </c>
      <c r="V457" s="2" t="s">
        <v>230</v>
      </c>
      <c r="W457" s="2" t="s">
        <v>487</v>
      </c>
      <c r="X457" s="2" t="s">
        <v>1070</v>
      </c>
      <c r="Y457" s="2" t="s">
        <v>3052</v>
      </c>
      <c r="Z457" s="4">
        <v>301</v>
      </c>
      <c r="AA457" s="4">
        <f>=ROUNDDOWN(86,0)</f>
      </c>
      <c r="AB457" s="5">
        <v>3.5</v>
      </c>
      <c r="AC457" s="2" t="s">
        <v>227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227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 t="s">
        <v>227</v>
      </c>
      <c r="BD457" s="8" t="s">
        <v>227</v>
      </c>
      <c r="BE457" s="4" t="s">
        <v>227</v>
      </c>
      <c r="BF457" s="8" t="s">
        <v>227</v>
      </c>
      <c r="BG457" s="7" t="s">
        <v>227</v>
      </c>
      <c r="BH457" s="7" t="s">
        <v>227</v>
      </c>
      <c r="BI457" s="7"/>
      <c r="BJ457" s="4">
        <v>15</v>
      </c>
      <c r="BK457" s="8">
        <v>563.86</v>
      </c>
      <c r="BL457" s="2" t="s">
        <v>3053</v>
      </c>
      <c r="BM457" s="7"/>
      <c r="BN457" s="7"/>
      <c r="BO457" s="4"/>
      <c r="BP457" s="8"/>
      <c r="BQ457" s="4"/>
      <c r="BR457" s="8"/>
      <c r="BS457" s="7"/>
      <c r="BT457" s="7"/>
      <c r="BU457" s="2" t="s">
        <v>3054</v>
      </c>
      <c r="BV457" s="2" t="s">
        <v>227</v>
      </c>
      <c r="BW457" s="2" t="s">
        <v>227</v>
      </c>
      <c r="BX457" s="2" t="s">
        <v>711</v>
      </c>
      <c r="BY457" s="2" t="s">
        <v>236</v>
      </c>
      <c r="BZ457" s="2" t="s">
        <v>224</v>
      </c>
      <c r="CA457" s="2" t="s">
        <v>3052</v>
      </c>
      <c r="CB457" s="2" t="s">
        <v>3055</v>
      </c>
      <c r="CC457" s="2" t="s">
        <v>239</v>
      </c>
      <c r="CD457" s="2" t="s">
        <v>227</v>
      </c>
      <c r="CE457" s="4">
        <v>301</v>
      </c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4"/>
      <c r="FG457" s="4"/>
      <c r="FH457" s="4"/>
      <c r="FI457" s="4"/>
      <c r="FJ457" s="4"/>
      <c r="FK457" s="4"/>
      <c r="FL457" s="4"/>
      <c r="FM457" s="4"/>
      <c r="FN457" s="4"/>
      <c r="FO457" s="4"/>
      <c r="FP457" s="4"/>
      <c r="FQ457" s="4"/>
      <c r="FR457" s="4"/>
      <c r="FS457" s="4"/>
      <c r="FT457" s="4"/>
      <c r="FU457" s="4"/>
      <c r="FV457" s="4"/>
      <c r="FW457" s="4"/>
      <c r="FX457" s="4"/>
      <c r="FY457" s="4"/>
      <c r="FZ457" s="4"/>
      <c r="GA457" s="4"/>
      <c r="GB457" s="4"/>
      <c r="GC457" s="4"/>
      <c r="GD457" s="4"/>
      <c r="GE457" s="4"/>
      <c r="GF457" s="4"/>
      <c r="GG457" s="4"/>
      <c r="GH457" s="4"/>
      <c r="GI457" s="4"/>
      <c r="GJ457" s="4"/>
      <c r="GK457" s="4"/>
      <c r="GL457" s="4"/>
      <c r="GM457" s="4"/>
      <c r="GN457" s="4"/>
      <c r="GO457" s="4"/>
      <c r="GP457" s="4"/>
      <c r="GQ457" s="4"/>
      <c r="GR457" s="4"/>
      <c r="GS457" s="4"/>
      <c r="GT457" s="4"/>
      <c r="GU457" s="4"/>
      <c r="GV457" s="4"/>
      <c r="GW457" s="4"/>
      <c r="GX457" s="4"/>
    </row>
    <row r="458">
      <c r="A458" s="2" t="s">
        <v>3056</v>
      </c>
      <c r="B458" s="2" t="s">
        <v>618</v>
      </c>
      <c r="C458" s="2" t="s">
        <v>1299</v>
      </c>
      <c r="D458" s="2" t="s">
        <v>620</v>
      </c>
      <c r="E458" s="2" t="s">
        <v>621</v>
      </c>
      <c r="F458" s="2" t="s">
        <v>3034</v>
      </c>
      <c r="G458" s="2" t="s">
        <v>3035</v>
      </c>
      <c r="H458" s="2" t="s">
        <v>3036</v>
      </c>
      <c r="I458" s="2" t="s">
        <v>3037</v>
      </c>
      <c r="J458" s="2" t="s">
        <v>1304</v>
      </c>
      <c r="K458" s="2" t="s">
        <v>410</v>
      </c>
      <c r="L458" s="3">
        <v>27.6</v>
      </c>
      <c r="M458" s="3">
        <v>28.98</v>
      </c>
      <c r="N458" s="3">
        <v>59.99</v>
      </c>
      <c r="O458" s="2" t="s">
        <v>224</v>
      </c>
      <c r="P458" s="2" t="s">
        <v>225</v>
      </c>
      <c r="Q458" s="2" t="s">
        <v>226</v>
      </c>
      <c r="R458" s="2" t="s">
        <v>227</v>
      </c>
      <c r="S458" s="2" t="s">
        <v>3057</v>
      </c>
      <c r="T458" s="2" t="s">
        <v>1871</v>
      </c>
      <c r="U458" s="2" t="s">
        <v>674</v>
      </c>
      <c r="V458" s="2" t="s">
        <v>230</v>
      </c>
      <c r="W458" s="2" t="s">
        <v>487</v>
      </c>
      <c r="X458" s="2" t="s">
        <v>1070</v>
      </c>
      <c r="Y458" s="2" t="s">
        <v>2941</v>
      </c>
      <c r="Z458" s="4">
        <v>132</v>
      </c>
      <c r="AA458" s="4">
        <f>=ROUNDDOWN(44,0)</f>
      </c>
      <c r="AB458" s="5">
        <v>3</v>
      </c>
      <c r="AC458" s="2" t="s">
        <v>821</v>
      </c>
      <c r="AD458" s="4">
        <v>70</v>
      </c>
      <c r="AE458" s="4">
        <v>200</v>
      </c>
      <c r="AF458" s="6">
        <v>64</v>
      </c>
      <c r="AG458" s="6"/>
      <c r="AH458" s="7">
        <v>1</v>
      </c>
      <c r="AI458" s="4"/>
      <c r="AJ458" s="4">
        <f>=ROUNDDOWN({0},0)</f>
      </c>
      <c r="AK458" s="5"/>
      <c r="AL458" s="2" t="s">
        <v>227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227</v>
      </c>
      <c r="AW458" s="8" t="s">
        <v>227</v>
      </c>
      <c r="AX458" s="4" t="s">
        <v>227</v>
      </c>
      <c r="AY458" s="8" t="s">
        <v>227</v>
      </c>
      <c r="AZ458" s="7" t="s">
        <v>227</v>
      </c>
      <c r="BA458" s="7" t="s">
        <v>227</v>
      </c>
      <c r="BB458" s="7"/>
      <c r="BC458" s="4" t="s">
        <v>227</v>
      </c>
      <c r="BD458" s="8" t="s">
        <v>227</v>
      </c>
      <c r="BE458" s="4" t="s">
        <v>227</v>
      </c>
      <c r="BF458" s="8" t="s">
        <v>227</v>
      </c>
      <c r="BG458" s="7" t="s">
        <v>227</v>
      </c>
      <c r="BH458" s="7" t="s">
        <v>227</v>
      </c>
      <c r="BI458" s="7"/>
      <c r="BJ458" s="4">
        <v>8</v>
      </c>
      <c r="BK458" s="8">
        <v>235.91</v>
      </c>
      <c r="BL458" s="2" t="s">
        <v>2217</v>
      </c>
      <c r="BM458" s="7"/>
      <c r="BN458" s="7"/>
      <c r="BO458" s="4"/>
      <c r="BP458" s="8"/>
      <c r="BQ458" s="4"/>
      <c r="BR458" s="8"/>
      <c r="BS458" s="7"/>
      <c r="BT458" s="7"/>
      <c r="BU458" s="2" t="s">
        <v>3058</v>
      </c>
      <c r="BV458" s="2" t="s">
        <v>227</v>
      </c>
      <c r="BW458" s="2" t="s">
        <v>227</v>
      </c>
      <c r="BX458" s="2" t="s">
        <v>235</v>
      </c>
      <c r="BY458" s="2" t="s">
        <v>236</v>
      </c>
      <c r="BZ458" s="2" t="s">
        <v>224</v>
      </c>
      <c r="CA458" s="2" t="s">
        <v>3059</v>
      </c>
      <c r="CB458" s="2" t="s">
        <v>3060</v>
      </c>
      <c r="CC458" s="2" t="s">
        <v>239</v>
      </c>
      <c r="CD458" s="2" t="s">
        <v>227</v>
      </c>
      <c r="CE458" s="4">
        <v>132</v>
      </c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>
        <v>70</v>
      </c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>
        <v>130</v>
      </c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  <c r="FM458" s="4"/>
      <c r="FN458" s="4"/>
      <c r="FO458" s="4"/>
      <c r="FP458" s="4"/>
      <c r="FQ458" s="4"/>
      <c r="FR458" s="4"/>
      <c r="FS458" s="4"/>
      <c r="FT458" s="4"/>
      <c r="FU458" s="4"/>
      <c r="FV458" s="4"/>
      <c r="FW458" s="4"/>
      <c r="FX458" s="4"/>
      <c r="FY458" s="4"/>
      <c r="FZ458" s="4"/>
      <c r="GA458" s="4"/>
      <c r="GB458" s="4"/>
      <c r="GC458" s="4"/>
      <c r="GD458" s="4"/>
      <c r="GE458" s="4"/>
      <c r="GF458" s="4"/>
      <c r="GG458" s="4"/>
      <c r="GH458" s="4"/>
      <c r="GI458" s="4"/>
      <c r="GJ458" s="4"/>
      <c r="GK458" s="4"/>
      <c r="GL458" s="4"/>
      <c r="GM458" s="4"/>
      <c r="GN458" s="4"/>
      <c r="GO458" s="4"/>
      <c r="GP458" s="4"/>
      <c r="GQ458" s="4"/>
      <c r="GR458" s="4"/>
      <c r="GS458" s="4"/>
      <c r="GT458" s="4"/>
      <c r="GU458" s="4"/>
      <c r="GV458" s="4"/>
      <c r="GW458" s="4"/>
      <c r="GX458" s="4"/>
    </row>
    <row r="459">
      <c r="A459" s="2" t="s">
        <v>3061</v>
      </c>
      <c r="B459" s="2" t="s">
        <v>618</v>
      </c>
      <c r="C459" s="2" t="s">
        <v>1299</v>
      </c>
      <c r="D459" s="2" t="s">
        <v>620</v>
      </c>
      <c r="E459" s="2" t="s">
        <v>621</v>
      </c>
      <c r="F459" s="2" t="s">
        <v>3034</v>
      </c>
      <c r="G459" s="2" t="s">
        <v>3035</v>
      </c>
      <c r="H459" s="2" t="s">
        <v>3036</v>
      </c>
      <c r="I459" s="2" t="s">
        <v>3037</v>
      </c>
      <c r="J459" s="2" t="s">
        <v>626</v>
      </c>
      <c r="K459" s="2" t="s">
        <v>410</v>
      </c>
      <c r="L459" s="3">
        <v>33.6</v>
      </c>
      <c r="M459" s="3">
        <v>35.28</v>
      </c>
      <c r="N459" s="3">
        <v>69.99</v>
      </c>
      <c r="O459" s="2" t="s">
        <v>224</v>
      </c>
      <c r="P459" s="2" t="s">
        <v>225</v>
      </c>
      <c r="Q459" s="2" t="s">
        <v>226</v>
      </c>
      <c r="R459" s="2" t="s">
        <v>227</v>
      </c>
      <c r="S459" s="2" t="s">
        <v>3057</v>
      </c>
      <c r="T459" s="2" t="s">
        <v>1871</v>
      </c>
      <c r="U459" s="2" t="s">
        <v>287</v>
      </c>
      <c r="V459" s="2" t="s">
        <v>230</v>
      </c>
      <c r="W459" s="2" t="s">
        <v>487</v>
      </c>
      <c r="X459" s="2" t="s">
        <v>1070</v>
      </c>
      <c r="Y459" s="2" t="s">
        <v>2941</v>
      </c>
      <c r="Z459" s="4">
        <v>178</v>
      </c>
      <c r="AA459" s="4">
        <f>=ROUNDDOWN(29.6666666666667,0)</f>
      </c>
      <c r="AB459" s="5">
        <v>6</v>
      </c>
      <c r="AC459" s="2" t="s">
        <v>821</v>
      </c>
      <c r="AD459" s="4">
        <v>140</v>
      </c>
      <c r="AE459" s="4">
        <v>350</v>
      </c>
      <c r="AF459" s="6">
        <v>64</v>
      </c>
      <c r="AG459" s="6"/>
      <c r="AH459" s="7">
        <v>1</v>
      </c>
      <c r="AI459" s="4"/>
      <c r="AJ459" s="4">
        <f>=ROUNDDOWN({0},0)</f>
      </c>
      <c r="AK459" s="5"/>
      <c r="AL459" s="2" t="s">
        <v>227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227</v>
      </c>
      <c r="AW459" s="8" t="s">
        <v>227</v>
      </c>
      <c r="AX459" s="4" t="s">
        <v>227</v>
      </c>
      <c r="AY459" s="8" t="s">
        <v>227</v>
      </c>
      <c r="AZ459" s="7" t="s">
        <v>227</v>
      </c>
      <c r="BA459" s="7" t="s">
        <v>227</v>
      </c>
      <c r="BB459" s="7"/>
      <c r="BC459" s="4" t="s">
        <v>227</v>
      </c>
      <c r="BD459" s="8" t="s">
        <v>227</v>
      </c>
      <c r="BE459" s="4" t="s">
        <v>227</v>
      </c>
      <c r="BF459" s="8" t="s">
        <v>227</v>
      </c>
      <c r="BG459" s="7" t="s">
        <v>227</v>
      </c>
      <c r="BH459" s="7" t="s">
        <v>227</v>
      </c>
      <c r="BI459" s="7"/>
      <c r="BJ459" s="4">
        <v>15</v>
      </c>
      <c r="BK459" s="8">
        <v>512.7</v>
      </c>
      <c r="BL459" s="2" t="s">
        <v>3062</v>
      </c>
      <c r="BM459" s="7"/>
      <c r="BN459" s="7"/>
      <c r="BO459" s="4"/>
      <c r="BP459" s="8"/>
      <c r="BQ459" s="4"/>
      <c r="BR459" s="8"/>
      <c r="BS459" s="7"/>
      <c r="BT459" s="7"/>
      <c r="BU459" s="2" t="s">
        <v>3063</v>
      </c>
      <c r="BV459" s="2" t="s">
        <v>227</v>
      </c>
      <c r="BW459" s="2" t="s">
        <v>227</v>
      </c>
      <c r="BX459" s="2" t="s">
        <v>235</v>
      </c>
      <c r="BY459" s="2" t="s">
        <v>236</v>
      </c>
      <c r="BZ459" s="2" t="s">
        <v>224</v>
      </c>
      <c r="CA459" s="2" t="s">
        <v>3059</v>
      </c>
      <c r="CB459" s="2" t="s">
        <v>3043</v>
      </c>
      <c r="CC459" s="2" t="s">
        <v>239</v>
      </c>
      <c r="CD459" s="2" t="s">
        <v>227</v>
      </c>
      <c r="CE459" s="4">
        <v>178</v>
      </c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>
        <v>140</v>
      </c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>
        <v>140</v>
      </c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/>
      <c r="EU459" s="4"/>
      <c r="EV459" s="4"/>
      <c r="EW459" s="4"/>
      <c r="EX459" s="4">
        <v>70</v>
      </c>
      <c r="EY459" s="4"/>
      <c r="EZ459" s="4"/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/>
      <c r="FL459" s="4"/>
      <c r="FM459" s="4"/>
      <c r="FN459" s="4"/>
      <c r="FO459" s="4"/>
      <c r="FP459" s="4"/>
      <c r="FQ459" s="4"/>
      <c r="FR459" s="4"/>
      <c r="FS459" s="4"/>
      <c r="FT459" s="4"/>
      <c r="FU459" s="4"/>
      <c r="FV459" s="4"/>
      <c r="FW459" s="4"/>
      <c r="FX459" s="4"/>
      <c r="FY459" s="4"/>
      <c r="FZ459" s="4"/>
      <c r="GA459" s="4"/>
      <c r="GB459" s="4"/>
      <c r="GC459" s="4"/>
      <c r="GD459" s="4"/>
      <c r="GE459" s="4"/>
      <c r="GF459" s="4"/>
      <c r="GG459" s="4"/>
      <c r="GH459" s="4"/>
      <c r="GI459" s="4"/>
      <c r="GJ459" s="4"/>
      <c r="GK459" s="4"/>
      <c r="GL459" s="4"/>
      <c r="GM459" s="4"/>
      <c r="GN459" s="4"/>
      <c r="GO459" s="4"/>
      <c r="GP459" s="4"/>
      <c r="GQ459" s="4"/>
      <c r="GR459" s="4"/>
      <c r="GS459" s="4"/>
      <c r="GT459" s="4"/>
      <c r="GU459" s="4"/>
      <c r="GV459" s="4"/>
      <c r="GW459" s="4"/>
      <c r="GX459" s="4"/>
    </row>
    <row r="460">
      <c r="A460" s="2" t="s">
        <v>3064</v>
      </c>
      <c r="B460" s="2" t="s">
        <v>618</v>
      </c>
      <c r="C460" s="2" t="s">
        <v>1299</v>
      </c>
      <c r="D460" s="2" t="s">
        <v>620</v>
      </c>
      <c r="E460" s="2" t="s">
        <v>621</v>
      </c>
      <c r="F460" s="2" t="s">
        <v>3034</v>
      </c>
      <c r="G460" s="2" t="s">
        <v>3035</v>
      </c>
      <c r="H460" s="2" t="s">
        <v>3036</v>
      </c>
      <c r="I460" s="2" t="s">
        <v>3037</v>
      </c>
      <c r="J460" s="2" t="s">
        <v>626</v>
      </c>
      <c r="K460" s="2" t="s">
        <v>610</v>
      </c>
      <c r="L460" s="3">
        <v>33.6</v>
      </c>
      <c r="M460" s="3">
        <v>35.28</v>
      </c>
      <c r="N460" s="3">
        <v>69.99</v>
      </c>
      <c r="O460" s="2" t="s">
        <v>224</v>
      </c>
      <c r="P460" s="2" t="s">
        <v>225</v>
      </c>
      <c r="Q460" s="2" t="s">
        <v>226</v>
      </c>
      <c r="R460" s="2" t="s">
        <v>227</v>
      </c>
      <c r="S460" s="2" t="s">
        <v>3065</v>
      </c>
      <c r="T460" s="2" t="s">
        <v>1871</v>
      </c>
      <c r="U460" s="2" t="s">
        <v>287</v>
      </c>
      <c r="V460" s="2" t="s">
        <v>230</v>
      </c>
      <c r="W460" s="2" t="s">
        <v>487</v>
      </c>
      <c r="X460" s="2" t="s">
        <v>1070</v>
      </c>
      <c r="Y460" s="2" t="s">
        <v>3066</v>
      </c>
      <c r="Z460" s="4">
        <v>304</v>
      </c>
      <c r="AA460" s="4">
        <f>=ROUNDDOWN(101.333333333333,0)</f>
      </c>
      <c r="AB460" s="5">
        <v>3</v>
      </c>
      <c r="AC460" s="2" t="s">
        <v>839</v>
      </c>
      <c r="AD460" s="4">
        <v>70</v>
      </c>
      <c r="AE460" s="4">
        <v>130</v>
      </c>
      <c r="AF460" s="6">
        <v>64</v>
      </c>
      <c r="AG460" s="6"/>
      <c r="AH460" s="7">
        <v>1</v>
      </c>
      <c r="AI460" s="4"/>
      <c r="AJ460" s="4">
        <f>=ROUNDDOWN({0},0)</f>
      </c>
      <c r="AK460" s="5"/>
      <c r="AL460" s="2" t="s">
        <v>227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227</v>
      </c>
      <c r="AW460" s="8" t="s">
        <v>227</v>
      </c>
      <c r="AX460" s="4" t="s">
        <v>227</v>
      </c>
      <c r="AY460" s="8" t="s">
        <v>227</v>
      </c>
      <c r="AZ460" s="7" t="s">
        <v>227</v>
      </c>
      <c r="BA460" s="7" t="s">
        <v>227</v>
      </c>
      <c r="BB460" s="7"/>
      <c r="BC460" s="4" t="s">
        <v>227</v>
      </c>
      <c r="BD460" s="8" t="s">
        <v>227</v>
      </c>
      <c r="BE460" s="4" t="s">
        <v>227</v>
      </c>
      <c r="BF460" s="8" t="s">
        <v>227</v>
      </c>
      <c r="BG460" s="7" t="s">
        <v>227</v>
      </c>
      <c r="BH460" s="7" t="s">
        <v>227</v>
      </c>
      <c r="BI460" s="7"/>
      <c r="BJ460" s="4">
        <v>7</v>
      </c>
      <c r="BK460" s="8">
        <v>227.72</v>
      </c>
      <c r="BL460" s="2" t="s">
        <v>3067</v>
      </c>
      <c r="BM460" s="7"/>
      <c r="BN460" s="7"/>
      <c r="BO460" s="4"/>
      <c r="BP460" s="8"/>
      <c r="BQ460" s="4"/>
      <c r="BR460" s="8"/>
      <c r="BS460" s="7"/>
      <c r="BT460" s="7"/>
      <c r="BU460" s="2" t="s">
        <v>3068</v>
      </c>
      <c r="BV460" s="2" t="s">
        <v>227</v>
      </c>
      <c r="BW460" s="2" t="s">
        <v>227</v>
      </c>
      <c r="BX460" s="2" t="s">
        <v>235</v>
      </c>
      <c r="BY460" s="2" t="s">
        <v>236</v>
      </c>
      <c r="BZ460" s="2" t="s">
        <v>224</v>
      </c>
      <c r="CA460" s="2" t="s">
        <v>3066</v>
      </c>
      <c r="CB460" s="2" t="s">
        <v>3069</v>
      </c>
      <c r="CC460" s="2" t="s">
        <v>239</v>
      </c>
      <c r="CD460" s="2" t="s">
        <v>227</v>
      </c>
      <c r="CE460" s="4">
        <v>304</v>
      </c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>
        <v>70</v>
      </c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>
        <v>60</v>
      </c>
      <c r="FF460" s="4"/>
      <c r="FG460" s="4"/>
      <c r="FH460" s="4"/>
      <c r="FI460" s="4"/>
      <c r="FJ460" s="4"/>
      <c r="FK460" s="4"/>
      <c r="FL460" s="4"/>
      <c r="FM460" s="4"/>
      <c r="FN460" s="4"/>
      <c r="FO460" s="4"/>
      <c r="FP460" s="4"/>
      <c r="FQ460" s="4"/>
      <c r="FR460" s="4"/>
      <c r="FS460" s="4"/>
      <c r="FT460" s="4"/>
      <c r="FU460" s="4"/>
      <c r="FV460" s="4"/>
      <c r="FW460" s="4"/>
      <c r="FX460" s="4"/>
      <c r="FY460" s="4"/>
      <c r="FZ460" s="4"/>
      <c r="GA460" s="4"/>
      <c r="GB460" s="4"/>
      <c r="GC460" s="4"/>
      <c r="GD460" s="4"/>
      <c r="GE460" s="4"/>
      <c r="GF460" s="4"/>
      <c r="GG460" s="4"/>
      <c r="GH460" s="4"/>
      <c r="GI460" s="4"/>
      <c r="GJ460" s="4"/>
      <c r="GK460" s="4"/>
      <c r="GL460" s="4"/>
      <c r="GM460" s="4"/>
      <c r="GN460" s="4"/>
      <c r="GO460" s="4"/>
      <c r="GP460" s="4"/>
      <c r="GQ460" s="4"/>
      <c r="GR460" s="4"/>
      <c r="GS460" s="4"/>
      <c r="GT460" s="4"/>
      <c r="GU460" s="4"/>
      <c r="GV460" s="4"/>
      <c r="GW460" s="4"/>
      <c r="GX460" s="4"/>
    </row>
    <row r="461">
      <c r="A461" s="2" t="s">
        <v>3070</v>
      </c>
      <c r="B461" s="2" t="s">
        <v>618</v>
      </c>
      <c r="C461" s="2" t="s">
        <v>1299</v>
      </c>
      <c r="D461" s="2" t="s">
        <v>620</v>
      </c>
      <c r="E461" s="2" t="s">
        <v>621</v>
      </c>
      <c r="F461" s="2" t="s">
        <v>3034</v>
      </c>
      <c r="G461" s="2" t="s">
        <v>3035</v>
      </c>
      <c r="H461" s="2" t="s">
        <v>3036</v>
      </c>
      <c r="I461" s="2" t="s">
        <v>3037</v>
      </c>
      <c r="J461" s="2" t="s">
        <v>682</v>
      </c>
      <c r="K461" s="2" t="s">
        <v>610</v>
      </c>
      <c r="L461" s="3">
        <v>36.75</v>
      </c>
      <c r="M461" s="3">
        <v>38.59</v>
      </c>
      <c r="N461" s="3">
        <v>74.99</v>
      </c>
      <c r="O461" s="2" t="s">
        <v>224</v>
      </c>
      <c r="P461" s="2" t="s">
        <v>225</v>
      </c>
      <c r="Q461" s="2" t="s">
        <v>226</v>
      </c>
      <c r="R461" s="2" t="s">
        <v>227</v>
      </c>
      <c r="S461" s="2" t="s">
        <v>3065</v>
      </c>
      <c r="T461" s="2" t="s">
        <v>1871</v>
      </c>
      <c r="U461" s="2" t="s">
        <v>287</v>
      </c>
      <c r="V461" s="2" t="s">
        <v>230</v>
      </c>
      <c r="W461" s="2" t="s">
        <v>487</v>
      </c>
      <c r="X461" s="2" t="s">
        <v>1070</v>
      </c>
      <c r="Y461" s="2" t="s">
        <v>3071</v>
      </c>
      <c r="Z461" s="4">
        <v>156</v>
      </c>
      <c r="AA461" s="4">
        <f>=ROUNDDOWN(52,0)</f>
      </c>
      <c r="AB461" s="5">
        <v>3</v>
      </c>
      <c r="AC461" s="2" t="s">
        <v>839</v>
      </c>
      <c r="AD461" s="4">
        <v>40</v>
      </c>
      <c r="AE461" s="4">
        <v>80</v>
      </c>
      <c r="AF461" s="6">
        <v>64</v>
      </c>
      <c r="AG461" s="6"/>
      <c r="AH461" s="7">
        <v>1</v>
      </c>
      <c r="AI461" s="4"/>
      <c r="AJ461" s="4">
        <f>=ROUNDDOWN({0},0)</f>
      </c>
      <c r="AK461" s="5"/>
      <c r="AL461" s="2" t="s">
        <v>227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227</v>
      </c>
      <c r="AW461" s="8" t="s">
        <v>227</v>
      </c>
      <c r="AX461" s="4" t="s">
        <v>227</v>
      </c>
      <c r="AY461" s="8" t="s">
        <v>227</v>
      </c>
      <c r="AZ461" s="7" t="s">
        <v>227</v>
      </c>
      <c r="BA461" s="7" t="s">
        <v>227</v>
      </c>
      <c r="BB461" s="7"/>
      <c r="BC461" s="4" t="s">
        <v>227</v>
      </c>
      <c r="BD461" s="8" t="s">
        <v>227</v>
      </c>
      <c r="BE461" s="4" t="s">
        <v>227</v>
      </c>
      <c r="BF461" s="8" t="s">
        <v>227</v>
      </c>
      <c r="BG461" s="7" t="s">
        <v>227</v>
      </c>
      <c r="BH461" s="7" t="s">
        <v>227</v>
      </c>
      <c r="BI461" s="7"/>
      <c r="BJ461" s="4">
        <v>8</v>
      </c>
      <c r="BK461" s="8">
        <v>302.57</v>
      </c>
      <c r="BL461" s="2" t="s">
        <v>1939</v>
      </c>
      <c r="BM461" s="7"/>
      <c r="BN461" s="7"/>
      <c r="BO461" s="4"/>
      <c r="BP461" s="8"/>
      <c r="BQ461" s="4"/>
      <c r="BR461" s="8"/>
      <c r="BS461" s="7"/>
      <c r="BT461" s="7"/>
      <c r="BU461" s="2" t="s">
        <v>3072</v>
      </c>
      <c r="BV461" s="2" t="s">
        <v>227</v>
      </c>
      <c r="BW461" s="2" t="s">
        <v>227</v>
      </c>
      <c r="BX461" s="2" t="s">
        <v>235</v>
      </c>
      <c r="BY461" s="2" t="s">
        <v>236</v>
      </c>
      <c r="BZ461" s="2" t="s">
        <v>224</v>
      </c>
      <c r="CA461" s="2" t="s">
        <v>3071</v>
      </c>
      <c r="CB461" s="2" t="s">
        <v>3073</v>
      </c>
      <c r="CC461" s="2" t="s">
        <v>239</v>
      </c>
      <c r="CD461" s="2" t="s">
        <v>227</v>
      </c>
      <c r="CE461" s="4">
        <v>156</v>
      </c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>
        <v>40</v>
      </c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>
        <v>40</v>
      </c>
      <c r="FF461" s="4"/>
      <c r="FG461" s="4"/>
      <c r="FH461" s="4"/>
      <c r="FI461" s="4"/>
      <c r="FJ461" s="4"/>
      <c r="FK461" s="4"/>
      <c r="FL461" s="4"/>
      <c r="FM461" s="4"/>
      <c r="FN461" s="4"/>
      <c r="FO461" s="4"/>
      <c r="FP461" s="4"/>
      <c r="FQ461" s="4"/>
      <c r="FR461" s="4"/>
      <c r="FS461" s="4"/>
      <c r="FT461" s="4"/>
      <c r="FU461" s="4"/>
      <c r="FV461" s="4"/>
      <c r="FW461" s="4"/>
      <c r="FX461" s="4"/>
      <c r="FY461" s="4"/>
      <c r="FZ461" s="4"/>
      <c r="GA461" s="4"/>
      <c r="GB461" s="4"/>
      <c r="GC461" s="4"/>
      <c r="GD461" s="4"/>
      <c r="GE461" s="4"/>
      <c r="GF461" s="4"/>
      <c r="GG461" s="4"/>
      <c r="GH461" s="4"/>
      <c r="GI461" s="4"/>
      <c r="GJ461" s="4"/>
      <c r="GK461" s="4"/>
      <c r="GL461" s="4"/>
      <c r="GM461" s="4"/>
      <c r="GN461" s="4"/>
      <c r="GO461" s="4"/>
      <c r="GP461" s="4"/>
      <c r="GQ461" s="4"/>
      <c r="GR461" s="4"/>
      <c r="GS461" s="4"/>
      <c r="GT461" s="4"/>
      <c r="GU461" s="4"/>
      <c r="GV461" s="4"/>
      <c r="GW461" s="4"/>
      <c r="GX461" s="4"/>
    </row>
    <row r="462">
      <c r="A462" s="2" t="s">
        <v>3074</v>
      </c>
      <c r="B462" s="2" t="s">
        <v>573</v>
      </c>
      <c r="C462" s="2" t="s">
        <v>543</v>
      </c>
      <c r="D462" s="2" t="s">
        <v>1230</v>
      </c>
      <c r="E462" s="2" t="s">
        <v>1231</v>
      </c>
      <c r="F462" s="2" t="s">
        <v>3075</v>
      </c>
      <c r="G462" s="2" t="s">
        <v>3075</v>
      </c>
      <c r="H462" s="2" t="s">
        <v>3075</v>
      </c>
      <c r="I462" s="2" t="s">
        <v>3076</v>
      </c>
      <c r="J462" s="2" t="s">
        <v>548</v>
      </c>
      <c r="K462" s="2" t="s">
        <v>1780</v>
      </c>
      <c r="L462" s="3">
        <v>145.35</v>
      </c>
      <c r="M462" s="3">
        <v>152.62</v>
      </c>
      <c r="N462" s="3">
        <v>299</v>
      </c>
      <c r="O462" s="2" t="s">
        <v>224</v>
      </c>
      <c r="P462" s="2" t="s">
        <v>580</v>
      </c>
      <c r="Q462" s="2" t="s">
        <v>226</v>
      </c>
      <c r="R462" s="2" t="s">
        <v>227</v>
      </c>
      <c r="S462" s="2" t="s">
        <v>227</v>
      </c>
      <c r="T462" s="2" t="s">
        <v>227</v>
      </c>
      <c r="U462" s="2" t="s">
        <v>1044</v>
      </c>
      <c r="V462" s="2" t="s">
        <v>566</v>
      </c>
      <c r="W462" s="2" t="s">
        <v>1008</v>
      </c>
      <c r="X462" s="2" t="s">
        <v>554</v>
      </c>
      <c r="Y462" s="2" t="s">
        <v>3077</v>
      </c>
      <c r="Z462" s="4">
        <v>153</v>
      </c>
      <c r="AA462" s="4">
        <f>=ROUNDDOWN(76.5,0)</f>
      </c>
      <c r="AB462" s="5">
        <v>2</v>
      </c>
      <c r="AC462" s="2" t="s">
        <v>227</v>
      </c>
      <c r="AD462" s="4"/>
      <c r="AE462" s="4"/>
      <c r="AF462" s="6">
        <v>74</v>
      </c>
      <c r="AG462" s="6"/>
      <c r="AH462" s="7">
        <v>1</v>
      </c>
      <c r="AI462" s="4"/>
      <c r="AJ462" s="4">
        <f>=ROUNDDOWN({0},0)</f>
      </c>
      <c r="AK462" s="5"/>
      <c r="AL462" s="2" t="s">
        <v>227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/>
      <c r="AW462" s="8"/>
      <c r="AX462" s="4"/>
      <c r="AY462" s="8"/>
      <c r="AZ462" s="7"/>
      <c r="BA462" s="7"/>
      <c r="BB462" s="7"/>
      <c r="BC462" s="4"/>
      <c r="BD462" s="8"/>
      <c r="BE462" s="4"/>
      <c r="BF462" s="8"/>
      <c r="BG462" s="7"/>
      <c r="BH462" s="7"/>
      <c r="BI462" s="7"/>
      <c r="BJ462" s="4">
        <v>8</v>
      </c>
      <c r="BK462" s="8">
        <v>1583.8</v>
      </c>
      <c r="BL462" s="2" t="s">
        <v>3078</v>
      </c>
      <c r="BM462" s="7"/>
      <c r="BN462" s="7"/>
      <c r="BO462" s="4"/>
      <c r="BP462" s="8"/>
      <c r="BQ462" s="4"/>
      <c r="BR462" s="8"/>
      <c r="BS462" s="7"/>
      <c r="BT462" s="7"/>
      <c r="BU462" s="2" t="s">
        <v>3079</v>
      </c>
      <c r="BV462" s="2" t="s">
        <v>227</v>
      </c>
      <c r="BW462" s="2" t="s">
        <v>227</v>
      </c>
      <c r="BX462" s="2" t="s">
        <v>235</v>
      </c>
      <c r="BY462" s="2" t="s">
        <v>236</v>
      </c>
      <c r="BZ462" s="2" t="s">
        <v>224</v>
      </c>
      <c r="CA462" s="2" t="s">
        <v>3077</v>
      </c>
      <c r="CB462" s="2" t="s">
        <v>2102</v>
      </c>
      <c r="CC462" s="2" t="s">
        <v>239</v>
      </c>
      <c r="CD462" s="2" t="s">
        <v>227</v>
      </c>
      <c r="CE462" s="4"/>
      <c r="CF462" s="4">
        <v>153</v>
      </c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/>
      <c r="FS462" s="4"/>
      <c r="FT462" s="4"/>
      <c r="FU462" s="4"/>
      <c r="FV462" s="4"/>
      <c r="FW462" s="4"/>
      <c r="FX462" s="4"/>
      <c r="FY462" s="4"/>
      <c r="FZ462" s="4"/>
      <c r="GA462" s="4"/>
      <c r="GB462" s="4"/>
      <c r="GC462" s="4"/>
      <c r="GD462" s="4"/>
      <c r="GE462" s="4"/>
      <c r="GF462" s="4"/>
      <c r="GG462" s="4"/>
      <c r="GH462" s="4"/>
      <c r="GI462" s="4"/>
      <c r="GJ462" s="4"/>
      <c r="GK462" s="4"/>
      <c r="GL462" s="4"/>
      <c r="GM462" s="4"/>
      <c r="GN462" s="4"/>
      <c r="GO462" s="4"/>
      <c r="GP462" s="4"/>
      <c r="GQ462" s="4"/>
      <c r="GR462" s="4"/>
      <c r="GS462" s="4"/>
      <c r="GT462" s="4"/>
      <c r="GU462" s="4"/>
      <c r="GV462" s="4"/>
      <c r="GW462" s="4"/>
      <c r="GX462" s="4"/>
    </row>
    <row r="463">
      <c r="A463" s="2" t="s">
        <v>3080</v>
      </c>
      <c r="B463" s="2" t="s">
        <v>542</v>
      </c>
      <c r="C463" s="2" t="s">
        <v>360</v>
      </c>
      <c r="D463" s="2" t="s">
        <v>561</v>
      </c>
      <c r="E463" s="2" t="s">
        <v>2785</v>
      </c>
      <c r="F463" s="2" t="s">
        <v>3081</v>
      </c>
      <c r="G463" s="2" t="s">
        <v>3081</v>
      </c>
      <c r="H463" s="2" t="s">
        <v>3081</v>
      </c>
      <c r="I463" s="2" t="s">
        <v>3082</v>
      </c>
      <c r="J463" s="2" t="s">
        <v>3083</v>
      </c>
      <c r="K463" s="2" t="s">
        <v>565</v>
      </c>
      <c r="L463" s="3">
        <v>50.43</v>
      </c>
      <c r="M463" s="3">
        <v>52.95</v>
      </c>
      <c r="N463" s="3">
        <v>93.49</v>
      </c>
      <c r="O463" s="2" t="s">
        <v>224</v>
      </c>
      <c r="P463" s="2" t="s">
        <v>550</v>
      </c>
      <c r="Q463" s="2" t="s">
        <v>226</v>
      </c>
      <c r="R463" s="2" t="s">
        <v>227</v>
      </c>
      <c r="S463" s="2" t="s">
        <v>227</v>
      </c>
      <c r="T463" s="2" t="s">
        <v>227</v>
      </c>
      <c r="U463" s="2" t="s">
        <v>552</v>
      </c>
      <c r="V463" s="2" t="s">
        <v>945</v>
      </c>
      <c r="W463" s="2" t="s">
        <v>227</v>
      </c>
      <c r="X463" s="2" t="s">
        <v>227</v>
      </c>
      <c r="Y463" s="2" t="s">
        <v>595</v>
      </c>
      <c r="Z463" s="4">
        <v>102</v>
      </c>
      <c r="AA463" s="4">
        <f>=ROUNDDOWN(6.8,0)</f>
      </c>
      <c r="AB463" s="5">
        <v>15</v>
      </c>
      <c r="AC463" s="2" t="s">
        <v>155</v>
      </c>
      <c r="AD463" s="4">
        <v>160</v>
      </c>
      <c r="AE463" s="4">
        <v>300</v>
      </c>
      <c r="AF463" s="6">
        <v>65</v>
      </c>
      <c r="AG463" s="6">
        <v>48</v>
      </c>
      <c r="AH463" s="7">
        <v>1</v>
      </c>
      <c r="AI463" s="4"/>
      <c r="AJ463" s="4">
        <f>=ROUNDDOWN({0},0)</f>
      </c>
      <c r="AK463" s="5"/>
      <c r="AL463" s="2" t="s">
        <v>227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 t="s">
        <v>227</v>
      </c>
      <c r="BD463" s="8" t="s">
        <v>227</v>
      </c>
      <c r="BE463" s="4" t="s">
        <v>227</v>
      </c>
      <c r="BF463" s="8" t="s">
        <v>227</v>
      </c>
      <c r="BG463" s="7" t="s">
        <v>227</v>
      </c>
      <c r="BH463" s="7" t="s">
        <v>227</v>
      </c>
      <c r="BI463" s="7"/>
      <c r="BJ463" s="4">
        <v>66</v>
      </c>
      <c r="BK463" s="8">
        <v>3621.75</v>
      </c>
      <c r="BL463" s="2" t="s">
        <v>3084</v>
      </c>
      <c r="BM463" s="7"/>
      <c r="BN463" s="7"/>
      <c r="BO463" s="4"/>
      <c r="BP463" s="8"/>
      <c r="BQ463" s="4"/>
      <c r="BR463" s="8"/>
      <c r="BS463" s="7"/>
      <c r="BT463" s="7"/>
      <c r="BU463" s="2" t="s">
        <v>3085</v>
      </c>
      <c r="BV463" s="2" t="s">
        <v>227</v>
      </c>
      <c r="BW463" s="2" t="s">
        <v>227</v>
      </c>
      <c r="BX463" s="2" t="s">
        <v>235</v>
      </c>
      <c r="BY463" s="2" t="s">
        <v>236</v>
      </c>
      <c r="BZ463" s="2" t="s">
        <v>224</v>
      </c>
      <c r="CA463" s="2" t="s">
        <v>1374</v>
      </c>
      <c r="CB463" s="2" t="s">
        <v>604</v>
      </c>
      <c r="CC463" s="2" t="s">
        <v>239</v>
      </c>
      <c r="CD463" s="2" t="s">
        <v>227</v>
      </c>
      <c r="CE463" s="4"/>
      <c r="CF463" s="4">
        <v>102</v>
      </c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4"/>
      <c r="EQ463" s="4">
        <v>160</v>
      </c>
      <c r="ER463" s="4"/>
      <c r="ES463" s="4"/>
      <c r="ET463" s="4"/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/>
      <c r="FI463" s="4">
        <v>140</v>
      </c>
      <c r="FJ463" s="4"/>
      <c r="FK463" s="4"/>
      <c r="FL463" s="4"/>
      <c r="FM463" s="4"/>
      <c r="FN463" s="4"/>
      <c r="FO463" s="4"/>
      <c r="FP463" s="4"/>
      <c r="FQ463" s="4"/>
      <c r="FR463" s="4"/>
      <c r="FS463" s="4"/>
      <c r="FT463" s="4"/>
      <c r="FU463" s="4"/>
      <c r="FV463" s="4"/>
      <c r="FW463" s="4"/>
      <c r="FX463" s="4"/>
      <c r="FY463" s="4"/>
      <c r="FZ463" s="4"/>
      <c r="GA463" s="4"/>
      <c r="GB463" s="4"/>
      <c r="GC463" s="4"/>
      <c r="GD463" s="4"/>
      <c r="GE463" s="4"/>
      <c r="GF463" s="4"/>
      <c r="GG463" s="4"/>
      <c r="GH463" s="4"/>
      <c r="GI463" s="4"/>
      <c r="GJ463" s="4"/>
      <c r="GK463" s="4"/>
      <c r="GL463" s="4"/>
      <c r="GM463" s="4"/>
      <c r="GN463" s="4"/>
      <c r="GO463" s="4"/>
      <c r="GP463" s="4"/>
      <c r="GQ463" s="4"/>
      <c r="GR463" s="4"/>
      <c r="GS463" s="4"/>
      <c r="GT463" s="4"/>
      <c r="GU463" s="4"/>
      <c r="GV463" s="4"/>
      <c r="GW463" s="4"/>
      <c r="GX463" s="4"/>
    </row>
    <row r="464">
      <c r="A464" s="2" t="s">
        <v>3086</v>
      </c>
      <c r="B464" s="2" t="s">
        <v>542</v>
      </c>
      <c r="C464" s="2" t="s">
        <v>360</v>
      </c>
      <c r="D464" s="2" t="s">
        <v>561</v>
      </c>
      <c r="E464" s="2" t="s">
        <v>2785</v>
      </c>
      <c r="F464" s="2" t="s">
        <v>3081</v>
      </c>
      <c r="G464" s="2" t="s">
        <v>3081</v>
      </c>
      <c r="H464" s="2" t="s">
        <v>3081</v>
      </c>
      <c r="I464" s="2" t="s">
        <v>3082</v>
      </c>
      <c r="J464" s="2" t="s">
        <v>3083</v>
      </c>
      <c r="K464" s="2" t="s">
        <v>536</v>
      </c>
      <c r="L464" s="3">
        <v>50.43</v>
      </c>
      <c r="M464" s="3">
        <v>52.95</v>
      </c>
      <c r="N464" s="3">
        <v>93.49</v>
      </c>
      <c r="O464" s="2" t="s">
        <v>224</v>
      </c>
      <c r="P464" s="2" t="s">
        <v>580</v>
      </c>
      <c r="Q464" s="2" t="s">
        <v>226</v>
      </c>
      <c r="R464" s="2" t="s">
        <v>227</v>
      </c>
      <c r="S464" s="2" t="s">
        <v>3087</v>
      </c>
      <c r="T464" s="2" t="s">
        <v>227</v>
      </c>
      <c r="U464" s="2" t="s">
        <v>552</v>
      </c>
      <c r="V464" s="2" t="s">
        <v>945</v>
      </c>
      <c r="W464" s="2" t="s">
        <v>836</v>
      </c>
      <c r="X464" s="2" t="s">
        <v>487</v>
      </c>
      <c r="Y464" s="2" t="s">
        <v>2688</v>
      </c>
      <c r="Z464" s="4">
        <v>151</v>
      </c>
      <c r="AA464" s="4">
        <f>=ROUNDDOWN(79.4736842105263,0)</f>
      </c>
      <c r="AB464" s="5">
        <v>1.9</v>
      </c>
      <c r="AC464" s="2" t="s">
        <v>227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227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/>
      <c r="AW464" s="8"/>
      <c r="AX464" s="4"/>
      <c r="AY464" s="8"/>
      <c r="AZ464" s="7"/>
      <c r="BA464" s="7"/>
      <c r="BB464" s="7"/>
      <c r="BC464" s="4" t="s">
        <v>227</v>
      </c>
      <c r="BD464" s="8" t="s">
        <v>227</v>
      </c>
      <c r="BE464" s="4" t="s">
        <v>227</v>
      </c>
      <c r="BF464" s="8" t="s">
        <v>227</v>
      </c>
      <c r="BG464" s="7" t="s">
        <v>227</v>
      </c>
      <c r="BH464" s="7" t="s">
        <v>227</v>
      </c>
      <c r="BI464" s="7"/>
      <c r="BJ464" s="4">
        <v>4</v>
      </c>
      <c r="BK464" s="8">
        <v>256.2</v>
      </c>
      <c r="BL464" s="2" t="s">
        <v>3088</v>
      </c>
      <c r="BM464" s="7"/>
      <c r="BN464" s="7"/>
      <c r="BO464" s="4"/>
      <c r="BP464" s="8"/>
      <c r="BQ464" s="4"/>
      <c r="BR464" s="8"/>
      <c r="BS464" s="7"/>
      <c r="BT464" s="7"/>
      <c r="BU464" s="2" t="s">
        <v>3089</v>
      </c>
      <c r="BV464" s="2" t="s">
        <v>227</v>
      </c>
      <c r="BW464" s="2" t="s">
        <v>227</v>
      </c>
      <c r="BX464" s="2" t="s">
        <v>235</v>
      </c>
      <c r="BY464" s="2" t="s">
        <v>236</v>
      </c>
      <c r="BZ464" s="2" t="s">
        <v>224</v>
      </c>
      <c r="CA464" s="2" t="s">
        <v>3090</v>
      </c>
      <c r="CB464" s="2" t="s">
        <v>3091</v>
      </c>
      <c r="CC464" s="2" t="s">
        <v>239</v>
      </c>
      <c r="CD464" s="2" t="s">
        <v>227</v>
      </c>
      <c r="CE464" s="4"/>
      <c r="CF464" s="4">
        <v>151</v>
      </c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/>
      <c r="FM464" s="4"/>
      <c r="FN464" s="4"/>
      <c r="FO464" s="4"/>
      <c r="FP464" s="4"/>
      <c r="FQ464" s="4"/>
      <c r="FR464" s="4"/>
      <c r="FS464" s="4"/>
      <c r="FT464" s="4"/>
      <c r="FU464" s="4"/>
      <c r="FV464" s="4"/>
      <c r="FW464" s="4"/>
      <c r="FX464" s="4"/>
      <c r="FY464" s="4"/>
      <c r="FZ464" s="4"/>
      <c r="GA464" s="4"/>
      <c r="GB464" s="4"/>
      <c r="GC464" s="4"/>
      <c r="GD464" s="4"/>
      <c r="GE464" s="4"/>
      <c r="GF464" s="4"/>
      <c r="GG464" s="4"/>
      <c r="GH464" s="4"/>
      <c r="GI464" s="4"/>
      <c r="GJ464" s="4"/>
      <c r="GK464" s="4"/>
      <c r="GL464" s="4"/>
      <c r="GM464" s="4"/>
      <c r="GN464" s="4"/>
      <c r="GO464" s="4"/>
      <c r="GP464" s="4"/>
      <c r="GQ464" s="4"/>
      <c r="GR464" s="4"/>
      <c r="GS464" s="4"/>
      <c r="GT464" s="4"/>
      <c r="GU464" s="4"/>
      <c r="GV464" s="4"/>
      <c r="GW464" s="4"/>
      <c r="GX464" s="4"/>
    </row>
    <row r="465">
      <c r="A465" s="2" t="s">
        <v>3092</v>
      </c>
      <c r="B465" s="2" t="s">
        <v>697</v>
      </c>
      <c r="C465" s="2" t="s">
        <v>1981</v>
      </c>
      <c r="D465" s="2" t="s">
        <v>1982</v>
      </c>
      <c r="E465" s="2" t="s">
        <v>3093</v>
      </c>
      <c r="F465" s="2" t="s">
        <v>3094</v>
      </c>
      <c r="G465" s="2" t="s">
        <v>3094</v>
      </c>
      <c r="H465" s="2" t="s">
        <v>3094</v>
      </c>
      <c r="I465" s="2" t="s">
        <v>3095</v>
      </c>
      <c r="J465" s="2" t="s">
        <v>873</v>
      </c>
      <c r="K465" s="2" t="s">
        <v>223</v>
      </c>
      <c r="L465" s="3">
        <v>30.02</v>
      </c>
      <c r="M465" s="3">
        <v>31.52</v>
      </c>
      <c r="N465" s="3">
        <v>64.99</v>
      </c>
      <c r="O465" s="2" t="s">
        <v>224</v>
      </c>
      <c r="P465" s="2" t="s">
        <v>225</v>
      </c>
      <c r="Q465" s="2" t="s">
        <v>226</v>
      </c>
      <c r="R465" s="2" t="s">
        <v>227</v>
      </c>
      <c r="S465" s="2" t="s">
        <v>227</v>
      </c>
      <c r="T465" s="2" t="s">
        <v>2807</v>
      </c>
      <c r="U465" s="2" t="s">
        <v>552</v>
      </c>
      <c r="V465" s="2" t="s">
        <v>230</v>
      </c>
      <c r="W465" s="2" t="s">
        <v>231</v>
      </c>
      <c r="X465" s="2" t="s">
        <v>227</v>
      </c>
      <c r="Y465" s="2" t="s">
        <v>3096</v>
      </c>
      <c r="Z465" s="4">
        <v>419</v>
      </c>
      <c r="AA465" s="4">
        <f>=ROUNDDOWN(9.74418604651163,0)</f>
      </c>
      <c r="AB465" s="5">
        <v>43</v>
      </c>
      <c r="AC465" s="2" t="s">
        <v>821</v>
      </c>
      <c r="AD465" s="4">
        <v>470</v>
      </c>
      <c r="AE465" s="4">
        <v>1700</v>
      </c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227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 t="s">
        <v>227</v>
      </c>
      <c r="BD465" s="8" t="s">
        <v>227</v>
      </c>
      <c r="BE465" s="4" t="s">
        <v>227</v>
      </c>
      <c r="BF465" s="8" t="s">
        <v>227</v>
      </c>
      <c r="BG465" s="7" t="s">
        <v>227</v>
      </c>
      <c r="BH465" s="7" t="s">
        <v>227</v>
      </c>
      <c r="BI465" s="7"/>
      <c r="BJ465" s="4">
        <v>17</v>
      </c>
      <c r="BK465" s="8">
        <v>554.75</v>
      </c>
      <c r="BL465" s="2" t="s">
        <v>2751</v>
      </c>
      <c r="BM465" s="7"/>
      <c r="BN465" s="7"/>
      <c r="BO465" s="4"/>
      <c r="BP465" s="8"/>
      <c r="BQ465" s="4"/>
      <c r="BR465" s="8"/>
      <c r="BS465" s="7"/>
      <c r="BT465" s="7"/>
      <c r="BU465" s="2" t="s">
        <v>3097</v>
      </c>
      <c r="BV465" s="2" t="s">
        <v>227</v>
      </c>
      <c r="BW465" s="2" t="s">
        <v>227</v>
      </c>
      <c r="BX465" s="2" t="s">
        <v>235</v>
      </c>
      <c r="BY465" s="2" t="s">
        <v>236</v>
      </c>
      <c r="BZ465" s="2" t="s">
        <v>224</v>
      </c>
      <c r="CA465" s="2" t="s">
        <v>3098</v>
      </c>
      <c r="CB465" s="2" t="s">
        <v>3099</v>
      </c>
      <c r="CC465" s="2" t="s">
        <v>239</v>
      </c>
      <c r="CD465" s="2" t="s">
        <v>227</v>
      </c>
      <c r="CE465" s="4">
        <v>419</v>
      </c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>
        <v>470</v>
      </c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>
        <v>680</v>
      </c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>
        <v>330</v>
      </c>
      <c r="FA465" s="4"/>
      <c r="FB465" s="4"/>
      <c r="FC465" s="4"/>
      <c r="FD465" s="4"/>
      <c r="FE465" s="4"/>
      <c r="FF465" s="4"/>
      <c r="FG465" s="4"/>
      <c r="FH465" s="4"/>
      <c r="FI465" s="4"/>
      <c r="FJ465" s="4"/>
      <c r="FK465" s="4"/>
      <c r="FL465" s="4"/>
      <c r="FM465" s="4"/>
      <c r="FN465" s="4"/>
      <c r="FO465" s="4"/>
      <c r="FP465" s="4"/>
      <c r="FQ465" s="4"/>
      <c r="FR465" s="4"/>
      <c r="FS465" s="4"/>
      <c r="FT465" s="4"/>
      <c r="FU465" s="4"/>
      <c r="FV465" s="4"/>
      <c r="FW465" s="4"/>
      <c r="FX465" s="4"/>
      <c r="FY465" s="4"/>
      <c r="FZ465" s="4"/>
      <c r="GA465" s="4"/>
      <c r="GB465" s="4"/>
      <c r="GC465" s="4"/>
      <c r="GD465" s="4"/>
      <c r="GE465" s="4"/>
      <c r="GF465" s="4"/>
      <c r="GG465" s="4"/>
      <c r="GH465" s="4"/>
      <c r="GI465" s="4">
        <v>220</v>
      </c>
      <c r="GJ465" s="4"/>
      <c r="GK465" s="4"/>
      <c r="GL465" s="4"/>
      <c r="GM465" s="4"/>
      <c r="GN465" s="4"/>
      <c r="GO465" s="4"/>
      <c r="GP465" s="4"/>
      <c r="GQ465" s="4"/>
      <c r="GR465" s="4"/>
      <c r="GS465" s="4"/>
      <c r="GT465" s="4"/>
      <c r="GU465" s="4"/>
      <c r="GV465" s="4"/>
      <c r="GW465" s="4"/>
      <c r="GX465" s="4"/>
    </row>
    <row r="466">
      <c r="A466" s="2" t="s">
        <v>3100</v>
      </c>
      <c r="B466" s="2" t="s">
        <v>697</v>
      </c>
      <c r="C466" s="2" t="s">
        <v>1981</v>
      </c>
      <c r="D466" s="2" t="s">
        <v>1982</v>
      </c>
      <c r="E466" s="2" t="s">
        <v>1983</v>
      </c>
      <c r="F466" s="2" t="s">
        <v>3094</v>
      </c>
      <c r="G466" s="2" t="s">
        <v>3094</v>
      </c>
      <c r="H466" s="2" t="s">
        <v>3094</v>
      </c>
      <c r="I466" s="2" t="s">
        <v>1985</v>
      </c>
      <c r="J466" s="2" t="s">
        <v>247</v>
      </c>
      <c r="K466" s="2" t="s">
        <v>1428</v>
      </c>
      <c r="L466" s="3">
        <v>47.3</v>
      </c>
      <c r="M466" s="3">
        <v>49.66</v>
      </c>
      <c r="N466" s="3">
        <v>101.99</v>
      </c>
      <c r="O466" s="2" t="s">
        <v>224</v>
      </c>
      <c r="P466" s="2" t="s">
        <v>225</v>
      </c>
      <c r="Q466" s="2" t="s">
        <v>226</v>
      </c>
      <c r="R466" s="2" t="s">
        <v>227</v>
      </c>
      <c r="S466" s="2" t="s">
        <v>227</v>
      </c>
      <c r="T466" s="2" t="s">
        <v>2807</v>
      </c>
      <c r="U466" s="2" t="s">
        <v>552</v>
      </c>
      <c r="V466" s="2" t="s">
        <v>230</v>
      </c>
      <c r="W466" s="2" t="s">
        <v>231</v>
      </c>
      <c r="X466" s="2" t="s">
        <v>227</v>
      </c>
      <c r="Y466" s="2" t="s">
        <v>3101</v>
      </c>
      <c r="Z466" s="4">
        <v>886</v>
      </c>
      <c r="AA466" s="4">
        <f>=ROUNDDOWN(443,0)</f>
      </c>
      <c r="AB466" s="5">
        <v>2</v>
      </c>
      <c r="AC466" s="2" t="s">
        <v>2866</v>
      </c>
      <c r="AD466" s="4">
        <v>480</v>
      </c>
      <c r="AE466" s="4">
        <v>480</v>
      </c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227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227</v>
      </c>
      <c r="AW466" s="8" t="s">
        <v>227</v>
      </c>
      <c r="AX466" s="4" t="s">
        <v>227</v>
      </c>
      <c r="AY466" s="8" t="s">
        <v>227</v>
      </c>
      <c r="AZ466" s="7" t="s">
        <v>227</v>
      </c>
      <c r="BA466" s="7" t="s">
        <v>227</v>
      </c>
      <c r="BB466" s="7"/>
      <c r="BC466" s="4" t="s">
        <v>227</v>
      </c>
      <c r="BD466" s="8" t="s">
        <v>227</v>
      </c>
      <c r="BE466" s="4" t="s">
        <v>227</v>
      </c>
      <c r="BF466" s="8" t="s">
        <v>227</v>
      </c>
      <c r="BG466" s="7" t="s">
        <v>227</v>
      </c>
      <c r="BH466" s="7" t="s">
        <v>227</v>
      </c>
      <c r="BI466" s="7"/>
      <c r="BJ466" s="4">
        <v>2</v>
      </c>
      <c r="BK466" s="8">
        <v>101.71</v>
      </c>
      <c r="BL466" s="2" t="s">
        <v>3102</v>
      </c>
      <c r="BM466" s="7"/>
      <c r="BN466" s="7"/>
      <c r="BO466" s="4"/>
      <c r="BP466" s="8"/>
      <c r="BQ466" s="4"/>
      <c r="BR466" s="8"/>
      <c r="BS466" s="7"/>
      <c r="BT466" s="7"/>
      <c r="BU466" s="2" t="s">
        <v>3103</v>
      </c>
      <c r="BV466" s="2" t="s">
        <v>227</v>
      </c>
      <c r="BW466" s="2" t="s">
        <v>227</v>
      </c>
      <c r="BX466" s="2" t="s">
        <v>2104</v>
      </c>
      <c r="BY466" s="2" t="s">
        <v>236</v>
      </c>
      <c r="BZ466" s="2" t="s">
        <v>224</v>
      </c>
      <c r="CA466" s="2" t="s">
        <v>3104</v>
      </c>
      <c r="CB466" s="2" t="s">
        <v>3105</v>
      </c>
      <c r="CC466" s="2" t="s">
        <v>239</v>
      </c>
      <c r="CD466" s="2" t="s">
        <v>227</v>
      </c>
      <c r="CE466" s="4">
        <v>886</v>
      </c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>
        <v>480</v>
      </c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/>
      <c r="FG466" s="4"/>
      <c r="FH466" s="4"/>
      <c r="FI466" s="4"/>
      <c r="FJ466" s="4"/>
      <c r="FK466" s="4"/>
      <c r="FL466" s="4"/>
      <c r="FM466" s="4"/>
      <c r="FN466" s="4"/>
      <c r="FO466" s="4"/>
      <c r="FP466" s="4"/>
      <c r="FQ466" s="4"/>
      <c r="FR466" s="4"/>
      <c r="FS466" s="4"/>
      <c r="FT466" s="4"/>
      <c r="FU466" s="4"/>
      <c r="FV466" s="4"/>
      <c r="FW466" s="4"/>
      <c r="FX466" s="4"/>
      <c r="FY466" s="4"/>
      <c r="FZ466" s="4"/>
      <c r="GA466" s="4"/>
      <c r="GB466" s="4"/>
      <c r="GC466" s="4"/>
      <c r="GD466" s="4"/>
      <c r="GE466" s="4"/>
      <c r="GF466" s="4"/>
      <c r="GG466" s="4"/>
      <c r="GH466" s="4"/>
      <c r="GI466" s="4"/>
      <c r="GJ466" s="4"/>
      <c r="GK466" s="4"/>
      <c r="GL466" s="4"/>
      <c r="GM466" s="4"/>
      <c r="GN466" s="4"/>
      <c r="GO466" s="4"/>
      <c r="GP466" s="4"/>
      <c r="GQ466" s="4"/>
      <c r="GR466" s="4"/>
      <c r="GS466" s="4"/>
      <c r="GT466" s="4"/>
      <c r="GU466" s="4"/>
      <c r="GV466" s="4"/>
      <c r="GW466" s="4"/>
      <c r="GX466" s="4"/>
    </row>
    <row r="467">
      <c r="A467" s="2" t="s">
        <v>3106</v>
      </c>
      <c r="B467" s="2" t="s">
        <v>697</v>
      </c>
      <c r="C467" s="2" t="s">
        <v>1981</v>
      </c>
      <c r="D467" s="2" t="s">
        <v>1982</v>
      </c>
      <c r="E467" s="2" t="s">
        <v>1983</v>
      </c>
      <c r="F467" s="2" t="s">
        <v>3094</v>
      </c>
      <c r="G467" s="2" t="s">
        <v>3094</v>
      </c>
      <c r="H467" s="2" t="s">
        <v>3094</v>
      </c>
      <c r="I467" s="2" t="s">
        <v>1985</v>
      </c>
      <c r="J467" s="2" t="s">
        <v>252</v>
      </c>
      <c r="K467" s="2" t="s">
        <v>1428</v>
      </c>
      <c r="L467" s="3">
        <v>69.56</v>
      </c>
      <c r="M467" s="3">
        <v>73.04</v>
      </c>
      <c r="N467" s="3">
        <v>149.99</v>
      </c>
      <c r="O467" s="2" t="s">
        <v>224</v>
      </c>
      <c r="P467" s="2" t="s">
        <v>225</v>
      </c>
      <c r="Q467" s="2" t="s">
        <v>226</v>
      </c>
      <c r="R467" s="2" t="s">
        <v>227</v>
      </c>
      <c r="S467" s="2" t="s">
        <v>227</v>
      </c>
      <c r="T467" s="2" t="s">
        <v>2807</v>
      </c>
      <c r="U467" s="2" t="s">
        <v>552</v>
      </c>
      <c r="V467" s="2" t="s">
        <v>230</v>
      </c>
      <c r="W467" s="2" t="s">
        <v>231</v>
      </c>
      <c r="X467" s="2" t="s">
        <v>227</v>
      </c>
      <c r="Y467" s="2" t="s">
        <v>3101</v>
      </c>
      <c r="Z467" s="4">
        <v>240</v>
      </c>
      <c r="AA467" s="4">
        <f>=ROUNDDOWN(29.2682926829268,0)</f>
      </c>
      <c r="AB467" s="5">
        <v>8.2</v>
      </c>
      <c r="AC467" s="2" t="s">
        <v>708</v>
      </c>
      <c r="AD467" s="4">
        <v>160</v>
      </c>
      <c r="AE467" s="4">
        <v>300</v>
      </c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227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227</v>
      </c>
      <c r="AW467" s="8" t="s">
        <v>227</v>
      </c>
      <c r="AX467" s="4" t="s">
        <v>227</v>
      </c>
      <c r="AY467" s="8" t="s">
        <v>227</v>
      </c>
      <c r="AZ467" s="7" t="s">
        <v>227</v>
      </c>
      <c r="BA467" s="7" t="s">
        <v>227</v>
      </c>
      <c r="BB467" s="7"/>
      <c r="BC467" s="4" t="s">
        <v>227</v>
      </c>
      <c r="BD467" s="8" t="s">
        <v>227</v>
      </c>
      <c r="BE467" s="4" t="s">
        <v>227</v>
      </c>
      <c r="BF467" s="8" t="s">
        <v>227</v>
      </c>
      <c r="BG467" s="7" t="s">
        <v>227</v>
      </c>
      <c r="BH467" s="7" t="s">
        <v>227</v>
      </c>
      <c r="BI467" s="7"/>
      <c r="BJ467" s="4">
        <v>9</v>
      </c>
      <c r="BK467" s="8">
        <v>671.99</v>
      </c>
      <c r="BL467" s="2" t="s">
        <v>3107</v>
      </c>
      <c r="BM467" s="7"/>
      <c r="BN467" s="7"/>
      <c r="BO467" s="4"/>
      <c r="BP467" s="8"/>
      <c r="BQ467" s="4"/>
      <c r="BR467" s="8"/>
      <c r="BS467" s="7"/>
      <c r="BT467" s="7"/>
      <c r="BU467" s="2" t="s">
        <v>3108</v>
      </c>
      <c r="BV467" s="2" t="s">
        <v>227</v>
      </c>
      <c r="BW467" s="2" t="s">
        <v>227</v>
      </c>
      <c r="BX467" s="2" t="s">
        <v>2104</v>
      </c>
      <c r="BY467" s="2" t="s">
        <v>236</v>
      </c>
      <c r="BZ467" s="2" t="s">
        <v>224</v>
      </c>
      <c r="CA467" s="2" t="s">
        <v>3104</v>
      </c>
      <c r="CB467" s="2" t="s">
        <v>3109</v>
      </c>
      <c r="CC467" s="2" t="s">
        <v>239</v>
      </c>
      <c r="CD467" s="2" t="s">
        <v>227</v>
      </c>
      <c r="CE467" s="4">
        <v>240</v>
      </c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>
        <v>160</v>
      </c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/>
      <c r="EZ467" s="4">
        <v>140</v>
      </c>
      <c r="FA467" s="4"/>
      <c r="FB467" s="4"/>
      <c r="FC467" s="4"/>
      <c r="FD467" s="4"/>
      <c r="FE467" s="4"/>
      <c r="FF467" s="4"/>
      <c r="FG467" s="4"/>
      <c r="FH467" s="4"/>
      <c r="FI467" s="4"/>
      <c r="FJ467" s="4"/>
      <c r="FK467" s="4"/>
      <c r="FL467" s="4"/>
      <c r="FM467" s="4"/>
      <c r="FN467" s="4"/>
      <c r="FO467" s="4"/>
      <c r="FP467" s="4"/>
      <c r="FQ467" s="4"/>
      <c r="FR467" s="4"/>
      <c r="FS467" s="4"/>
      <c r="FT467" s="4"/>
      <c r="FU467" s="4"/>
      <c r="FV467" s="4"/>
      <c r="FW467" s="4"/>
      <c r="FX467" s="4"/>
      <c r="FY467" s="4"/>
      <c r="FZ467" s="4"/>
      <c r="GA467" s="4"/>
      <c r="GB467" s="4"/>
      <c r="GC467" s="4"/>
      <c r="GD467" s="4"/>
      <c r="GE467" s="4"/>
      <c r="GF467" s="4"/>
      <c r="GG467" s="4"/>
      <c r="GH467" s="4"/>
      <c r="GI467" s="4"/>
      <c r="GJ467" s="4"/>
      <c r="GK467" s="4"/>
      <c r="GL467" s="4"/>
      <c r="GM467" s="4"/>
      <c r="GN467" s="4"/>
      <c r="GO467" s="4"/>
      <c r="GP467" s="4"/>
      <c r="GQ467" s="4"/>
      <c r="GR467" s="4"/>
      <c r="GS467" s="4"/>
      <c r="GT467" s="4"/>
      <c r="GU467" s="4"/>
      <c r="GV467" s="4"/>
      <c r="GW467" s="4"/>
      <c r="GX467" s="4"/>
    </row>
    <row r="468">
      <c r="A468" s="2" t="s">
        <v>3110</v>
      </c>
      <c r="B468" s="2" t="s">
        <v>697</v>
      </c>
      <c r="C468" s="2" t="s">
        <v>1981</v>
      </c>
      <c r="D468" s="2" t="s">
        <v>1982</v>
      </c>
      <c r="E468" s="2" t="s">
        <v>1983</v>
      </c>
      <c r="F468" s="2" t="s">
        <v>3094</v>
      </c>
      <c r="G468" s="2" t="s">
        <v>3094</v>
      </c>
      <c r="H468" s="2" t="s">
        <v>3094</v>
      </c>
      <c r="I468" s="2" t="s">
        <v>1985</v>
      </c>
      <c r="J468" s="2" t="s">
        <v>257</v>
      </c>
      <c r="K468" s="2" t="s">
        <v>1428</v>
      </c>
      <c r="L468" s="3">
        <v>75.13</v>
      </c>
      <c r="M468" s="3">
        <v>78.89</v>
      </c>
      <c r="N468" s="3">
        <v>159.99</v>
      </c>
      <c r="O468" s="2" t="s">
        <v>224</v>
      </c>
      <c r="P468" s="2" t="s">
        <v>225</v>
      </c>
      <c r="Q468" s="2" t="s">
        <v>226</v>
      </c>
      <c r="R468" s="2" t="s">
        <v>227</v>
      </c>
      <c r="S468" s="2" t="s">
        <v>227</v>
      </c>
      <c r="T468" s="2" t="s">
        <v>2807</v>
      </c>
      <c r="U468" s="2" t="s">
        <v>552</v>
      </c>
      <c r="V468" s="2" t="s">
        <v>230</v>
      </c>
      <c r="W468" s="2" t="s">
        <v>231</v>
      </c>
      <c r="X468" s="2" t="s">
        <v>227</v>
      </c>
      <c r="Y468" s="2" t="s">
        <v>3101</v>
      </c>
      <c r="Z468" s="4">
        <v>460</v>
      </c>
      <c r="AA468" s="4">
        <f>=ROUNDDOWN(46,0)</f>
      </c>
      <c r="AB468" s="5">
        <v>10</v>
      </c>
      <c r="AC468" s="2" t="s">
        <v>227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227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227</v>
      </c>
      <c r="AW468" s="8" t="s">
        <v>227</v>
      </c>
      <c r="AX468" s="4" t="s">
        <v>227</v>
      </c>
      <c r="AY468" s="8" t="s">
        <v>227</v>
      </c>
      <c r="AZ468" s="7" t="s">
        <v>227</v>
      </c>
      <c r="BA468" s="7" t="s">
        <v>227</v>
      </c>
      <c r="BB468" s="7"/>
      <c r="BC468" s="4" t="s">
        <v>227</v>
      </c>
      <c r="BD468" s="8" t="s">
        <v>227</v>
      </c>
      <c r="BE468" s="4" t="s">
        <v>227</v>
      </c>
      <c r="BF468" s="8" t="s">
        <v>227</v>
      </c>
      <c r="BG468" s="7" t="s">
        <v>227</v>
      </c>
      <c r="BH468" s="7" t="s">
        <v>227</v>
      </c>
      <c r="BI468" s="7"/>
      <c r="BJ468" s="4">
        <v>6</v>
      </c>
      <c r="BK468" s="8">
        <v>492.46</v>
      </c>
      <c r="BL468" s="2" t="s">
        <v>3111</v>
      </c>
      <c r="BM468" s="7"/>
      <c r="BN468" s="7"/>
      <c r="BO468" s="4"/>
      <c r="BP468" s="8"/>
      <c r="BQ468" s="4"/>
      <c r="BR468" s="8"/>
      <c r="BS468" s="7"/>
      <c r="BT468" s="7"/>
      <c r="BU468" s="2" t="s">
        <v>3112</v>
      </c>
      <c r="BV468" s="2" t="s">
        <v>227</v>
      </c>
      <c r="BW468" s="2" t="s">
        <v>227</v>
      </c>
      <c r="BX468" s="2" t="s">
        <v>2104</v>
      </c>
      <c r="BY468" s="2" t="s">
        <v>236</v>
      </c>
      <c r="BZ468" s="2" t="s">
        <v>224</v>
      </c>
      <c r="CA468" s="2" t="s">
        <v>3104</v>
      </c>
      <c r="CB468" s="2" t="s">
        <v>3113</v>
      </c>
      <c r="CC468" s="2" t="s">
        <v>239</v>
      </c>
      <c r="CD468" s="2" t="s">
        <v>227</v>
      </c>
      <c r="CE468" s="4">
        <v>460</v>
      </c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/>
      <c r="FG468" s="4"/>
      <c r="FH468" s="4"/>
      <c r="FI468" s="4"/>
      <c r="FJ468" s="4"/>
      <c r="FK468" s="4"/>
      <c r="FL468" s="4"/>
      <c r="FM468" s="4"/>
      <c r="FN468" s="4"/>
      <c r="FO468" s="4"/>
      <c r="FP468" s="4"/>
      <c r="FQ468" s="4"/>
      <c r="FR468" s="4"/>
      <c r="FS468" s="4"/>
      <c r="FT468" s="4"/>
      <c r="FU468" s="4"/>
      <c r="FV468" s="4"/>
      <c r="FW468" s="4"/>
      <c r="FX468" s="4"/>
      <c r="FY468" s="4"/>
      <c r="FZ468" s="4"/>
      <c r="GA468" s="4"/>
      <c r="GB468" s="4"/>
      <c r="GC468" s="4"/>
      <c r="GD468" s="4"/>
      <c r="GE468" s="4"/>
      <c r="GF468" s="4"/>
      <c r="GG468" s="4"/>
      <c r="GH468" s="4"/>
      <c r="GI468" s="4"/>
      <c r="GJ468" s="4"/>
      <c r="GK468" s="4"/>
      <c r="GL468" s="4"/>
      <c r="GM468" s="4"/>
      <c r="GN468" s="4"/>
      <c r="GO468" s="4"/>
      <c r="GP468" s="4"/>
      <c r="GQ468" s="4"/>
      <c r="GR468" s="4"/>
      <c r="GS468" s="4"/>
      <c r="GT468" s="4"/>
      <c r="GU468" s="4"/>
      <c r="GV468" s="4"/>
      <c r="GW468" s="4"/>
      <c r="GX468" s="4"/>
    </row>
    <row r="469">
      <c r="A469" s="2" t="s">
        <v>3114</v>
      </c>
      <c r="B469" s="2" t="s">
        <v>697</v>
      </c>
      <c r="C469" s="2" t="s">
        <v>1981</v>
      </c>
      <c r="D469" s="2" t="s">
        <v>1982</v>
      </c>
      <c r="E469" s="2" t="s">
        <v>1983</v>
      </c>
      <c r="F469" s="2" t="s">
        <v>3094</v>
      </c>
      <c r="G469" s="2" t="s">
        <v>3094</v>
      </c>
      <c r="H469" s="2" t="s">
        <v>3094</v>
      </c>
      <c r="I469" s="2" t="s">
        <v>1985</v>
      </c>
      <c r="J469" s="2" t="s">
        <v>222</v>
      </c>
      <c r="K469" s="2" t="s">
        <v>1780</v>
      </c>
      <c r="L469" s="3">
        <v>41.73</v>
      </c>
      <c r="M469" s="3">
        <v>43.82</v>
      </c>
      <c r="N469" s="3">
        <v>89.99</v>
      </c>
      <c r="O469" s="2" t="s">
        <v>224</v>
      </c>
      <c r="P469" s="2" t="s">
        <v>225</v>
      </c>
      <c r="Q469" s="2" t="s">
        <v>226</v>
      </c>
      <c r="R469" s="2" t="s">
        <v>227</v>
      </c>
      <c r="S469" s="2" t="s">
        <v>227</v>
      </c>
      <c r="T469" s="2" t="s">
        <v>2807</v>
      </c>
      <c r="U469" s="2" t="s">
        <v>552</v>
      </c>
      <c r="V469" s="2" t="s">
        <v>230</v>
      </c>
      <c r="W469" s="2" t="s">
        <v>231</v>
      </c>
      <c r="X469" s="2" t="s">
        <v>227</v>
      </c>
      <c r="Y469" s="2" t="s">
        <v>3101</v>
      </c>
      <c r="Z469" s="4">
        <v>209</v>
      </c>
      <c r="AA469" s="4">
        <f>=ROUNDDOWN(26.125,0)</f>
      </c>
      <c r="AB469" s="5">
        <v>8</v>
      </c>
      <c r="AC469" s="2" t="s">
        <v>2866</v>
      </c>
      <c r="AD469" s="4">
        <v>150</v>
      </c>
      <c r="AE469" s="4">
        <v>150</v>
      </c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227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 t="s">
        <v>227</v>
      </c>
      <c r="BD469" s="8" t="s">
        <v>227</v>
      </c>
      <c r="BE469" s="4" t="s">
        <v>227</v>
      </c>
      <c r="BF469" s="8" t="s">
        <v>227</v>
      </c>
      <c r="BG469" s="7" t="s">
        <v>227</v>
      </c>
      <c r="BH469" s="7" t="s">
        <v>227</v>
      </c>
      <c r="BI469" s="7"/>
      <c r="BJ469" s="4">
        <v>1</v>
      </c>
      <c r="BK469" s="8">
        <v>44.76</v>
      </c>
      <c r="BL469" s="2" t="s">
        <v>3111</v>
      </c>
      <c r="BM469" s="7"/>
      <c r="BN469" s="7"/>
      <c r="BO469" s="4"/>
      <c r="BP469" s="8"/>
      <c r="BQ469" s="4"/>
      <c r="BR469" s="8"/>
      <c r="BS469" s="7"/>
      <c r="BT469" s="7"/>
      <c r="BU469" s="2" t="s">
        <v>3115</v>
      </c>
      <c r="BV469" s="2" t="s">
        <v>227</v>
      </c>
      <c r="BW469" s="2" t="s">
        <v>227</v>
      </c>
      <c r="BX469" s="2" t="s">
        <v>2104</v>
      </c>
      <c r="BY469" s="2" t="s">
        <v>236</v>
      </c>
      <c r="BZ469" s="2" t="s">
        <v>224</v>
      </c>
      <c r="CA469" s="2" t="s">
        <v>3104</v>
      </c>
      <c r="CB469" s="2" t="s">
        <v>3116</v>
      </c>
      <c r="CC469" s="2" t="s">
        <v>239</v>
      </c>
      <c r="CD469" s="2" t="s">
        <v>227</v>
      </c>
      <c r="CE469" s="4">
        <v>209</v>
      </c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>
        <v>150</v>
      </c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/>
      <c r="FH469" s="4"/>
      <c r="FI469" s="4"/>
      <c r="FJ469" s="4"/>
      <c r="FK469" s="4"/>
      <c r="FL469" s="4"/>
      <c r="FM469" s="4"/>
      <c r="FN469" s="4"/>
      <c r="FO469" s="4"/>
      <c r="FP469" s="4"/>
      <c r="FQ469" s="4"/>
      <c r="FR469" s="4"/>
      <c r="FS469" s="4"/>
      <c r="FT469" s="4"/>
      <c r="FU469" s="4"/>
      <c r="FV469" s="4"/>
      <c r="FW469" s="4"/>
      <c r="FX469" s="4"/>
      <c r="FY469" s="4"/>
      <c r="FZ469" s="4"/>
      <c r="GA469" s="4"/>
      <c r="GB469" s="4"/>
      <c r="GC469" s="4"/>
      <c r="GD469" s="4"/>
      <c r="GE469" s="4"/>
      <c r="GF469" s="4"/>
      <c r="GG469" s="4"/>
      <c r="GH469" s="4"/>
      <c r="GI469" s="4"/>
      <c r="GJ469" s="4"/>
      <c r="GK469" s="4"/>
      <c r="GL469" s="4"/>
      <c r="GM469" s="4"/>
      <c r="GN469" s="4"/>
      <c r="GO469" s="4"/>
      <c r="GP469" s="4"/>
      <c r="GQ469" s="4"/>
      <c r="GR469" s="4"/>
      <c r="GS469" s="4"/>
      <c r="GT469" s="4"/>
      <c r="GU469" s="4"/>
      <c r="GV469" s="4"/>
      <c r="GW469" s="4"/>
      <c r="GX469" s="4"/>
    </row>
    <row r="470">
      <c r="A470" s="2" t="s">
        <v>3117</v>
      </c>
      <c r="B470" s="2" t="s">
        <v>573</v>
      </c>
      <c r="C470" s="2" t="s">
        <v>668</v>
      </c>
      <c r="D470" s="2" t="s">
        <v>3118</v>
      </c>
      <c r="E470" s="2" t="s">
        <v>3119</v>
      </c>
      <c r="F470" s="2" t="s">
        <v>3120</v>
      </c>
      <c r="G470" s="2" t="s">
        <v>3120</v>
      </c>
      <c r="H470" s="2" t="s">
        <v>3120</v>
      </c>
      <c r="I470" s="2" t="s">
        <v>3119</v>
      </c>
      <c r="J470" s="2" t="s">
        <v>548</v>
      </c>
      <c r="K470" s="2" t="s">
        <v>1428</v>
      </c>
      <c r="L470" s="3">
        <v>115.2</v>
      </c>
      <c r="M470" s="3">
        <v>120.96</v>
      </c>
      <c r="N470" s="3">
        <v>249</v>
      </c>
      <c r="O470" s="2" t="s">
        <v>224</v>
      </c>
      <c r="P470" s="2" t="s">
        <v>580</v>
      </c>
      <c r="Q470" s="2" t="s">
        <v>226</v>
      </c>
      <c r="R470" s="2" t="s">
        <v>227</v>
      </c>
      <c r="S470" s="2" t="s">
        <v>227</v>
      </c>
      <c r="T470" s="2" t="s">
        <v>227</v>
      </c>
      <c r="U470" s="2" t="s">
        <v>552</v>
      </c>
      <c r="V470" s="2" t="s">
        <v>566</v>
      </c>
      <c r="W470" s="2" t="s">
        <v>231</v>
      </c>
      <c r="X470" s="2" t="s">
        <v>836</v>
      </c>
      <c r="Y470" s="2" t="s">
        <v>3121</v>
      </c>
      <c r="Z470" s="4">
        <v>72</v>
      </c>
      <c r="AA470" s="4">
        <f>=ROUNDDOWN(72,0)</f>
      </c>
      <c r="AB470" s="5">
        <v>1</v>
      </c>
      <c r="AC470" s="2" t="s">
        <v>227</v>
      </c>
      <c r="AD470" s="4"/>
      <c r="AE470" s="4"/>
      <c r="AF470" s="6">
        <v>74</v>
      </c>
      <c r="AG470" s="6"/>
      <c r="AH470" s="7">
        <v>1</v>
      </c>
      <c r="AI470" s="4"/>
      <c r="AJ470" s="4">
        <f>=ROUNDDOWN({0},0)</f>
      </c>
      <c r="AK470" s="5"/>
      <c r="AL470" s="2" t="s">
        <v>227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/>
      <c r="AW470" s="8"/>
      <c r="AX470" s="4"/>
      <c r="AY470" s="8"/>
      <c r="AZ470" s="7"/>
      <c r="BA470" s="7"/>
      <c r="BB470" s="7"/>
      <c r="BC470" s="4" t="s">
        <v>227</v>
      </c>
      <c r="BD470" s="8" t="s">
        <v>227</v>
      </c>
      <c r="BE470" s="4" t="s">
        <v>227</v>
      </c>
      <c r="BF470" s="8" t="s">
        <v>227</v>
      </c>
      <c r="BG470" s="7" t="s">
        <v>227</v>
      </c>
      <c r="BH470" s="7" t="s">
        <v>227</v>
      </c>
      <c r="BI470" s="7"/>
      <c r="BJ470" s="4"/>
      <c r="BK470" s="8"/>
      <c r="BL470" s="2" t="s">
        <v>227</v>
      </c>
      <c r="BM470" s="7"/>
      <c r="BN470" s="7"/>
      <c r="BO470" s="4"/>
      <c r="BP470" s="8"/>
      <c r="BQ470" s="4"/>
      <c r="BR470" s="8"/>
      <c r="BS470" s="7"/>
      <c r="BT470" s="7"/>
      <c r="BU470" s="2" t="s">
        <v>3122</v>
      </c>
      <c r="BV470" s="2" t="s">
        <v>227</v>
      </c>
      <c r="BW470" s="2" t="s">
        <v>227</v>
      </c>
      <c r="BX470" s="2" t="s">
        <v>235</v>
      </c>
      <c r="BY470" s="2" t="s">
        <v>236</v>
      </c>
      <c r="BZ470" s="2" t="s">
        <v>224</v>
      </c>
      <c r="CA470" s="2" t="s">
        <v>3123</v>
      </c>
      <c r="CB470" s="2" t="s">
        <v>1011</v>
      </c>
      <c r="CC470" s="2" t="s">
        <v>239</v>
      </c>
      <c r="CD470" s="2" t="s">
        <v>227</v>
      </c>
      <c r="CE470" s="4"/>
      <c r="CF470" s="4">
        <v>72</v>
      </c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  <c r="FG470" s="4"/>
      <c r="FH470" s="4"/>
      <c r="FI470" s="4"/>
      <c r="FJ470" s="4"/>
      <c r="FK470" s="4"/>
      <c r="FL470" s="4"/>
      <c r="FM470" s="4"/>
      <c r="FN470" s="4"/>
      <c r="FO470" s="4"/>
      <c r="FP470" s="4"/>
      <c r="FQ470" s="4"/>
      <c r="FR470" s="4"/>
      <c r="FS470" s="4"/>
      <c r="FT470" s="4"/>
      <c r="FU470" s="4"/>
      <c r="FV470" s="4"/>
      <c r="FW470" s="4"/>
      <c r="FX470" s="4"/>
      <c r="FY470" s="4"/>
      <c r="FZ470" s="4"/>
      <c r="GA470" s="4"/>
      <c r="GB470" s="4"/>
      <c r="GC470" s="4"/>
      <c r="GD470" s="4"/>
      <c r="GE470" s="4"/>
      <c r="GF470" s="4"/>
      <c r="GG470" s="4"/>
      <c r="GH470" s="4"/>
      <c r="GI470" s="4"/>
      <c r="GJ470" s="4"/>
      <c r="GK470" s="4"/>
      <c r="GL470" s="4"/>
      <c r="GM470" s="4"/>
      <c r="GN470" s="4"/>
      <c r="GO470" s="4"/>
      <c r="GP470" s="4"/>
      <c r="GQ470" s="4"/>
      <c r="GR470" s="4"/>
      <c r="GS470" s="4"/>
      <c r="GT470" s="4"/>
      <c r="GU470" s="4"/>
      <c r="GV470" s="4"/>
      <c r="GW470" s="4"/>
      <c r="GX470" s="4"/>
    </row>
    <row r="471">
      <c r="A471" s="2" t="s">
        <v>3124</v>
      </c>
      <c r="B471" s="2" t="s">
        <v>573</v>
      </c>
      <c r="C471" s="2" t="s">
        <v>668</v>
      </c>
      <c r="D471" s="2" t="s">
        <v>1230</v>
      </c>
      <c r="E471" s="2" t="s">
        <v>1231</v>
      </c>
      <c r="F471" s="2" t="s">
        <v>3120</v>
      </c>
      <c r="G471" s="2" t="s">
        <v>3120</v>
      </c>
      <c r="H471" s="2" t="s">
        <v>3120</v>
      </c>
      <c r="I471" s="2" t="s">
        <v>3125</v>
      </c>
      <c r="J471" s="2" t="s">
        <v>548</v>
      </c>
      <c r="K471" s="2" t="s">
        <v>3126</v>
      </c>
      <c r="L471" s="3">
        <v>215</v>
      </c>
      <c r="M471" s="3">
        <v>225.75</v>
      </c>
      <c r="N471" s="3">
        <v>449</v>
      </c>
      <c r="O471" s="2" t="s">
        <v>224</v>
      </c>
      <c r="P471" s="2" t="s">
        <v>225</v>
      </c>
      <c r="Q471" s="2" t="s">
        <v>226</v>
      </c>
      <c r="R471" s="2" t="s">
        <v>227</v>
      </c>
      <c r="S471" s="2" t="s">
        <v>227</v>
      </c>
      <c r="T471" s="2" t="s">
        <v>227</v>
      </c>
      <c r="U471" s="2" t="s">
        <v>1044</v>
      </c>
      <c r="V471" s="2" t="s">
        <v>566</v>
      </c>
      <c r="W471" s="2" t="s">
        <v>231</v>
      </c>
      <c r="X471" s="2" t="s">
        <v>836</v>
      </c>
      <c r="Y471" s="2" t="s">
        <v>3127</v>
      </c>
      <c r="Z471" s="4">
        <v>96</v>
      </c>
      <c r="AA471" s="4">
        <f>=ROUNDDOWN(26.6666666666667,0)</f>
      </c>
      <c r="AB471" s="5">
        <v>3.6</v>
      </c>
      <c r="AC471" s="2" t="s">
        <v>2484</v>
      </c>
      <c r="AD471" s="4">
        <v>110</v>
      </c>
      <c r="AE471" s="4">
        <v>110</v>
      </c>
      <c r="AF471" s="6">
        <v>74</v>
      </c>
      <c r="AG471" s="6"/>
      <c r="AH471" s="7">
        <v>1</v>
      </c>
      <c r="AI471" s="4"/>
      <c r="AJ471" s="4">
        <f>=ROUNDDOWN({0},0)</f>
      </c>
      <c r="AK471" s="5"/>
      <c r="AL471" s="2" t="s">
        <v>227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 t="s">
        <v>227</v>
      </c>
      <c r="BD471" s="8" t="s">
        <v>227</v>
      </c>
      <c r="BE471" s="4" t="s">
        <v>227</v>
      </c>
      <c r="BF471" s="8" t="s">
        <v>227</v>
      </c>
      <c r="BG471" s="7" t="s">
        <v>227</v>
      </c>
      <c r="BH471" s="7" t="s">
        <v>227</v>
      </c>
      <c r="BI471" s="7"/>
      <c r="BJ471" s="4">
        <v>12</v>
      </c>
      <c r="BK471" s="8">
        <v>2623.22</v>
      </c>
      <c r="BL471" s="2" t="s">
        <v>3128</v>
      </c>
      <c r="BM471" s="7"/>
      <c r="BN471" s="7"/>
      <c r="BO471" s="4"/>
      <c r="BP471" s="8"/>
      <c r="BQ471" s="4"/>
      <c r="BR471" s="8"/>
      <c r="BS471" s="7"/>
      <c r="BT471" s="7"/>
      <c r="BU471" s="2" t="s">
        <v>3129</v>
      </c>
      <c r="BV471" s="2" t="s">
        <v>227</v>
      </c>
      <c r="BW471" s="2" t="s">
        <v>227</v>
      </c>
      <c r="BX471" s="2" t="s">
        <v>235</v>
      </c>
      <c r="BY471" s="2" t="s">
        <v>236</v>
      </c>
      <c r="BZ471" s="2" t="s">
        <v>224</v>
      </c>
      <c r="CA471" s="2" t="s">
        <v>1289</v>
      </c>
      <c r="CB471" s="2" t="s">
        <v>3130</v>
      </c>
      <c r="CC471" s="2" t="s">
        <v>239</v>
      </c>
      <c r="CD471" s="2" t="s">
        <v>227</v>
      </c>
      <c r="CE471" s="4"/>
      <c r="CF471" s="4">
        <v>96</v>
      </c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>
        <v>110</v>
      </c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/>
      <c r="EP471" s="4"/>
      <c r="EQ471" s="4"/>
      <c r="ER471" s="4"/>
      <c r="ES471" s="4"/>
      <c r="ET471" s="4"/>
      <c r="EU471" s="4"/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/>
      <c r="FI471" s="4"/>
      <c r="FJ471" s="4"/>
      <c r="FK471" s="4"/>
      <c r="FL471" s="4"/>
      <c r="FM471" s="4"/>
      <c r="FN471" s="4"/>
      <c r="FO471" s="4"/>
      <c r="FP471" s="4"/>
      <c r="FQ471" s="4"/>
      <c r="FR471" s="4"/>
      <c r="FS471" s="4"/>
      <c r="FT471" s="4"/>
      <c r="FU471" s="4"/>
      <c r="FV471" s="4"/>
      <c r="FW471" s="4"/>
      <c r="FX471" s="4"/>
      <c r="FY471" s="4"/>
      <c r="FZ471" s="4"/>
      <c r="GA471" s="4"/>
      <c r="GB471" s="4"/>
      <c r="GC471" s="4"/>
      <c r="GD471" s="4"/>
      <c r="GE471" s="4"/>
      <c r="GF471" s="4"/>
      <c r="GG471" s="4"/>
      <c r="GH471" s="4"/>
      <c r="GI471" s="4"/>
      <c r="GJ471" s="4"/>
      <c r="GK471" s="4"/>
      <c r="GL471" s="4"/>
      <c r="GM471" s="4"/>
      <c r="GN471" s="4"/>
      <c r="GO471" s="4"/>
      <c r="GP471" s="4"/>
      <c r="GQ471" s="4"/>
      <c r="GR471" s="4"/>
      <c r="GS471" s="4"/>
      <c r="GT471" s="4"/>
      <c r="GU471" s="4"/>
      <c r="GV471" s="4"/>
      <c r="GW471" s="4"/>
      <c r="GX471" s="4"/>
    </row>
    <row r="472">
      <c r="A472" s="2" t="s">
        <v>3131</v>
      </c>
      <c r="B472" s="2" t="s">
        <v>542</v>
      </c>
      <c r="C472" s="2" t="s">
        <v>543</v>
      </c>
      <c r="D472" s="2" t="s">
        <v>1052</v>
      </c>
      <c r="E472" s="2" t="s">
        <v>545</v>
      </c>
      <c r="F472" s="2" t="s">
        <v>3132</v>
      </c>
      <c r="G472" s="2" t="s">
        <v>3132</v>
      </c>
      <c r="H472" s="2" t="s">
        <v>3132</v>
      </c>
      <c r="I472" s="2" t="s">
        <v>3133</v>
      </c>
      <c r="J472" s="2" t="s">
        <v>548</v>
      </c>
      <c r="K472" s="2" t="s">
        <v>549</v>
      </c>
      <c r="L472" s="3">
        <v>29.92</v>
      </c>
      <c r="M472" s="3">
        <v>31.42</v>
      </c>
      <c r="N472" s="3">
        <v>63.74</v>
      </c>
      <c r="O472" s="2" t="s">
        <v>224</v>
      </c>
      <c r="P472" s="2" t="s">
        <v>225</v>
      </c>
      <c r="Q472" s="2" t="s">
        <v>226</v>
      </c>
      <c r="R472" s="2" t="s">
        <v>227</v>
      </c>
      <c r="S472" s="2" t="s">
        <v>227</v>
      </c>
      <c r="T472" s="2" t="s">
        <v>227</v>
      </c>
      <c r="U472" s="2" t="s">
        <v>1044</v>
      </c>
      <c r="V472" s="2" t="s">
        <v>301</v>
      </c>
      <c r="W472" s="2" t="s">
        <v>581</v>
      </c>
      <c r="X472" s="2" t="s">
        <v>554</v>
      </c>
      <c r="Y472" s="2" t="s">
        <v>1223</v>
      </c>
      <c r="Z472" s="4">
        <v>64</v>
      </c>
      <c r="AA472" s="4">
        <f>=ROUNDDOWN(10.6666666666667,0)</f>
      </c>
      <c r="AB472" s="5">
        <v>6</v>
      </c>
      <c r="AC472" s="2" t="s">
        <v>2866</v>
      </c>
      <c r="AD472" s="4">
        <v>100</v>
      </c>
      <c r="AE472" s="4">
        <v>100</v>
      </c>
      <c r="AF472" s="6">
        <v>63</v>
      </c>
      <c r="AG472" s="6"/>
      <c r="AH472" s="7">
        <v>1</v>
      </c>
      <c r="AI472" s="4"/>
      <c r="AJ472" s="4">
        <f>=ROUNDDOWN({0},0)</f>
      </c>
      <c r="AK472" s="5"/>
      <c r="AL472" s="2" t="s">
        <v>227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/>
      <c r="AW472" s="8"/>
      <c r="AX472" s="4"/>
      <c r="AY472" s="8"/>
      <c r="AZ472" s="7"/>
      <c r="BA472" s="7"/>
      <c r="BB472" s="7"/>
      <c r="BC472" s="4"/>
      <c r="BD472" s="8"/>
      <c r="BE472" s="4"/>
      <c r="BF472" s="8"/>
      <c r="BG472" s="7"/>
      <c r="BH472" s="7"/>
      <c r="BI472" s="7"/>
      <c r="BJ472" s="4">
        <v>29</v>
      </c>
      <c r="BK472" s="8">
        <v>1008.31</v>
      </c>
      <c r="BL472" s="2" t="s">
        <v>3134</v>
      </c>
      <c r="BM472" s="7"/>
      <c r="BN472" s="7"/>
      <c r="BO472" s="4"/>
      <c r="BP472" s="8"/>
      <c r="BQ472" s="4"/>
      <c r="BR472" s="8"/>
      <c r="BS472" s="7"/>
      <c r="BT472" s="7"/>
      <c r="BU472" s="2" t="s">
        <v>3135</v>
      </c>
      <c r="BV472" s="2" t="s">
        <v>227</v>
      </c>
      <c r="BW472" s="2" t="s">
        <v>227</v>
      </c>
      <c r="BX472" s="2" t="s">
        <v>235</v>
      </c>
      <c r="BY472" s="2" t="s">
        <v>236</v>
      </c>
      <c r="BZ472" s="2" t="s">
        <v>224</v>
      </c>
      <c r="CA472" s="2" t="s">
        <v>3136</v>
      </c>
      <c r="CB472" s="2" t="s">
        <v>3137</v>
      </c>
      <c r="CC472" s="2" t="s">
        <v>239</v>
      </c>
      <c r="CD472" s="2" t="s">
        <v>227</v>
      </c>
      <c r="CE472" s="4"/>
      <c r="CF472" s="4">
        <v>64</v>
      </c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>
        <v>100</v>
      </c>
      <c r="EK472" s="4"/>
      <c r="EL472" s="4"/>
      <c r="EM472" s="4"/>
      <c r="EN472" s="4"/>
      <c r="EO472" s="4"/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/>
      <c r="FA472" s="4"/>
      <c r="FB472" s="4"/>
      <c r="FC472" s="4"/>
      <c r="FD472" s="4"/>
      <c r="FE472" s="4"/>
      <c r="FF472" s="4"/>
      <c r="FG472" s="4"/>
      <c r="FH472" s="4"/>
      <c r="FI472" s="4"/>
      <c r="FJ472" s="4"/>
      <c r="FK472" s="4"/>
      <c r="FL472" s="4"/>
      <c r="FM472" s="4"/>
      <c r="FN472" s="4"/>
      <c r="FO472" s="4"/>
      <c r="FP472" s="4"/>
      <c r="FQ472" s="4"/>
      <c r="FR472" s="4"/>
      <c r="FS472" s="4"/>
      <c r="FT472" s="4"/>
      <c r="FU472" s="4"/>
      <c r="FV472" s="4"/>
      <c r="FW472" s="4"/>
      <c r="FX472" s="4"/>
      <c r="FY472" s="4"/>
      <c r="FZ472" s="4"/>
      <c r="GA472" s="4"/>
      <c r="GB472" s="4"/>
      <c r="GC472" s="4"/>
      <c r="GD472" s="4"/>
      <c r="GE472" s="4"/>
      <c r="GF472" s="4"/>
      <c r="GG472" s="4"/>
      <c r="GH472" s="4"/>
      <c r="GI472" s="4"/>
      <c r="GJ472" s="4"/>
      <c r="GK472" s="4"/>
      <c r="GL472" s="4"/>
      <c r="GM472" s="4"/>
      <c r="GN472" s="4"/>
      <c r="GO472" s="4"/>
      <c r="GP472" s="4"/>
      <c r="GQ472" s="4"/>
      <c r="GR472" s="4"/>
      <c r="GS472" s="4"/>
      <c r="GT472" s="4"/>
      <c r="GU472" s="4"/>
      <c r="GV472" s="4"/>
      <c r="GW472" s="4"/>
      <c r="GX472" s="4"/>
    </row>
    <row r="473">
      <c r="A473" s="2" t="s">
        <v>3138</v>
      </c>
      <c r="B473" s="2" t="s">
        <v>697</v>
      </c>
      <c r="C473" s="2" t="s">
        <v>360</v>
      </c>
      <c r="D473" s="2" t="s">
        <v>1448</v>
      </c>
      <c r="E473" s="2" t="s">
        <v>1449</v>
      </c>
      <c r="F473" s="2" t="s">
        <v>3139</v>
      </c>
      <c r="G473" s="2" t="s">
        <v>3139</v>
      </c>
      <c r="H473" s="2" t="s">
        <v>3139</v>
      </c>
      <c r="I473" s="2" t="s">
        <v>3140</v>
      </c>
      <c r="J473" s="2" t="s">
        <v>222</v>
      </c>
      <c r="K473" s="2" t="s">
        <v>780</v>
      </c>
      <c r="L473" s="3">
        <v>18.39</v>
      </c>
      <c r="M473" s="3">
        <v>19.31</v>
      </c>
      <c r="N473" s="3">
        <v>34.99</v>
      </c>
      <c r="O473" s="2" t="s">
        <v>224</v>
      </c>
      <c r="P473" s="2" t="s">
        <v>225</v>
      </c>
      <c r="Q473" s="2" t="s">
        <v>226</v>
      </c>
      <c r="R473" s="2" t="s">
        <v>227</v>
      </c>
      <c r="S473" s="2" t="s">
        <v>3141</v>
      </c>
      <c r="T473" s="2" t="s">
        <v>286</v>
      </c>
      <c r="U473" s="2" t="s">
        <v>552</v>
      </c>
      <c r="V473" s="2" t="s">
        <v>230</v>
      </c>
      <c r="W473" s="2" t="s">
        <v>231</v>
      </c>
      <c r="X473" s="2" t="s">
        <v>227</v>
      </c>
      <c r="Y473" s="2" t="s">
        <v>1901</v>
      </c>
      <c r="Z473" s="4">
        <v>83</v>
      </c>
      <c r="AA473" s="4">
        <f>=ROUNDDOWN(6.38461538461538,0)</f>
      </c>
      <c r="AB473" s="5">
        <v>13</v>
      </c>
      <c r="AC473" s="2" t="s">
        <v>630</v>
      </c>
      <c r="AD473" s="4">
        <v>270</v>
      </c>
      <c r="AE473" s="4">
        <v>410</v>
      </c>
      <c r="AF473" s="6">
        <v>65</v>
      </c>
      <c r="AG473" s="6"/>
      <c r="AH473" s="7">
        <v>0.6129</v>
      </c>
      <c r="AI473" s="4"/>
      <c r="AJ473" s="4">
        <f>=ROUNDDOWN({0},0)</f>
      </c>
      <c r="AK473" s="5"/>
      <c r="AL473" s="2" t="s">
        <v>227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227</v>
      </c>
      <c r="AW473" s="8" t="s">
        <v>227</v>
      </c>
      <c r="AX473" s="4" t="s">
        <v>227</v>
      </c>
      <c r="AY473" s="8" t="s">
        <v>227</v>
      </c>
      <c r="AZ473" s="7" t="s">
        <v>227</v>
      </c>
      <c r="BA473" s="7" t="s">
        <v>227</v>
      </c>
      <c r="BB473" s="7"/>
      <c r="BC473" s="4" t="s">
        <v>227</v>
      </c>
      <c r="BD473" s="8" t="s">
        <v>227</v>
      </c>
      <c r="BE473" s="4" t="s">
        <v>227</v>
      </c>
      <c r="BF473" s="8" t="s">
        <v>227</v>
      </c>
      <c r="BG473" s="7" t="s">
        <v>227</v>
      </c>
      <c r="BH473" s="7" t="s">
        <v>227</v>
      </c>
      <c r="BI473" s="7"/>
      <c r="BJ473" s="4">
        <v>11</v>
      </c>
      <c r="BK473" s="8">
        <v>217.96</v>
      </c>
      <c r="BL473" s="2" t="s">
        <v>784</v>
      </c>
      <c r="BM473" s="7"/>
      <c r="BN473" s="7"/>
      <c r="BO473" s="4"/>
      <c r="BP473" s="8"/>
      <c r="BQ473" s="4"/>
      <c r="BR473" s="8"/>
      <c r="BS473" s="7"/>
      <c r="BT473" s="7"/>
      <c r="BU473" s="2" t="s">
        <v>3142</v>
      </c>
      <c r="BV473" s="2" t="s">
        <v>227</v>
      </c>
      <c r="BW473" s="2" t="s">
        <v>227</v>
      </c>
      <c r="BX473" s="2" t="s">
        <v>235</v>
      </c>
      <c r="BY473" s="2" t="s">
        <v>236</v>
      </c>
      <c r="BZ473" s="2" t="s">
        <v>224</v>
      </c>
      <c r="CA473" s="2" t="s">
        <v>1310</v>
      </c>
      <c r="CB473" s="2" t="s">
        <v>227</v>
      </c>
      <c r="CC473" s="2" t="s">
        <v>239</v>
      </c>
      <c r="CD473" s="2" t="s">
        <v>227</v>
      </c>
      <c r="CE473" s="4">
        <v>83</v>
      </c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>
        <v>270</v>
      </c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>
        <v>140</v>
      </c>
      <c r="EU473" s="4"/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/>
      <c r="FG473" s="4"/>
      <c r="FH473" s="4"/>
      <c r="FI473" s="4"/>
      <c r="FJ473" s="4"/>
      <c r="FK473" s="4"/>
      <c r="FL473" s="4"/>
      <c r="FM473" s="4"/>
      <c r="FN473" s="4"/>
      <c r="FO473" s="4"/>
      <c r="FP473" s="4"/>
      <c r="FQ473" s="4"/>
      <c r="FR473" s="4"/>
      <c r="FS473" s="4"/>
      <c r="FT473" s="4"/>
      <c r="FU473" s="4"/>
      <c r="FV473" s="4"/>
      <c r="FW473" s="4"/>
      <c r="FX473" s="4"/>
      <c r="FY473" s="4"/>
      <c r="FZ473" s="4"/>
      <c r="GA473" s="4"/>
      <c r="GB473" s="4"/>
      <c r="GC473" s="4"/>
      <c r="GD473" s="4"/>
      <c r="GE473" s="4"/>
      <c r="GF473" s="4"/>
      <c r="GG473" s="4"/>
      <c r="GH473" s="4"/>
      <c r="GI473" s="4"/>
      <c r="GJ473" s="4"/>
      <c r="GK473" s="4"/>
      <c r="GL473" s="4"/>
      <c r="GM473" s="4"/>
      <c r="GN473" s="4"/>
      <c r="GO473" s="4"/>
      <c r="GP473" s="4"/>
      <c r="GQ473" s="4"/>
      <c r="GR473" s="4"/>
      <c r="GS473" s="4"/>
      <c r="GT473" s="4"/>
      <c r="GU473" s="4"/>
      <c r="GV473" s="4"/>
      <c r="GW473" s="4"/>
      <c r="GX473" s="4"/>
    </row>
    <row r="474">
      <c r="A474" s="2" t="s">
        <v>3143</v>
      </c>
      <c r="B474" s="2" t="s">
        <v>697</v>
      </c>
      <c r="C474" s="2" t="s">
        <v>360</v>
      </c>
      <c r="D474" s="2" t="s">
        <v>1448</v>
      </c>
      <c r="E474" s="2" t="s">
        <v>1449</v>
      </c>
      <c r="F474" s="2" t="s">
        <v>3139</v>
      </c>
      <c r="G474" s="2" t="s">
        <v>3139</v>
      </c>
      <c r="H474" s="2" t="s">
        <v>3139</v>
      </c>
      <c r="I474" s="2" t="s">
        <v>3140</v>
      </c>
      <c r="J474" s="2" t="s">
        <v>257</v>
      </c>
      <c r="K474" s="2" t="s">
        <v>780</v>
      </c>
      <c r="L474" s="3">
        <v>24.14</v>
      </c>
      <c r="M474" s="3">
        <v>25.35</v>
      </c>
      <c r="N474" s="3">
        <v>44.99</v>
      </c>
      <c r="O474" s="2" t="s">
        <v>224</v>
      </c>
      <c r="P474" s="2" t="s">
        <v>225</v>
      </c>
      <c r="Q474" s="2" t="s">
        <v>226</v>
      </c>
      <c r="R474" s="2" t="s">
        <v>227</v>
      </c>
      <c r="S474" s="2" t="s">
        <v>3141</v>
      </c>
      <c r="T474" s="2" t="s">
        <v>286</v>
      </c>
      <c r="U474" s="2" t="s">
        <v>552</v>
      </c>
      <c r="V474" s="2" t="s">
        <v>230</v>
      </c>
      <c r="W474" s="2" t="s">
        <v>231</v>
      </c>
      <c r="X474" s="2" t="s">
        <v>227</v>
      </c>
      <c r="Y474" s="2" t="s">
        <v>1901</v>
      </c>
      <c r="Z474" s="4">
        <v>309</v>
      </c>
      <c r="AA474" s="4">
        <f>=ROUNDDOWN(25.75,0)</f>
      </c>
      <c r="AB474" s="5">
        <v>12</v>
      </c>
      <c r="AC474" s="2" t="s">
        <v>630</v>
      </c>
      <c r="AD474" s="4">
        <v>60</v>
      </c>
      <c r="AE474" s="4">
        <v>240</v>
      </c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227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227</v>
      </c>
      <c r="AW474" s="8" t="s">
        <v>227</v>
      </c>
      <c r="AX474" s="4" t="s">
        <v>227</v>
      </c>
      <c r="AY474" s="8" t="s">
        <v>227</v>
      </c>
      <c r="AZ474" s="7" t="s">
        <v>227</v>
      </c>
      <c r="BA474" s="7" t="s">
        <v>227</v>
      </c>
      <c r="BB474" s="7"/>
      <c r="BC474" s="4" t="s">
        <v>227</v>
      </c>
      <c r="BD474" s="8" t="s">
        <v>227</v>
      </c>
      <c r="BE474" s="4" t="s">
        <v>227</v>
      </c>
      <c r="BF474" s="8" t="s">
        <v>227</v>
      </c>
      <c r="BG474" s="7" t="s">
        <v>227</v>
      </c>
      <c r="BH474" s="7" t="s">
        <v>227</v>
      </c>
      <c r="BI474" s="7"/>
      <c r="BJ474" s="4">
        <v>32</v>
      </c>
      <c r="BK474" s="8">
        <v>713.85</v>
      </c>
      <c r="BL474" s="2" t="s">
        <v>3144</v>
      </c>
      <c r="BM474" s="7"/>
      <c r="BN474" s="7"/>
      <c r="BO474" s="4"/>
      <c r="BP474" s="8"/>
      <c r="BQ474" s="4"/>
      <c r="BR474" s="8"/>
      <c r="BS474" s="7"/>
      <c r="BT474" s="7"/>
      <c r="BU474" s="2" t="s">
        <v>3145</v>
      </c>
      <c r="BV474" s="2" t="s">
        <v>227</v>
      </c>
      <c r="BW474" s="2" t="s">
        <v>227</v>
      </c>
      <c r="BX474" s="2" t="s">
        <v>235</v>
      </c>
      <c r="BY474" s="2" t="s">
        <v>236</v>
      </c>
      <c r="BZ474" s="2" t="s">
        <v>224</v>
      </c>
      <c r="CA474" s="2" t="s">
        <v>1310</v>
      </c>
      <c r="CB474" s="2" t="s">
        <v>645</v>
      </c>
      <c r="CC474" s="2" t="s">
        <v>239</v>
      </c>
      <c r="CD474" s="2" t="s">
        <v>227</v>
      </c>
      <c r="CE474" s="4">
        <v>309</v>
      </c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>
        <v>60</v>
      </c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>
        <v>180</v>
      </c>
      <c r="EU474" s="4"/>
      <c r="EV474" s="4"/>
      <c r="EW474" s="4"/>
      <c r="EX474" s="4"/>
      <c r="EY474" s="4"/>
      <c r="EZ474" s="4"/>
      <c r="FA474" s="4"/>
      <c r="FB474" s="4"/>
      <c r="FC474" s="4"/>
      <c r="FD474" s="4"/>
      <c r="FE474" s="4"/>
      <c r="FF474" s="4"/>
      <c r="FG474" s="4"/>
      <c r="FH474" s="4"/>
      <c r="FI474" s="4"/>
      <c r="FJ474" s="4"/>
      <c r="FK474" s="4"/>
      <c r="FL474" s="4"/>
      <c r="FM474" s="4"/>
      <c r="FN474" s="4"/>
      <c r="FO474" s="4"/>
      <c r="FP474" s="4"/>
      <c r="FQ474" s="4"/>
      <c r="FR474" s="4"/>
      <c r="FS474" s="4"/>
      <c r="FT474" s="4"/>
      <c r="FU474" s="4"/>
      <c r="FV474" s="4"/>
      <c r="FW474" s="4"/>
      <c r="FX474" s="4"/>
      <c r="FY474" s="4"/>
      <c r="FZ474" s="4"/>
      <c r="GA474" s="4"/>
      <c r="GB474" s="4"/>
      <c r="GC474" s="4"/>
      <c r="GD474" s="4"/>
      <c r="GE474" s="4"/>
      <c r="GF474" s="4"/>
      <c r="GG474" s="4"/>
      <c r="GH474" s="4"/>
      <c r="GI474" s="4"/>
      <c r="GJ474" s="4"/>
      <c r="GK474" s="4"/>
      <c r="GL474" s="4"/>
      <c r="GM474" s="4"/>
      <c r="GN474" s="4"/>
      <c r="GO474" s="4"/>
      <c r="GP474" s="4"/>
      <c r="GQ474" s="4"/>
      <c r="GR474" s="4"/>
      <c r="GS474" s="4"/>
      <c r="GT474" s="4"/>
      <c r="GU474" s="4"/>
      <c r="GV474" s="4"/>
      <c r="GW474" s="4"/>
      <c r="GX474" s="4"/>
    </row>
    <row r="475">
      <c r="A475" s="2" t="s">
        <v>3146</v>
      </c>
      <c r="B475" s="2" t="s">
        <v>697</v>
      </c>
      <c r="C475" s="2" t="s">
        <v>360</v>
      </c>
      <c r="D475" s="2" t="s">
        <v>1448</v>
      </c>
      <c r="E475" s="2" t="s">
        <v>1449</v>
      </c>
      <c r="F475" s="2" t="s">
        <v>3139</v>
      </c>
      <c r="G475" s="2" t="s">
        <v>3139</v>
      </c>
      <c r="H475" s="2" t="s">
        <v>3139</v>
      </c>
      <c r="I475" s="2" t="s">
        <v>3140</v>
      </c>
      <c r="J475" s="2" t="s">
        <v>222</v>
      </c>
      <c r="K475" s="2" t="s">
        <v>410</v>
      </c>
      <c r="L475" s="3">
        <v>18.39</v>
      </c>
      <c r="M475" s="3">
        <v>19.31</v>
      </c>
      <c r="N475" s="3">
        <v>34.99</v>
      </c>
      <c r="O475" s="2" t="s">
        <v>224</v>
      </c>
      <c r="P475" s="2" t="s">
        <v>225</v>
      </c>
      <c r="Q475" s="2" t="s">
        <v>226</v>
      </c>
      <c r="R475" s="2" t="s">
        <v>227</v>
      </c>
      <c r="S475" s="2" t="s">
        <v>3147</v>
      </c>
      <c r="T475" s="2" t="s">
        <v>286</v>
      </c>
      <c r="U475" s="2" t="s">
        <v>227</v>
      </c>
      <c r="V475" s="2" t="s">
        <v>230</v>
      </c>
      <c r="W475" s="2" t="s">
        <v>231</v>
      </c>
      <c r="X475" s="2" t="s">
        <v>227</v>
      </c>
      <c r="Y475" s="2" t="s">
        <v>1582</v>
      </c>
      <c r="Z475" s="4">
        <v>283</v>
      </c>
      <c r="AA475" s="4">
        <f>=ROUNDDOWN(10.8846153846154,0)</f>
      </c>
      <c r="AB475" s="5">
        <v>26</v>
      </c>
      <c r="AC475" s="2" t="s">
        <v>2106</v>
      </c>
      <c r="AD475" s="4">
        <v>280</v>
      </c>
      <c r="AE475" s="4">
        <v>780</v>
      </c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227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227</v>
      </c>
      <c r="AW475" s="8" t="s">
        <v>227</v>
      </c>
      <c r="AX475" s="4" t="s">
        <v>227</v>
      </c>
      <c r="AY475" s="8" t="s">
        <v>227</v>
      </c>
      <c r="AZ475" s="7" t="s">
        <v>227</v>
      </c>
      <c r="BA475" s="7" t="s">
        <v>227</v>
      </c>
      <c r="BB475" s="7"/>
      <c r="BC475" s="4" t="s">
        <v>227</v>
      </c>
      <c r="BD475" s="8" t="s">
        <v>227</v>
      </c>
      <c r="BE475" s="4" t="s">
        <v>227</v>
      </c>
      <c r="BF475" s="8" t="s">
        <v>227</v>
      </c>
      <c r="BG475" s="7" t="s">
        <v>227</v>
      </c>
      <c r="BH475" s="7" t="s">
        <v>227</v>
      </c>
      <c r="BI475" s="7"/>
      <c r="BJ475" s="4">
        <v>64</v>
      </c>
      <c r="BK475" s="8">
        <v>964.26</v>
      </c>
      <c r="BL475" s="2" t="s">
        <v>3148</v>
      </c>
      <c r="BM475" s="7"/>
      <c r="BN475" s="7"/>
      <c r="BO475" s="4"/>
      <c r="BP475" s="8"/>
      <c r="BQ475" s="4"/>
      <c r="BR475" s="8"/>
      <c r="BS475" s="7"/>
      <c r="BT475" s="7"/>
      <c r="BU475" s="2" t="s">
        <v>3149</v>
      </c>
      <c r="BV475" s="2" t="s">
        <v>227</v>
      </c>
      <c r="BW475" s="2" t="s">
        <v>227</v>
      </c>
      <c r="BX475" s="2" t="s">
        <v>235</v>
      </c>
      <c r="BY475" s="2" t="s">
        <v>236</v>
      </c>
      <c r="BZ475" s="2" t="s">
        <v>224</v>
      </c>
      <c r="CA475" s="2" t="s">
        <v>237</v>
      </c>
      <c r="CB475" s="2" t="s">
        <v>3150</v>
      </c>
      <c r="CC475" s="2" t="s">
        <v>239</v>
      </c>
      <c r="CD475" s="2" t="s">
        <v>227</v>
      </c>
      <c r="CE475" s="4">
        <v>283</v>
      </c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>
        <v>280</v>
      </c>
      <c r="EC475" s="4"/>
      <c r="ED475" s="4"/>
      <c r="EE475" s="4"/>
      <c r="EF475" s="4"/>
      <c r="EG475" s="4"/>
      <c r="EH475" s="4"/>
      <c r="EI475" s="4"/>
      <c r="EJ475" s="4"/>
      <c r="EK475" s="4"/>
      <c r="EL475" s="4"/>
      <c r="EM475" s="4"/>
      <c r="EN475" s="4"/>
      <c r="EO475" s="4"/>
      <c r="EP475" s="4"/>
      <c r="EQ475" s="4"/>
      <c r="ER475" s="4"/>
      <c r="ES475" s="4"/>
      <c r="ET475" s="4">
        <v>320</v>
      </c>
      <c r="EU475" s="4"/>
      <c r="EV475" s="4"/>
      <c r="EW475" s="4"/>
      <c r="EX475" s="4"/>
      <c r="EY475" s="4"/>
      <c r="EZ475" s="4"/>
      <c r="FA475" s="4"/>
      <c r="FB475" s="4"/>
      <c r="FC475" s="4"/>
      <c r="FD475" s="4"/>
      <c r="FE475" s="4"/>
      <c r="FF475" s="4"/>
      <c r="FG475" s="4">
        <v>180</v>
      </c>
      <c r="FH475" s="4"/>
      <c r="FI475" s="4"/>
      <c r="FJ475" s="4"/>
      <c r="FK475" s="4"/>
      <c r="FL475" s="4"/>
      <c r="FM475" s="4"/>
      <c r="FN475" s="4"/>
      <c r="FO475" s="4"/>
      <c r="FP475" s="4"/>
      <c r="FQ475" s="4"/>
      <c r="FR475" s="4"/>
      <c r="FS475" s="4"/>
      <c r="FT475" s="4"/>
      <c r="FU475" s="4"/>
      <c r="FV475" s="4"/>
      <c r="FW475" s="4"/>
      <c r="FX475" s="4"/>
      <c r="FY475" s="4"/>
      <c r="FZ475" s="4"/>
      <c r="GA475" s="4"/>
      <c r="GB475" s="4"/>
      <c r="GC475" s="4"/>
      <c r="GD475" s="4"/>
      <c r="GE475" s="4"/>
      <c r="GF475" s="4"/>
      <c r="GG475" s="4"/>
      <c r="GH475" s="4"/>
      <c r="GI475" s="4"/>
      <c r="GJ475" s="4"/>
      <c r="GK475" s="4"/>
      <c r="GL475" s="4"/>
      <c r="GM475" s="4"/>
      <c r="GN475" s="4"/>
      <c r="GO475" s="4"/>
      <c r="GP475" s="4"/>
      <c r="GQ475" s="4"/>
      <c r="GR475" s="4"/>
      <c r="GS475" s="4"/>
      <c r="GT475" s="4"/>
      <c r="GU475" s="4"/>
      <c r="GV475" s="4"/>
      <c r="GW475" s="4"/>
      <c r="GX475" s="4"/>
    </row>
    <row r="476">
      <c r="A476" s="2" t="s">
        <v>3151</v>
      </c>
      <c r="B476" s="2" t="s">
        <v>697</v>
      </c>
      <c r="C476" s="2" t="s">
        <v>360</v>
      </c>
      <c r="D476" s="2" t="s">
        <v>1448</v>
      </c>
      <c r="E476" s="2" t="s">
        <v>1449</v>
      </c>
      <c r="F476" s="2" t="s">
        <v>3139</v>
      </c>
      <c r="G476" s="2" t="s">
        <v>3139</v>
      </c>
      <c r="H476" s="2" t="s">
        <v>3139</v>
      </c>
      <c r="I476" s="2" t="s">
        <v>3140</v>
      </c>
      <c r="J476" s="2" t="s">
        <v>257</v>
      </c>
      <c r="K476" s="2" t="s">
        <v>410</v>
      </c>
      <c r="L476" s="3">
        <v>24.14</v>
      </c>
      <c r="M476" s="3">
        <v>25.35</v>
      </c>
      <c r="N476" s="3">
        <v>44.99</v>
      </c>
      <c r="O476" s="2" t="s">
        <v>224</v>
      </c>
      <c r="P476" s="2" t="s">
        <v>225</v>
      </c>
      <c r="Q476" s="2" t="s">
        <v>226</v>
      </c>
      <c r="R476" s="2" t="s">
        <v>227</v>
      </c>
      <c r="S476" s="2" t="s">
        <v>3147</v>
      </c>
      <c r="T476" s="2" t="s">
        <v>286</v>
      </c>
      <c r="U476" s="2" t="s">
        <v>227</v>
      </c>
      <c r="V476" s="2" t="s">
        <v>230</v>
      </c>
      <c r="W476" s="2" t="s">
        <v>231</v>
      </c>
      <c r="X476" s="2" t="s">
        <v>227</v>
      </c>
      <c r="Y476" s="2" t="s">
        <v>232</v>
      </c>
      <c r="Z476" s="4">
        <v>178</v>
      </c>
      <c r="AA476" s="4">
        <f>=ROUNDDOWN(8.47619047619048,0)</f>
      </c>
      <c r="AB476" s="5">
        <v>21</v>
      </c>
      <c r="AC476" s="2" t="s">
        <v>2106</v>
      </c>
      <c r="AD476" s="4">
        <v>550</v>
      </c>
      <c r="AE476" s="4">
        <v>1200</v>
      </c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227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227</v>
      </c>
      <c r="AW476" s="8" t="s">
        <v>227</v>
      </c>
      <c r="AX476" s="4" t="s">
        <v>227</v>
      </c>
      <c r="AY476" s="8" t="s">
        <v>227</v>
      </c>
      <c r="AZ476" s="7" t="s">
        <v>227</v>
      </c>
      <c r="BA476" s="7" t="s">
        <v>227</v>
      </c>
      <c r="BB476" s="7"/>
      <c r="BC476" s="4" t="s">
        <v>227</v>
      </c>
      <c r="BD476" s="8" t="s">
        <v>227</v>
      </c>
      <c r="BE476" s="4" t="s">
        <v>227</v>
      </c>
      <c r="BF476" s="8" t="s">
        <v>227</v>
      </c>
      <c r="BG476" s="7" t="s">
        <v>227</v>
      </c>
      <c r="BH476" s="7" t="s">
        <v>227</v>
      </c>
      <c r="BI476" s="7"/>
      <c r="BJ476" s="4">
        <v>52</v>
      </c>
      <c r="BK476" s="8">
        <v>1146.56</v>
      </c>
      <c r="BL476" s="2" t="s">
        <v>3152</v>
      </c>
      <c r="BM476" s="7"/>
      <c r="BN476" s="7"/>
      <c r="BO476" s="4"/>
      <c r="BP476" s="8"/>
      <c r="BQ476" s="4"/>
      <c r="BR476" s="8"/>
      <c r="BS476" s="7"/>
      <c r="BT476" s="7"/>
      <c r="BU476" s="2" t="s">
        <v>3153</v>
      </c>
      <c r="BV476" s="2" t="s">
        <v>227</v>
      </c>
      <c r="BW476" s="2" t="s">
        <v>227</v>
      </c>
      <c r="BX476" s="2" t="s">
        <v>235</v>
      </c>
      <c r="BY476" s="2" t="s">
        <v>236</v>
      </c>
      <c r="BZ476" s="2" t="s">
        <v>224</v>
      </c>
      <c r="CA476" s="2" t="s">
        <v>237</v>
      </c>
      <c r="CB476" s="2" t="s">
        <v>3154</v>
      </c>
      <c r="CC476" s="2" t="s">
        <v>239</v>
      </c>
      <c r="CD476" s="2" t="s">
        <v>227</v>
      </c>
      <c r="CE476" s="4">
        <v>178</v>
      </c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>
        <v>550</v>
      </c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/>
      <c r="ET476" s="4">
        <v>200</v>
      </c>
      <c r="EU476" s="4"/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/>
      <c r="FG476" s="4">
        <v>250</v>
      </c>
      <c r="FH476" s="4"/>
      <c r="FI476" s="4"/>
      <c r="FJ476" s="4"/>
      <c r="FK476" s="4"/>
      <c r="FL476" s="4"/>
      <c r="FM476" s="4"/>
      <c r="FN476" s="4"/>
      <c r="FO476" s="4"/>
      <c r="FP476" s="4"/>
      <c r="FQ476" s="4"/>
      <c r="FR476" s="4"/>
      <c r="FS476" s="4"/>
      <c r="FT476" s="4"/>
      <c r="FU476" s="4"/>
      <c r="FV476" s="4"/>
      <c r="FW476" s="4"/>
      <c r="FX476" s="4"/>
      <c r="FY476" s="4"/>
      <c r="FZ476" s="4"/>
      <c r="GA476" s="4"/>
      <c r="GB476" s="4"/>
      <c r="GC476" s="4"/>
      <c r="GD476" s="4"/>
      <c r="GE476" s="4"/>
      <c r="GF476" s="4"/>
      <c r="GG476" s="4"/>
      <c r="GH476" s="4"/>
      <c r="GI476" s="4"/>
      <c r="GJ476" s="4"/>
      <c r="GK476" s="4"/>
      <c r="GL476" s="4"/>
      <c r="GM476" s="4"/>
      <c r="GN476" s="4"/>
      <c r="GO476" s="4">
        <v>200</v>
      </c>
      <c r="GP476" s="4"/>
      <c r="GQ476" s="4"/>
      <c r="GR476" s="4"/>
      <c r="GS476" s="4"/>
      <c r="GT476" s="4"/>
      <c r="GU476" s="4"/>
      <c r="GV476" s="4"/>
      <c r="GW476" s="4"/>
      <c r="GX476" s="4"/>
    </row>
    <row r="477">
      <c r="A477" s="2" t="s">
        <v>3155</v>
      </c>
      <c r="B477" s="2" t="s">
        <v>1001</v>
      </c>
      <c r="C477" s="2" t="s">
        <v>668</v>
      </c>
      <c r="D477" s="2" t="s">
        <v>1140</v>
      </c>
      <c r="E477" s="2" t="s">
        <v>1141</v>
      </c>
      <c r="F477" s="2" t="s">
        <v>3156</v>
      </c>
      <c r="G477" s="2" t="s">
        <v>3156</v>
      </c>
      <c r="H477" s="2" t="s">
        <v>3156</v>
      </c>
      <c r="I477" s="2" t="s">
        <v>3157</v>
      </c>
      <c r="J477" s="2" t="s">
        <v>548</v>
      </c>
      <c r="K477" s="2" t="s">
        <v>3158</v>
      </c>
      <c r="L477" s="3">
        <v>108.45</v>
      </c>
      <c r="M477" s="3">
        <v>113.87</v>
      </c>
      <c r="N477" s="3">
        <v>249.99</v>
      </c>
      <c r="O477" s="2" t="s">
        <v>224</v>
      </c>
      <c r="P477" s="2" t="s">
        <v>225</v>
      </c>
      <c r="Q477" s="2" t="s">
        <v>226</v>
      </c>
      <c r="R477" s="2" t="s">
        <v>227</v>
      </c>
      <c r="S477" s="2" t="s">
        <v>227</v>
      </c>
      <c r="T477" s="2" t="s">
        <v>227</v>
      </c>
      <c r="U477" s="2" t="s">
        <v>552</v>
      </c>
      <c r="V477" s="2" t="s">
        <v>566</v>
      </c>
      <c r="W477" s="2" t="s">
        <v>581</v>
      </c>
      <c r="X477" s="2" t="s">
        <v>227</v>
      </c>
      <c r="Y477" s="2" t="s">
        <v>3159</v>
      </c>
      <c r="Z477" s="4">
        <v>53</v>
      </c>
      <c r="AA477" s="4">
        <f>=ROUNDDOWN(53,0)</f>
      </c>
      <c r="AB477" s="5">
        <v>1</v>
      </c>
      <c r="AC477" s="2" t="s">
        <v>227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227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/>
      <c r="AW477" s="8"/>
      <c r="AX477" s="4"/>
      <c r="AY477" s="8"/>
      <c r="AZ477" s="7"/>
      <c r="BA477" s="7"/>
      <c r="BB477" s="7"/>
      <c r="BC477" s="4"/>
      <c r="BD477" s="8"/>
      <c r="BE477" s="4"/>
      <c r="BF477" s="8"/>
      <c r="BG477" s="7"/>
      <c r="BH477" s="7"/>
      <c r="BI477" s="7"/>
      <c r="BJ477" s="4">
        <v>2</v>
      </c>
      <c r="BK477" s="8">
        <v>227.74</v>
      </c>
      <c r="BL477" s="2" t="s">
        <v>3160</v>
      </c>
      <c r="BM477" s="7"/>
      <c r="BN477" s="7"/>
      <c r="BO477" s="4"/>
      <c r="BP477" s="8"/>
      <c r="BQ477" s="4"/>
      <c r="BR477" s="8"/>
      <c r="BS477" s="7"/>
      <c r="BT477" s="7"/>
      <c r="BU477" s="2" t="s">
        <v>3161</v>
      </c>
      <c r="BV477" s="2" t="s">
        <v>227</v>
      </c>
      <c r="BW477" s="2" t="s">
        <v>227</v>
      </c>
      <c r="BX477" s="2" t="s">
        <v>235</v>
      </c>
      <c r="BY477" s="2" t="s">
        <v>236</v>
      </c>
      <c r="BZ477" s="2" t="s">
        <v>224</v>
      </c>
      <c r="CA477" s="2" t="s">
        <v>3162</v>
      </c>
      <c r="CB477" s="2" t="s">
        <v>3163</v>
      </c>
      <c r="CC477" s="2" t="s">
        <v>239</v>
      </c>
      <c r="CD477" s="2" t="s">
        <v>227</v>
      </c>
      <c r="CE477" s="4"/>
      <c r="CF477" s="4">
        <v>53</v>
      </c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  <c r="EM477" s="4"/>
      <c r="EN477" s="4"/>
      <c r="EO477" s="4"/>
      <c r="EP477" s="4"/>
      <c r="EQ477" s="4"/>
      <c r="ER477" s="4"/>
      <c r="ES477" s="4"/>
      <c r="ET477" s="4"/>
      <c r="EU477" s="4"/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/>
      <c r="FH477" s="4"/>
      <c r="FI477" s="4"/>
      <c r="FJ477" s="4"/>
      <c r="FK477" s="4"/>
      <c r="FL477" s="4"/>
      <c r="FM477" s="4"/>
      <c r="FN477" s="4"/>
      <c r="FO477" s="4"/>
      <c r="FP477" s="4"/>
      <c r="FQ477" s="4"/>
      <c r="FR477" s="4"/>
      <c r="FS477" s="4"/>
      <c r="FT477" s="4"/>
      <c r="FU477" s="4"/>
      <c r="FV477" s="4"/>
      <c r="FW477" s="4"/>
      <c r="FX477" s="4"/>
      <c r="FY477" s="4"/>
      <c r="FZ477" s="4"/>
      <c r="GA477" s="4"/>
      <c r="GB477" s="4"/>
      <c r="GC477" s="4"/>
      <c r="GD477" s="4"/>
      <c r="GE477" s="4"/>
      <c r="GF477" s="4"/>
      <c r="GG477" s="4"/>
      <c r="GH477" s="4"/>
      <c r="GI477" s="4"/>
      <c r="GJ477" s="4"/>
      <c r="GK477" s="4"/>
      <c r="GL477" s="4"/>
      <c r="GM477" s="4"/>
      <c r="GN477" s="4"/>
      <c r="GO477" s="4"/>
      <c r="GP477" s="4"/>
      <c r="GQ477" s="4"/>
      <c r="GR477" s="4"/>
      <c r="GS477" s="4"/>
      <c r="GT477" s="4"/>
      <c r="GU477" s="4"/>
      <c r="GV477" s="4"/>
      <c r="GW477" s="4"/>
      <c r="GX477" s="4"/>
    </row>
    <row r="478">
      <c r="A478" s="2" t="s">
        <v>3164</v>
      </c>
      <c r="B478" s="2" t="s">
        <v>715</v>
      </c>
      <c r="C478" s="2" t="s">
        <v>360</v>
      </c>
      <c r="D478" s="2" t="s">
        <v>716</v>
      </c>
      <c r="E478" s="2" t="s">
        <v>1924</v>
      </c>
      <c r="F478" s="2" t="s">
        <v>3165</v>
      </c>
      <c r="G478" s="2" t="s">
        <v>3166</v>
      </c>
      <c r="H478" s="2" t="s">
        <v>3167</v>
      </c>
      <c r="I478" s="2" t="s">
        <v>3168</v>
      </c>
      <c r="J478" s="2" t="s">
        <v>3169</v>
      </c>
      <c r="K478" s="2" t="s">
        <v>223</v>
      </c>
      <c r="L478" s="3">
        <v>23.75</v>
      </c>
      <c r="M478" s="3">
        <v>24.94</v>
      </c>
      <c r="N478" s="3">
        <v>53.99</v>
      </c>
      <c r="O478" s="2" t="s">
        <v>224</v>
      </c>
      <c r="P478" s="2" t="s">
        <v>225</v>
      </c>
      <c r="Q478" s="2" t="s">
        <v>226</v>
      </c>
      <c r="R478" s="2" t="s">
        <v>227</v>
      </c>
      <c r="S478" s="2" t="s">
        <v>3170</v>
      </c>
      <c r="T478" s="2" t="s">
        <v>375</v>
      </c>
      <c r="U478" s="2" t="s">
        <v>552</v>
      </c>
      <c r="V478" s="2" t="s">
        <v>230</v>
      </c>
      <c r="W478" s="2" t="s">
        <v>231</v>
      </c>
      <c r="X478" s="2" t="s">
        <v>227</v>
      </c>
      <c r="Y478" s="2" t="s">
        <v>3171</v>
      </c>
      <c r="Z478" s="4">
        <v>145</v>
      </c>
      <c r="AA478" s="4">
        <f>=ROUNDDOWN(29,0)</f>
      </c>
      <c r="AB478" s="5">
        <v>5</v>
      </c>
      <c r="AC478" s="2" t="s">
        <v>155</v>
      </c>
      <c r="AD478" s="4">
        <v>60</v>
      </c>
      <c r="AE478" s="4">
        <v>124</v>
      </c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227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227</v>
      </c>
      <c r="AW478" s="8" t="s">
        <v>227</v>
      </c>
      <c r="AX478" s="4" t="s">
        <v>227</v>
      </c>
      <c r="AY478" s="8" t="s">
        <v>227</v>
      </c>
      <c r="AZ478" s="7" t="s">
        <v>227</v>
      </c>
      <c r="BA478" s="7" t="s">
        <v>227</v>
      </c>
      <c r="BB478" s="7"/>
      <c r="BC478" s="4" t="s">
        <v>227</v>
      </c>
      <c r="BD478" s="8" t="s">
        <v>227</v>
      </c>
      <c r="BE478" s="4" t="s">
        <v>227</v>
      </c>
      <c r="BF478" s="8" t="s">
        <v>227</v>
      </c>
      <c r="BG478" s="7" t="s">
        <v>227</v>
      </c>
      <c r="BH478" s="7" t="s">
        <v>227</v>
      </c>
      <c r="BI478" s="7"/>
      <c r="BJ478" s="4">
        <v>17</v>
      </c>
      <c r="BK478" s="8">
        <v>460.76</v>
      </c>
      <c r="BL478" s="2" t="s">
        <v>3172</v>
      </c>
      <c r="BM478" s="7"/>
      <c r="BN478" s="7"/>
      <c r="BO478" s="4"/>
      <c r="BP478" s="8"/>
      <c r="BQ478" s="4"/>
      <c r="BR478" s="8"/>
      <c r="BS478" s="7"/>
      <c r="BT478" s="7"/>
      <c r="BU478" s="2" t="s">
        <v>3173</v>
      </c>
      <c r="BV478" s="2" t="s">
        <v>227</v>
      </c>
      <c r="BW478" s="2" t="s">
        <v>227</v>
      </c>
      <c r="BX478" s="2" t="s">
        <v>2877</v>
      </c>
      <c r="BY478" s="2" t="s">
        <v>236</v>
      </c>
      <c r="BZ478" s="2" t="s">
        <v>224</v>
      </c>
      <c r="CA478" s="2" t="s">
        <v>3174</v>
      </c>
      <c r="CB478" s="2" t="s">
        <v>1851</v>
      </c>
      <c r="CC478" s="2" t="s">
        <v>239</v>
      </c>
      <c r="CD478" s="2" t="s">
        <v>227</v>
      </c>
      <c r="CE478" s="4">
        <v>91</v>
      </c>
      <c r="CF478" s="4"/>
      <c r="CG478" s="4"/>
      <c r="CH478" s="4"/>
      <c r="CI478" s="4"/>
      <c r="CJ478" s="4"/>
      <c r="CK478" s="4">
        <v>54</v>
      </c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>
        <v>60</v>
      </c>
      <c r="ER478" s="4"/>
      <c r="ES478" s="4"/>
      <c r="ET478" s="4"/>
      <c r="EU478" s="4"/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/>
      <c r="FG478" s="4"/>
      <c r="FH478" s="4"/>
      <c r="FI478" s="4"/>
      <c r="FJ478" s="4"/>
      <c r="FK478" s="4"/>
      <c r="FL478" s="4"/>
      <c r="FM478" s="4"/>
      <c r="FN478" s="4"/>
      <c r="FO478" s="4"/>
      <c r="FP478" s="4"/>
      <c r="FQ478" s="4"/>
      <c r="FR478" s="4"/>
      <c r="FS478" s="4"/>
      <c r="FT478" s="4"/>
      <c r="FU478" s="4"/>
      <c r="FV478" s="4"/>
      <c r="FW478" s="4">
        <v>64</v>
      </c>
      <c r="FX478" s="4"/>
      <c r="FY478" s="4"/>
      <c r="FZ478" s="4"/>
      <c r="GA478" s="4"/>
      <c r="GB478" s="4"/>
      <c r="GC478" s="4"/>
      <c r="GD478" s="4"/>
      <c r="GE478" s="4"/>
      <c r="GF478" s="4"/>
      <c r="GG478" s="4"/>
      <c r="GH478" s="4"/>
      <c r="GI478" s="4"/>
      <c r="GJ478" s="4"/>
      <c r="GK478" s="4"/>
      <c r="GL478" s="4"/>
      <c r="GM478" s="4"/>
      <c r="GN478" s="4"/>
      <c r="GO478" s="4"/>
      <c r="GP478" s="4"/>
      <c r="GQ478" s="4"/>
      <c r="GR478" s="4"/>
      <c r="GS478" s="4"/>
      <c r="GT478" s="4"/>
      <c r="GU478" s="4"/>
      <c r="GV478" s="4"/>
      <c r="GW478" s="4"/>
      <c r="GX478" s="4"/>
    </row>
    <row r="479">
      <c r="A479" s="2" t="s">
        <v>3175</v>
      </c>
      <c r="B479" s="2" t="s">
        <v>715</v>
      </c>
      <c r="C479" s="2" t="s">
        <v>360</v>
      </c>
      <c r="D479" s="2" t="s">
        <v>716</v>
      </c>
      <c r="E479" s="2" t="s">
        <v>1924</v>
      </c>
      <c r="F479" s="2" t="s">
        <v>3165</v>
      </c>
      <c r="G479" s="2" t="s">
        <v>3166</v>
      </c>
      <c r="H479" s="2" t="s">
        <v>3167</v>
      </c>
      <c r="I479" s="2" t="s">
        <v>3168</v>
      </c>
      <c r="J479" s="2" t="s">
        <v>3176</v>
      </c>
      <c r="K479" s="2" t="s">
        <v>223</v>
      </c>
      <c r="L479" s="3">
        <v>28.5</v>
      </c>
      <c r="M479" s="3">
        <v>29.93</v>
      </c>
      <c r="N479" s="3">
        <v>62.99</v>
      </c>
      <c r="O479" s="2" t="s">
        <v>224</v>
      </c>
      <c r="P479" s="2" t="s">
        <v>225</v>
      </c>
      <c r="Q479" s="2" t="s">
        <v>226</v>
      </c>
      <c r="R479" s="2" t="s">
        <v>227</v>
      </c>
      <c r="S479" s="2" t="s">
        <v>3170</v>
      </c>
      <c r="T479" s="2" t="s">
        <v>375</v>
      </c>
      <c r="U479" s="2" t="s">
        <v>552</v>
      </c>
      <c r="V479" s="2" t="s">
        <v>230</v>
      </c>
      <c r="W479" s="2" t="s">
        <v>231</v>
      </c>
      <c r="X479" s="2" t="s">
        <v>227</v>
      </c>
      <c r="Y479" s="2" t="s">
        <v>3171</v>
      </c>
      <c r="Z479" s="4">
        <v>116</v>
      </c>
      <c r="AA479" s="4">
        <f>=ROUNDDOWN(16.5714285714286,0)</f>
      </c>
      <c r="AB479" s="5">
        <v>7</v>
      </c>
      <c r="AC479" s="2" t="s">
        <v>155</v>
      </c>
      <c r="AD479" s="4">
        <v>78</v>
      </c>
      <c r="AE479" s="4">
        <v>146</v>
      </c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227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227</v>
      </c>
      <c r="AW479" s="8" t="s">
        <v>227</v>
      </c>
      <c r="AX479" s="4" t="s">
        <v>227</v>
      </c>
      <c r="AY479" s="8" t="s">
        <v>227</v>
      </c>
      <c r="AZ479" s="7" t="s">
        <v>227</v>
      </c>
      <c r="BA479" s="7" t="s">
        <v>227</v>
      </c>
      <c r="BB479" s="7"/>
      <c r="BC479" s="4" t="s">
        <v>227</v>
      </c>
      <c r="BD479" s="8" t="s">
        <v>227</v>
      </c>
      <c r="BE479" s="4" t="s">
        <v>227</v>
      </c>
      <c r="BF479" s="8" t="s">
        <v>227</v>
      </c>
      <c r="BG479" s="7" t="s">
        <v>227</v>
      </c>
      <c r="BH479" s="7" t="s">
        <v>227</v>
      </c>
      <c r="BI479" s="7"/>
      <c r="BJ479" s="4">
        <v>13</v>
      </c>
      <c r="BK479" s="8">
        <v>423.68</v>
      </c>
      <c r="BL479" s="2" t="s">
        <v>3177</v>
      </c>
      <c r="BM479" s="7"/>
      <c r="BN479" s="7"/>
      <c r="BO479" s="4"/>
      <c r="BP479" s="8"/>
      <c r="BQ479" s="4"/>
      <c r="BR479" s="8"/>
      <c r="BS479" s="7"/>
      <c r="BT479" s="7"/>
      <c r="BU479" s="2" t="s">
        <v>3178</v>
      </c>
      <c r="BV479" s="2" t="s">
        <v>227</v>
      </c>
      <c r="BW479" s="2" t="s">
        <v>227</v>
      </c>
      <c r="BX479" s="2" t="s">
        <v>2877</v>
      </c>
      <c r="BY479" s="2" t="s">
        <v>236</v>
      </c>
      <c r="BZ479" s="2" t="s">
        <v>224</v>
      </c>
      <c r="CA479" s="2" t="s">
        <v>3174</v>
      </c>
      <c r="CB479" s="2" t="s">
        <v>1148</v>
      </c>
      <c r="CC479" s="2" t="s">
        <v>239</v>
      </c>
      <c r="CD479" s="2" t="s">
        <v>227</v>
      </c>
      <c r="CE479" s="4">
        <v>62</v>
      </c>
      <c r="CF479" s="4"/>
      <c r="CG479" s="4"/>
      <c r="CH479" s="4"/>
      <c r="CI479" s="4"/>
      <c r="CJ479" s="4"/>
      <c r="CK479" s="4">
        <v>54</v>
      </c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>
        <v>78</v>
      </c>
      <c r="ER479" s="4"/>
      <c r="ES479" s="4"/>
      <c r="ET479" s="4"/>
      <c r="EU479" s="4"/>
      <c r="EV479" s="4"/>
      <c r="EW479" s="4"/>
      <c r="EX479" s="4"/>
      <c r="EY479" s="4"/>
      <c r="EZ479" s="4"/>
      <c r="FA479" s="4"/>
      <c r="FB479" s="4"/>
      <c r="FC479" s="4"/>
      <c r="FD479" s="4"/>
      <c r="FE479" s="4"/>
      <c r="FF479" s="4"/>
      <c r="FG479" s="4"/>
      <c r="FH479" s="4"/>
      <c r="FI479" s="4"/>
      <c r="FJ479" s="4"/>
      <c r="FK479" s="4"/>
      <c r="FL479" s="4"/>
      <c r="FM479" s="4"/>
      <c r="FN479" s="4"/>
      <c r="FO479" s="4"/>
      <c r="FP479" s="4"/>
      <c r="FQ479" s="4"/>
      <c r="FR479" s="4"/>
      <c r="FS479" s="4"/>
      <c r="FT479" s="4"/>
      <c r="FU479" s="4"/>
      <c r="FV479" s="4"/>
      <c r="FW479" s="4">
        <v>68</v>
      </c>
      <c r="FX479" s="4"/>
      <c r="FY479" s="4"/>
      <c r="FZ479" s="4"/>
      <c r="GA479" s="4"/>
      <c r="GB479" s="4"/>
      <c r="GC479" s="4"/>
      <c r="GD479" s="4"/>
      <c r="GE479" s="4"/>
      <c r="GF479" s="4"/>
      <c r="GG479" s="4"/>
      <c r="GH479" s="4"/>
      <c r="GI479" s="4"/>
      <c r="GJ479" s="4"/>
      <c r="GK479" s="4"/>
      <c r="GL479" s="4"/>
      <c r="GM479" s="4"/>
      <c r="GN479" s="4"/>
      <c r="GO479" s="4"/>
      <c r="GP479" s="4"/>
      <c r="GQ479" s="4"/>
      <c r="GR479" s="4"/>
      <c r="GS479" s="4"/>
      <c r="GT479" s="4"/>
      <c r="GU479" s="4"/>
      <c r="GV479" s="4"/>
      <c r="GW479" s="4"/>
      <c r="GX479" s="4"/>
    </row>
    <row r="480">
      <c r="A480" s="2" t="s">
        <v>3179</v>
      </c>
      <c r="B480" s="2" t="s">
        <v>715</v>
      </c>
      <c r="C480" s="2" t="s">
        <v>360</v>
      </c>
      <c r="D480" s="2" t="s">
        <v>716</v>
      </c>
      <c r="E480" s="2" t="s">
        <v>1924</v>
      </c>
      <c r="F480" s="2" t="s">
        <v>3165</v>
      </c>
      <c r="G480" s="2" t="s">
        <v>3166</v>
      </c>
      <c r="H480" s="2" t="s">
        <v>3167</v>
      </c>
      <c r="I480" s="2" t="s">
        <v>3168</v>
      </c>
      <c r="J480" s="2" t="s">
        <v>3180</v>
      </c>
      <c r="K480" s="2" t="s">
        <v>223</v>
      </c>
      <c r="L480" s="3">
        <v>34.5</v>
      </c>
      <c r="M480" s="3">
        <v>36.22</v>
      </c>
      <c r="N480" s="3">
        <v>74.99</v>
      </c>
      <c r="O480" s="2" t="s">
        <v>224</v>
      </c>
      <c r="P480" s="2" t="s">
        <v>225</v>
      </c>
      <c r="Q480" s="2" t="s">
        <v>226</v>
      </c>
      <c r="R480" s="2" t="s">
        <v>227</v>
      </c>
      <c r="S480" s="2" t="s">
        <v>3170</v>
      </c>
      <c r="T480" s="2" t="s">
        <v>375</v>
      </c>
      <c r="U480" s="2" t="s">
        <v>552</v>
      </c>
      <c r="V480" s="2" t="s">
        <v>230</v>
      </c>
      <c r="W480" s="2" t="s">
        <v>231</v>
      </c>
      <c r="X480" s="2" t="s">
        <v>227</v>
      </c>
      <c r="Y480" s="2" t="s">
        <v>3181</v>
      </c>
      <c r="Z480" s="4">
        <v>357</v>
      </c>
      <c r="AA480" s="4">
        <f>=ROUNDDOWN(27.4615384615385,0)</f>
      </c>
      <c r="AB480" s="5">
        <v>13</v>
      </c>
      <c r="AC480" s="2" t="s">
        <v>187</v>
      </c>
      <c r="AD480" s="4">
        <v>160</v>
      </c>
      <c r="AE480" s="4">
        <v>160</v>
      </c>
      <c r="AF480" s="6">
        <v>65</v>
      </c>
      <c r="AG480" s="6"/>
      <c r="AH480" s="7">
        <v>0.7419</v>
      </c>
      <c r="AI480" s="4"/>
      <c r="AJ480" s="4">
        <f>=ROUNDDOWN({0},0)</f>
      </c>
      <c r="AK480" s="5"/>
      <c r="AL480" s="2" t="s">
        <v>227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227</v>
      </c>
      <c r="AW480" s="8" t="s">
        <v>227</v>
      </c>
      <c r="AX480" s="4" t="s">
        <v>227</v>
      </c>
      <c r="AY480" s="8" t="s">
        <v>227</v>
      </c>
      <c r="AZ480" s="7" t="s">
        <v>227</v>
      </c>
      <c r="BA480" s="7" t="s">
        <v>227</v>
      </c>
      <c r="BB480" s="7"/>
      <c r="BC480" s="4" t="s">
        <v>227</v>
      </c>
      <c r="BD480" s="8" t="s">
        <v>227</v>
      </c>
      <c r="BE480" s="4" t="s">
        <v>227</v>
      </c>
      <c r="BF480" s="8" t="s">
        <v>227</v>
      </c>
      <c r="BG480" s="7" t="s">
        <v>227</v>
      </c>
      <c r="BH480" s="7" t="s">
        <v>227</v>
      </c>
      <c r="BI480" s="7"/>
      <c r="BJ480" s="4">
        <v>51</v>
      </c>
      <c r="BK480" s="8">
        <v>1984.77</v>
      </c>
      <c r="BL480" s="2" t="s">
        <v>3182</v>
      </c>
      <c r="BM480" s="7"/>
      <c r="BN480" s="7"/>
      <c r="BO480" s="4"/>
      <c r="BP480" s="8"/>
      <c r="BQ480" s="4"/>
      <c r="BR480" s="8"/>
      <c r="BS480" s="7"/>
      <c r="BT480" s="7"/>
      <c r="BU480" s="2" t="s">
        <v>3183</v>
      </c>
      <c r="BV480" s="2" t="s">
        <v>227</v>
      </c>
      <c r="BW480" s="2" t="s">
        <v>227</v>
      </c>
      <c r="BX480" s="2" t="s">
        <v>2877</v>
      </c>
      <c r="BY480" s="2" t="s">
        <v>236</v>
      </c>
      <c r="BZ480" s="2" t="s">
        <v>224</v>
      </c>
      <c r="CA480" s="2" t="s">
        <v>3181</v>
      </c>
      <c r="CB480" s="2" t="s">
        <v>3184</v>
      </c>
      <c r="CC480" s="2" t="s">
        <v>239</v>
      </c>
      <c r="CD480" s="2" t="s">
        <v>227</v>
      </c>
      <c r="CE480" s="4">
        <v>105</v>
      </c>
      <c r="CF480" s="4"/>
      <c r="CG480" s="4"/>
      <c r="CH480" s="4"/>
      <c r="CI480" s="4"/>
      <c r="CJ480" s="4"/>
      <c r="CK480" s="4">
        <v>252</v>
      </c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/>
      <c r="ET480" s="4"/>
      <c r="EU480" s="4"/>
      <c r="EV480" s="4"/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/>
      <c r="FH480" s="4"/>
      <c r="FI480" s="4"/>
      <c r="FJ480" s="4"/>
      <c r="FK480" s="4"/>
      <c r="FL480" s="4"/>
      <c r="FM480" s="4"/>
      <c r="FN480" s="4"/>
      <c r="FO480" s="4"/>
      <c r="FP480" s="4"/>
      <c r="FQ480" s="4"/>
      <c r="FR480" s="4"/>
      <c r="FS480" s="4"/>
      <c r="FT480" s="4"/>
      <c r="FU480" s="4"/>
      <c r="FV480" s="4"/>
      <c r="FW480" s="4">
        <v>160</v>
      </c>
      <c r="FX480" s="4"/>
      <c r="FY480" s="4"/>
      <c r="FZ480" s="4"/>
      <c r="GA480" s="4"/>
      <c r="GB480" s="4"/>
      <c r="GC480" s="4"/>
      <c r="GD480" s="4"/>
      <c r="GE480" s="4"/>
      <c r="GF480" s="4"/>
      <c r="GG480" s="4"/>
      <c r="GH480" s="4"/>
      <c r="GI480" s="4"/>
      <c r="GJ480" s="4"/>
      <c r="GK480" s="4"/>
      <c r="GL480" s="4"/>
      <c r="GM480" s="4"/>
      <c r="GN480" s="4"/>
      <c r="GO480" s="4"/>
      <c r="GP480" s="4"/>
      <c r="GQ480" s="4"/>
      <c r="GR480" s="4"/>
      <c r="GS480" s="4"/>
      <c r="GT480" s="4"/>
      <c r="GU480" s="4"/>
      <c r="GV480" s="4"/>
      <c r="GW480" s="4"/>
      <c r="GX480" s="4"/>
    </row>
    <row r="481">
      <c r="A481" s="2" t="s">
        <v>3185</v>
      </c>
      <c r="B481" s="2" t="s">
        <v>715</v>
      </c>
      <c r="C481" s="2" t="s">
        <v>360</v>
      </c>
      <c r="D481" s="2" t="s">
        <v>716</v>
      </c>
      <c r="E481" s="2" t="s">
        <v>1924</v>
      </c>
      <c r="F481" s="2" t="s">
        <v>3165</v>
      </c>
      <c r="G481" s="2" t="s">
        <v>3166</v>
      </c>
      <c r="H481" s="2" t="s">
        <v>3167</v>
      </c>
      <c r="I481" s="2" t="s">
        <v>3168</v>
      </c>
      <c r="J481" s="2" t="s">
        <v>1937</v>
      </c>
      <c r="K481" s="2" t="s">
        <v>223</v>
      </c>
      <c r="L481" s="3">
        <v>38.4</v>
      </c>
      <c r="M481" s="3">
        <v>40.32</v>
      </c>
      <c r="N481" s="3">
        <v>79.99</v>
      </c>
      <c r="O481" s="2" t="s">
        <v>224</v>
      </c>
      <c r="P481" s="2" t="s">
        <v>225</v>
      </c>
      <c r="Q481" s="2" t="s">
        <v>226</v>
      </c>
      <c r="R481" s="2" t="s">
        <v>227</v>
      </c>
      <c r="S481" s="2" t="s">
        <v>3170</v>
      </c>
      <c r="T481" s="2" t="s">
        <v>375</v>
      </c>
      <c r="U481" s="2" t="s">
        <v>552</v>
      </c>
      <c r="V481" s="2" t="s">
        <v>230</v>
      </c>
      <c r="W481" s="2" t="s">
        <v>231</v>
      </c>
      <c r="X481" s="2" t="s">
        <v>227</v>
      </c>
      <c r="Y481" s="2" t="s">
        <v>3181</v>
      </c>
      <c r="Z481" s="4">
        <v>212</v>
      </c>
      <c r="AA481" s="4">
        <f>=ROUNDDOWN(30.2857142857143,0)</f>
      </c>
      <c r="AB481" s="5">
        <v>7</v>
      </c>
      <c r="AC481" s="2" t="s">
        <v>155</v>
      </c>
      <c r="AD481" s="4">
        <v>108</v>
      </c>
      <c r="AE481" s="4">
        <v>192</v>
      </c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227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227</v>
      </c>
      <c r="AW481" s="8" t="s">
        <v>227</v>
      </c>
      <c r="AX481" s="4" t="s">
        <v>227</v>
      </c>
      <c r="AY481" s="8" t="s">
        <v>227</v>
      </c>
      <c r="AZ481" s="7" t="s">
        <v>227</v>
      </c>
      <c r="BA481" s="7" t="s">
        <v>227</v>
      </c>
      <c r="BB481" s="7"/>
      <c r="BC481" s="4" t="s">
        <v>227</v>
      </c>
      <c r="BD481" s="8" t="s">
        <v>227</v>
      </c>
      <c r="BE481" s="4" t="s">
        <v>227</v>
      </c>
      <c r="BF481" s="8" t="s">
        <v>227</v>
      </c>
      <c r="BG481" s="7" t="s">
        <v>227</v>
      </c>
      <c r="BH481" s="7" t="s">
        <v>227</v>
      </c>
      <c r="BI481" s="7"/>
      <c r="BJ481" s="4">
        <v>13</v>
      </c>
      <c r="BK481" s="8">
        <v>547.82</v>
      </c>
      <c r="BL481" s="2" t="s">
        <v>1939</v>
      </c>
      <c r="BM481" s="7"/>
      <c r="BN481" s="7"/>
      <c r="BO481" s="4"/>
      <c r="BP481" s="8"/>
      <c r="BQ481" s="4"/>
      <c r="BR481" s="8"/>
      <c r="BS481" s="7"/>
      <c r="BT481" s="7"/>
      <c r="BU481" s="2" t="s">
        <v>3186</v>
      </c>
      <c r="BV481" s="2" t="s">
        <v>227</v>
      </c>
      <c r="BW481" s="2" t="s">
        <v>227</v>
      </c>
      <c r="BX481" s="2" t="s">
        <v>2877</v>
      </c>
      <c r="BY481" s="2" t="s">
        <v>236</v>
      </c>
      <c r="BZ481" s="2" t="s">
        <v>224</v>
      </c>
      <c r="CA481" s="2" t="s">
        <v>3181</v>
      </c>
      <c r="CB481" s="2" t="s">
        <v>3187</v>
      </c>
      <c r="CC481" s="2" t="s">
        <v>239</v>
      </c>
      <c r="CD481" s="2" t="s">
        <v>227</v>
      </c>
      <c r="CE481" s="4">
        <v>86</v>
      </c>
      <c r="CF481" s="4"/>
      <c r="CG481" s="4"/>
      <c r="CH481" s="4"/>
      <c r="CI481" s="4"/>
      <c r="CJ481" s="4"/>
      <c r="CK481" s="4">
        <v>126</v>
      </c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>
        <v>108</v>
      </c>
      <c r="ER481" s="4"/>
      <c r="ES481" s="4"/>
      <c r="ET481" s="4"/>
      <c r="EU481" s="4"/>
      <c r="EV481" s="4"/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/>
      <c r="FH481" s="4"/>
      <c r="FI481" s="4"/>
      <c r="FJ481" s="4"/>
      <c r="FK481" s="4"/>
      <c r="FL481" s="4"/>
      <c r="FM481" s="4"/>
      <c r="FN481" s="4"/>
      <c r="FO481" s="4"/>
      <c r="FP481" s="4"/>
      <c r="FQ481" s="4"/>
      <c r="FR481" s="4"/>
      <c r="FS481" s="4"/>
      <c r="FT481" s="4"/>
      <c r="FU481" s="4"/>
      <c r="FV481" s="4"/>
      <c r="FW481" s="4">
        <v>84</v>
      </c>
      <c r="FX481" s="4"/>
      <c r="FY481" s="4"/>
      <c r="FZ481" s="4"/>
      <c r="GA481" s="4"/>
      <c r="GB481" s="4"/>
      <c r="GC481" s="4"/>
      <c r="GD481" s="4"/>
      <c r="GE481" s="4"/>
      <c r="GF481" s="4"/>
      <c r="GG481" s="4"/>
      <c r="GH481" s="4"/>
      <c r="GI481" s="4"/>
      <c r="GJ481" s="4"/>
      <c r="GK481" s="4"/>
      <c r="GL481" s="4"/>
      <c r="GM481" s="4"/>
      <c r="GN481" s="4"/>
      <c r="GO481" s="4"/>
      <c r="GP481" s="4"/>
      <c r="GQ481" s="4"/>
      <c r="GR481" s="4"/>
      <c r="GS481" s="4"/>
      <c r="GT481" s="4"/>
      <c r="GU481" s="4"/>
      <c r="GV481" s="4"/>
      <c r="GW481" s="4"/>
      <c r="GX481" s="4"/>
    </row>
    <row r="482">
      <c r="A482" s="2" t="s">
        <v>3188</v>
      </c>
      <c r="B482" s="2" t="s">
        <v>715</v>
      </c>
      <c r="C482" s="2" t="s">
        <v>360</v>
      </c>
      <c r="D482" s="2" t="s">
        <v>716</v>
      </c>
      <c r="E482" s="2" t="s">
        <v>1924</v>
      </c>
      <c r="F482" s="2" t="s">
        <v>3165</v>
      </c>
      <c r="G482" s="2" t="s">
        <v>3166</v>
      </c>
      <c r="H482" s="2" t="s">
        <v>3167</v>
      </c>
      <c r="I482" s="2" t="s">
        <v>3168</v>
      </c>
      <c r="J482" s="2" t="s">
        <v>3169</v>
      </c>
      <c r="K482" s="2" t="s">
        <v>410</v>
      </c>
      <c r="L482" s="3">
        <v>23.75</v>
      </c>
      <c r="M482" s="3">
        <v>24.94</v>
      </c>
      <c r="N482" s="3">
        <v>53.99</v>
      </c>
      <c r="O482" s="2" t="s">
        <v>224</v>
      </c>
      <c r="P482" s="2" t="s">
        <v>225</v>
      </c>
      <c r="Q482" s="2" t="s">
        <v>226</v>
      </c>
      <c r="R482" s="2" t="s">
        <v>227</v>
      </c>
      <c r="S482" s="2" t="s">
        <v>3189</v>
      </c>
      <c r="T482" s="2" t="s">
        <v>375</v>
      </c>
      <c r="U482" s="2" t="s">
        <v>552</v>
      </c>
      <c r="V482" s="2" t="s">
        <v>230</v>
      </c>
      <c r="W482" s="2" t="s">
        <v>231</v>
      </c>
      <c r="X482" s="2" t="s">
        <v>227</v>
      </c>
      <c r="Y482" s="2" t="s">
        <v>3190</v>
      </c>
      <c r="Z482" s="4">
        <v>185</v>
      </c>
      <c r="AA482" s="4">
        <f>=ROUNDDOWN(23.125,0)</f>
      </c>
      <c r="AB482" s="5">
        <v>8</v>
      </c>
      <c r="AC482" s="2" t="s">
        <v>938</v>
      </c>
      <c r="AD482" s="4">
        <v>86</v>
      </c>
      <c r="AE482" s="4">
        <v>86</v>
      </c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227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227</v>
      </c>
      <c r="AW482" s="8" t="s">
        <v>227</v>
      </c>
      <c r="AX482" s="4" t="s">
        <v>227</v>
      </c>
      <c r="AY482" s="8" t="s">
        <v>227</v>
      </c>
      <c r="AZ482" s="7" t="s">
        <v>227</v>
      </c>
      <c r="BA482" s="7" t="s">
        <v>227</v>
      </c>
      <c r="BB482" s="7"/>
      <c r="BC482" s="4" t="s">
        <v>227</v>
      </c>
      <c r="BD482" s="8" t="s">
        <v>227</v>
      </c>
      <c r="BE482" s="4" t="s">
        <v>227</v>
      </c>
      <c r="BF482" s="8" t="s">
        <v>227</v>
      </c>
      <c r="BG482" s="7" t="s">
        <v>227</v>
      </c>
      <c r="BH482" s="7" t="s">
        <v>227</v>
      </c>
      <c r="BI482" s="7"/>
      <c r="BJ482" s="4">
        <v>48</v>
      </c>
      <c r="BK482" s="8">
        <v>1255.78</v>
      </c>
      <c r="BL482" s="2" t="s">
        <v>3191</v>
      </c>
      <c r="BM482" s="7"/>
      <c r="BN482" s="7"/>
      <c r="BO482" s="4"/>
      <c r="BP482" s="8"/>
      <c r="BQ482" s="4"/>
      <c r="BR482" s="8"/>
      <c r="BS482" s="7"/>
      <c r="BT482" s="7"/>
      <c r="BU482" s="2" t="s">
        <v>3192</v>
      </c>
      <c r="BV482" s="2" t="s">
        <v>227</v>
      </c>
      <c r="BW482" s="2" t="s">
        <v>227</v>
      </c>
      <c r="BX482" s="2" t="s">
        <v>2877</v>
      </c>
      <c r="BY482" s="2" t="s">
        <v>236</v>
      </c>
      <c r="BZ482" s="2" t="s">
        <v>224</v>
      </c>
      <c r="CA482" s="2" t="s">
        <v>1829</v>
      </c>
      <c r="CB482" s="2" t="s">
        <v>3193</v>
      </c>
      <c r="CC482" s="2" t="s">
        <v>239</v>
      </c>
      <c r="CD482" s="2" t="s">
        <v>227</v>
      </c>
      <c r="CE482" s="4">
        <v>185</v>
      </c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/>
      <c r="EU482" s="4"/>
      <c r="EV482" s="4"/>
      <c r="EW482" s="4"/>
      <c r="EX482" s="4"/>
      <c r="EY482" s="4"/>
      <c r="EZ482" s="4"/>
      <c r="FA482" s="4"/>
      <c r="FB482" s="4"/>
      <c r="FC482" s="4"/>
      <c r="FD482" s="4"/>
      <c r="FE482" s="4"/>
      <c r="FF482" s="4"/>
      <c r="FG482" s="4"/>
      <c r="FH482" s="4"/>
      <c r="FI482" s="4"/>
      <c r="FJ482" s="4"/>
      <c r="FK482" s="4"/>
      <c r="FL482" s="4"/>
      <c r="FM482" s="4"/>
      <c r="FN482" s="4"/>
      <c r="FO482" s="4"/>
      <c r="FP482" s="4"/>
      <c r="FQ482" s="4"/>
      <c r="FR482" s="4"/>
      <c r="FS482" s="4"/>
      <c r="FT482" s="4"/>
      <c r="FU482" s="4"/>
      <c r="FV482" s="4"/>
      <c r="FW482" s="4"/>
      <c r="FX482" s="4"/>
      <c r="FY482" s="4"/>
      <c r="FZ482" s="4"/>
      <c r="GA482" s="4"/>
      <c r="GB482" s="4"/>
      <c r="GC482" s="4"/>
      <c r="GD482" s="4"/>
      <c r="GE482" s="4"/>
      <c r="GF482" s="4"/>
      <c r="GG482" s="4"/>
      <c r="GH482" s="4"/>
      <c r="GI482" s="4">
        <v>86</v>
      </c>
      <c r="GJ482" s="4"/>
      <c r="GK482" s="4"/>
      <c r="GL482" s="4"/>
      <c r="GM482" s="4"/>
      <c r="GN482" s="4"/>
      <c r="GO482" s="4"/>
      <c r="GP482" s="4"/>
      <c r="GQ482" s="4"/>
      <c r="GR482" s="4"/>
      <c r="GS482" s="4"/>
      <c r="GT482" s="4"/>
      <c r="GU482" s="4"/>
      <c r="GV482" s="4"/>
      <c r="GW482" s="4"/>
      <c r="GX482" s="4"/>
    </row>
    <row r="483">
      <c r="A483" s="2" t="s">
        <v>3194</v>
      </c>
      <c r="B483" s="2" t="s">
        <v>715</v>
      </c>
      <c r="C483" s="2" t="s">
        <v>360</v>
      </c>
      <c r="D483" s="2" t="s">
        <v>716</v>
      </c>
      <c r="E483" s="2" t="s">
        <v>1924</v>
      </c>
      <c r="F483" s="2" t="s">
        <v>3165</v>
      </c>
      <c r="G483" s="2" t="s">
        <v>3166</v>
      </c>
      <c r="H483" s="2" t="s">
        <v>3167</v>
      </c>
      <c r="I483" s="2" t="s">
        <v>3168</v>
      </c>
      <c r="J483" s="2" t="s">
        <v>1929</v>
      </c>
      <c r="K483" s="2" t="s">
        <v>410</v>
      </c>
      <c r="L483" s="3">
        <v>29.25</v>
      </c>
      <c r="M483" s="3">
        <v>30.71</v>
      </c>
      <c r="N483" s="3">
        <v>64.99</v>
      </c>
      <c r="O483" s="2" t="s">
        <v>224</v>
      </c>
      <c r="P483" s="2" t="s">
        <v>530</v>
      </c>
      <c r="Q483" s="2" t="s">
        <v>226</v>
      </c>
      <c r="R483" s="2" t="s">
        <v>227</v>
      </c>
      <c r="S483" s="2" t="s">
        <v>3189</v>
      </c>
      <c r="T483" s="2" t="s">
        <v>375</v>
      </c>
      <c r="U483" s="2" t="s">
        <v>552</v>
      </c>
      <c r="V483" s="2" t="s">
        <v>230</v>
      </c>
      <c r="W483" s="2" t="s">
        <v>231</v>
      </c>
      <c r="X483" s="2" t="s">
        <v>227</v>
      </c>
      <c r="Y483" s="2" t="s">
        <v>3195</v>
      </c>
      <c r="Z483" s="4">
        <v>312</v>
      </c>
      <c r="AA483" s="4">
        <f>=ROUNDDOWN(14.1818181818182,0)</f>
      </c>
      <c r="AB483" s="5">
        <v>22</v>
      </c>
      <c r="AC483" s="2" t="s">
        <v>732</v>
      </c>
      <c r="AD483" s="4">
        <v>300</v>
      </c>
      <c r="AE483" s="4">
        <v>450</v>
      </c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227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227</v>
      </c>
      <c r="AW483" s="8" t="s">
        <v>227</v>
      </c>
      <c r="AX483" s="4" t="s">
        <v>227</v>
      </c>
      <c r="AY483" s="8" t="s">
        <v>227</v>
      </c>
      <c r="AZ483" s="7" t="s">
        <v>227</v>
      </c>
      <c r="BA483" s="7" t="s">
        <v>227</v>
      </c>
      <c r="BB483" s="7"/>
      <c r="BC483" s="4" t="s">
        <v>227</v>
      </c>
      <c r="BD483" s="8" t="s">
        <v>227</v>
      </c>
      <c r="BE483" s="4" t="s">
        <v>227</v>
      </c>
      <c r="BF483" s="8" t="s">
        <v>227</v>
      </c>
      <c r="BG483" s="7" t="s">
        <v>227</v>
      </c>
      <c r="BH483" s="7" t="s">
        <v>227</v>
      </c>
      <c r="BI483" s="7"/>
      <c r="BJ483" s="4">
        <v>97</v>
      </c>
      <c r="BK483" s="8">
        <v>3115.43</v>
      </c>
      <c r="BL483" s="2" t="s">
        <v>3196</v>
      </c>
      <c r="BM483" s="7"/>
      <c r="BN483" s="7"/>
      <c r="BO483" s="4"/>
      <c r="BP483" s="8"/>
      <c r="BQ483" s="4"/>
      <c r="BR483" s="8"/>
      <c r="BS483" s="7"/>
      <c r="BT483" s="7"/>
      <c r="BU483" s="2" t="s">
        <v>3197</v>
      </c>
      <c r="BV483" s="2" t="s">
        <v>227</v>
      </c>
      <c r="BW483" s="2" t="s">
        <v>227</v>
      </c>
      <c r="BX483" s="2" t="s">
        <v>2877</v>
      </c>
      <c r="BY483" s="2" t="s">
        <v>236</v>
      </c>
      <c r="BZ483" s="2" t="s">
        <v>224</v>
      </c>
      <c r="CA483" s="2" t="s">
        <v>3198</v>
      </c>
      <c r="CB483" s="2" t="s">
        <v>3199</v>
      </c>
      <c r="CC483" s="2" t="s">
        <v>239</v>
      </c>
      <c r="CD483" s="2" t="s">
        <v>227</v>
      </c>
      <c r="CE483" s="4">
        <v>312</v>
      </c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>
        <v>300</v>
      </c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/>
      <c r="EU483" s="4"/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/>
      <c r="FH483" s="4"/>
      <c r="FI483" s="4"/>
      <c r="FJ483" s="4"/>
      <c r="FK483" s="4"/>
      <c r="FL483" s="4"/>
      <c r="FM483" s="4"/>
      <c r="FN483" s="4"/>
      <c r="FO483" s="4"/>
      <c r="FP483" s="4"/>
      <c r="FQ483" s="4"/>
      <c r="FR483" s="4"/>
      <c r="FS483" s="4"/>
      <c r="FT483" s="4"/>
      <c r="FU483" s="4"/>
      <c r="FV483" s="4"/>
      <c r="FW483" s="4"/>
      <c r="FX483" s="4"/>
      <c r="FY483" s="4"/>
      <c r="FZ483" s="4"/>
      <c r="GA483" s="4"/>
      <c r="GB483" s="4"/>
      <c r="GC483" s="4"/>
      <c r="GD483" s="4"/>
      <c r="GE483" s="4"/>
      <c r="GF483" s="4"/>
      <c r="GG483" s="4"/>
      <c r="GH483" s="4"/>
      <c r="GI483" s="4">
        <v>150</v>
      </c>
      <c r="GJ483" s="4"/>
      <c r="GK483" s="4"/>
      <c r="GL483" s="4"/>
      <c r="GM483" s="4"/>
      <c r="GN483" s="4"/>
      <c r="GO483" s="4"/>
      <c r="GP483" s="4"/>
      <c r="GQ483" s="4"/>
      <c r="GR483" s="4"/>
      <c r="GS483" s="4"/>
      <c r="GT483" s="4"/>
      <c r="GU483" s="4"/>
      <c r="GV483" s="4"/>
      <c r="GW483" s="4"/>
      <c r="GX483" s="4"/>
    </row>
    <row r="484">
      <c r="A484" s="2" t="s">
        <v>3200</v>
      </c>
      <c r="B484" s="2" t="s">
        <v>715</v>
      </c>
      <c r="C484" s="2" t="s">
        <v>360</v>
      </c>
      <c r="D484" s="2" t="s">
        <v>716</v>
      </c>
      <c r="E484" s="2" t="s">
        <v>1924</v>
      </c>
      <c r="F484" s="2" t="s">
        <v>3165</v>
      </c>
      <c r="G484" s="2" t="s">
        <v>3166</v>
      </c>
      <c r="H484" s="2" t="s">
        <v>3167</v>
      </c>
      <c r="I484" s="2" t="s">
        <v>3168</v>
      </c>
      <c r="J484" s="2" t="s">
        <v>1937</v>
      </c>
      <c r="K484" s="2" t="s">
        <v>410</v>
      </c>
      <c r="L484" s="3">
        <v>38.4</v>
      </c>
      <c r="M484" s="3">
        <v>40.32</v>
      </c>
      <c r="N484" s="3">
        <v>79.99</v>
      </c>
      <c r="O484" s="2" t="s">
        <v>224</v>
      </c>
      <c r="P484" s="2" t="s">
        <v>225</v>
      </c>
      <c r="Q484" s="2" t="s">
        <v>226</v>
      </c>
      <c r="R484" s="2" t="s">
        <v>227</v>
      </c>
      <c r="S484" s="2" t="s">
        <v>3189</v>
      </c>
      <c r="T484" s="2" t="s">
        <v>375</v>
      </c>
      <c r="U484" s="2" t="s">
        <v>552</v>
      </c>
      <c r="V484" s="2" t="s">
        <v>230</v>
      </c>
      <c r="W484" s="2" t="s">
        <v>231</v>
      </c>
      <c r="X484" s="2" t="s">
        <v>227</v>
      </c>
      <c r="Y484" s="2" t="s">
        <v>3201</v>
      </c>
      <c r="Z484" s="4">
        <v>297</v>
      </c>
      <c r="AA484" s="4">
        <f>=ROUNDDOWN(37.125,0)</f>
      </c>
      <c r="AB484" s="5">
        <v>8</v>
      </c>
      <c r="AC484" s="2" t="s">
        <v>732</v>
      </c>
      <c r="AD484" s="4">
        <v>60</v>
      </c>
      <c r="AE484" s="4">
        <v>166</v>
      </c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227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227</v>
      </c>
      <c r="AW484" s="8" t="s">
        <v>227</v>
      </c>
      <c r="AX484" s="4" t="s">
        <v>227</v>
      </c>
      <c r="AY484" s="8" t="s">
        <v>227</v>
      </c>
      <c r="AZ484" s="7" t="s">
        <v>227</v>
      </c>
      <c r="BA484" s="7" t="s">
        <v>227</v>
      </c>
      <c r="BB484" s="7"/>
      <c r="BC484" s="4" t="s">
        <v>227</v>
      </c>
      <c r="BD484" s="8" t="s">
        <v>227</v>
      </c>
      <c r="BE484" s="4" t="s">
        <v>227</v>
      </c>
      <c r="BF484" s="8" t="s">
        <v>227</v>
      </c>
      <c r="BG484" s="7" t="s">
        <v>227</v>
      </c>
      <c r="BH484" s="7" t="s">
        <v>227</v>
      </c>
      <c r="BI484" s="7"/>
      <c r="BJ484" s="4">
        <v>36</v>
      </c>
      <c r="BK484" s="8">
        <v>1454.65</v>
      </c>
      <c r="BL484" s="2" t="s">
        <v>3202</v>
      </c>
      <c r="BM484" s="7"/>
      <c r="BN484" s="7"/>
      <c r="BO484" s="4"/>
      <c r="BP484" s="8"/>
      <c r="BQ484" s="4"/>
      <c r="BR484" s="8"/>
      <c r="BS484" s="7"/>
      <c r="BT484" s="7"/>
      <c r="BU484" s="2" t="s">
        <v>3203</v>
      </c>
      <c r="BV484" s="2" t="s">
        <v>227</v>
      </c>
      <c r="BW484" s="2" t="s">
        <v>227</v>
      </c>
      <c r="BX484" s="2" t="s">
        <v>2877</v>
      </c>
      <c r="BY484" s="2" t="s">
        <v>236</v>
      </c>
      <c r="BZ484" s="2" t="s">
        <v>224</v>
      </c>
      <c r="CA484" s="2" t="s">
        <v>586</v>
      </c>
      <c r="CB484" s="2" t="s">
        <v>3204</v>
      </c>
      <c r="CC484" s="2" t="s">
        <v>239</v>
      </c>
      <c r="CD484" s="2" t="s">
        <v>227</v>
      </c>
      <c r="CE484" s="4">
        <v>297</v>
      </c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>
        <v>60</v>
      </c>
      <c r="EG484" s="4"/>
      <c r="EH484" s="4"/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/>
      <c r="FA484" s="4"/>
      <c r="FB484" s="4"/>
      <c r="FC484" s="4"/>
      <c r="FD484" s="4"/>
      <c r="FE484" s="4"/>
      <c r="FF484" s="4"/>
      <c r="FG484" s="4"/>
      <c r="FH484" s="4"/>
      <c r="FI484" s="4"/>
      <c r="FJ484" s="4"/>
      <c r="FK484" s="4"/>
      <c r="FL484" s="4"/>
      <c r="FM484" s="4"/>
      <c r="FN484" s="4"/>
      <c r="FO484" s="4"/>
      <c r="FP484" s="4"/>
      <c r="FQ484" s="4"/>
      <c r="FR484" s="4"/>
      <c r="FS484" s="4"/>
      <c r="FT484" s="4"/>
      <c r="FU484" s="4"/>
      <c r="FV484" s="4"/>
      <c r="FW484" s="4"/>
      <c r="FX484" s="4"/>
      <c r="FY484" s="4"/>
      <c r="FZ484" s="4"/>
      <c r="GA484" s="4"/>
      <c r="GB484" s="4"/>
      <c r="GC484" s="4"/>
      <c r="GD484" s="4"/>
      <c r="GE484" s="4"/>
      <c r="GF484" s="4"/>
      <c r="GG484" s="4"/>
      <c r="GH484" s="4"/>
      <c r="GI484" s="4">
        <v>106</v>
      </c>
      <c r="GJ484" s="4"/>
      <c r="GK484" s="4"/>
      <c r="GL484" s="4"/>
      <c r="GM484" s="4"/>
      <c r="GN484" s="4"/>
      <c r="GO484" s="4"/>
      <c r="GP484" s="4"/>
      <c r="GQ484" s="4"/>
      <c r="GR484" s="4"/>
      <c r="GS484" s="4"/>
      <c r="GT484" s="4"/>
      <c r="GU484" s="4"/>
      <c r="GV484" s="4"/>
      <c r="GW484" s="4"/>
      <c r="GX484" s="4"/>
    </row>
    <row r="485">
      <c r="A485" s="2" t="s">
        <v>3205</v>
      </c>
      <c r="B485" s="2" t="s">
        <v>715</v>
      </c>
      <c r="C485" s="2" t="s">
        <v>360</v>
      </c>
      <c r="D485" s="2" t="s">
        <v>716</v>
      </c>
      <c r="E485" s="2" t="s">
        <v>971</v>
      </c>
      <c r="F485" s="2" t="s">
        <v>3165</v>
      </c>
      <c r="G485" s="2" t="s">
        <v>3166</v>
      </c>
      <c r="H485" s="2" t="s">
        <v>3167</v>
      </c>
      <c r="I485" s="2" t="s">
        <v>3206</v>
      </c>
      <c r="J485" s="2" t="s">
        <v>3207</v>
      </c>
      <c r="K485" s="2" t="s">
        <v>363</v>
      </c>
      <c r="L485" s="3">
        <v>19</v>
      </c>
      <c r="M485" s="3">
        <v>19.95</v>
      </c>
      <c r="N485" s="3">
        <v>39.99</v>
      </c>
      <c r="O485" s="2" t="s">
        <v>224</v>
      </c>
      <c r="P485" s="2" t="s">
        <v>225</v>
      </c>
      <c r="Q485" s="2" t="s">
        <v>226</v>
      </c>
      <c r="R485" s="2" t="s">
        <v>227</v>
      </c>
      <c r="S485" s="2" t="s">
        <v>3208</v>
      </c>
      <c r="T485" s="2" t="s">
        <v>227</v>
      </c>
      <c r="U485" s="2" t="s">
        <v>1044</v>
      </c>
      <c r="V485" s="2" t="s">
        <v>230</v>
      </c>
      <c r="W485" s="2" t="s">
        <v>231</v>
      </c>
      <c r="X485" s="2" t="s">
        <v>1872</v>
      </c>
      <c r="Y485" s="2" t="s">
        <v>842</v>
      </c>
      <c r="Z485" s="4">
        <v>120</v>
      </c>
      <c r="AA485" s="4">
        <f>=ROUNDDOWN(12,0)</f>
      </c>
      <c r="AB485" s="5">
        <v>10</v>
      </c>
      <c r="AC485" s="2" t="s">
        <v>732</v>
      </c>
      <c r="AD485" s="4">
        <v>56</v>
      </c>
      <c r="AE485" s="4">
        <v>256</v>
      </c>
      <c r="AF485" s="6">
        <v>65</v>
      </c>
      <c r="AG485" s="6"/>
      <c r="AH485" s="7">
        <v>0.3226</v>
      </c>
      <c r="AI485" s="4"/>
      <c r="AJ485" s="4">
        <f>=ROUNDDOWN({0},0)</f>
      </c>
      <c r="AK485" s="5"/>
      <c r="AL485" s="2" t="s">
        <v>227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227</v>
      </c>
      <c r="AW485" s="8" t="s">
        <v>227</v>
      </c>
      <c r="AX485" s="4" t="s">
        <v>227</v>
      </c>
      <c r="AY485" s="8" t="s">
        <v>227</v>
      </c>
      <c r="AZ485" s="7" t="s">
        <v>227</v>
      </c>
      <c r="BA485" s="7" t="s">
        <v>227</v>
      </c>
      <c r="BB485" s="7"/>
      <c r="BC485" s="4" t="s">
        <v>227</v>
      </c>
      <c r="BD485" s="8" t="s">
        <v>227</v>
      </c>
      <c r="BE485" s="4" t="s">
        <v>227</v>
      </c>
      <c r="BF485" s="8" t="s">
        <v>227</v>
      </c>
      <c r="BG485" s="7" t="s">
        <v>227</v>
      </c>
      <c r="BH485" s="7" t="s">
        <v>227</v>
      </c>
      <c r="BI485" s="7"/>
      <c r="BJ485" s="4">
        <v>21</v>
      </c>
      <c r="BK485" s="8">
        <v>711.68</v>
      </c>
      <c r="BL485" s="2" t="s">
        <v>3209</v>
      </c>
      <c r="BM485" s="7"/>
      <c r="BN485" s="7"/>
      <c r="BO485" s="4"/>
      <c r="BP485" s="8"/>
      <c r="BQ485" s="4"/>
      <c r="BR485" s="8"/>
      <c r="BS485" s="7"/>
      <c r="BT485" s="7"/>
      <c r="BU485" s="2" t="s">
        <v>3210</v>
      </c>
      <c r="BV485" s="2" t="s">
        <v>227</v>
      </c>
      <c r="BW485" s="2" t="s">
        <v>227</v>
      </c>
      <c r="BX485" s="2" t="s">
        <v>2877</v>
      </c>
      <c r="BY485" s="2" t="s">
        <v>236</v>
      </c>
      <c r="BZ485" s="2" t="s">
        <v>224</v>
      </c>
      <c r="CA485" s="2" t="s">
        <v>3211</v>
      </c>
      <c r="CB485" s="2" t="s">
        <v>3212</v>
      </c>
      <c r="CC485" s="2" t="s">
        <v>239</v>
      </c>
      <c r="CD485" s="2" t="s">
        <v>227</v>
      </c>
      <c r="CE485" s="4">
        <v>120</v>
      </c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>
        <v>56</v>
      </c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/>
      <c r="FA485" s="4"/>
      <c r="FB485" s="4"/>
      <c r="FC485" s="4">
        <v>60</v>
      </c>
      <c r="FD485" s="4"/>
      <c r="FE485" s="4"/>
      <c r="FF485" s="4"/>
      <c r="FG485" s="4"/>
      <c r="FH485" s="4"/>
      <c r="FI485" s="4"/>
      <c r="FJ485" s="4"/>
      <c r="FK485" s="4"/>
      <c r="FL485" s="4"/>
      <c r="FM485" s="4"/>
      <c r="FN485" s="4"/>
      <c r="FO485" s="4"/>
      <c r="FP485" s="4"/>
      <c r="FQ485" s="4"/>
      <c r="FR485" s="4">
        <v>60</v>
      </c>
      <c r="FS485" s="4"/>
      <c r="FT485" s="4"/>
      <c r="FU485" s="4"/>
      <c r="FV485" s="4"/>
      <c r="FW485" s="4"/>
      <c r="FX485" s="4"/>
      <c r="FY485" s="4"/>
      <c r="FZ485" s="4"/>
      <c r="GA485" s="4"/>
      <c r="GB485" s="4"/>
      <c r="GC485" s="4"/>
      <c r="GD485" s="4"/>
      <c r="GE485" s="4"/>
      <c r="GF485" s="4"/>
      <c r="GG485" s="4"/>
      <c r="GH485" s="4"/>
      <c r="GI485" s="4"/>
      <c r="GJ485" s="4"/>
      <c r="GK485" s="4"/>
      <c r="GL485" s="4"/>
      <c r="GM485" s="4">
        <v>40</v>
      </c>
      <c r="GN485" s="4"/>
      <c r="GO485" s="4"/>
      <c r="GP485" s="4"/>
      <c r="GQ485" s="4"/>
      <c r="GR485" s="4"/>
      <c r="GS485" s="4"/>
      <c r="GT485" s="4"/>
      <c r="GU485" s="4"/>
      <c r="GV485" s="4"/>
      <c r="GW485" s="4"/>
      <c r="GX485" s="4">
        <v>40</v>
      </c>
    </row>
    <row r="486">
      <c r="A486" s="2" t="s">
        <v>3213</v>
      </c>
      <c r="B486" s="2" t="s">
        <v>715</v>
      </c>
      <c r="C486" s="2" t="s">
        <v>360</v>
      </c>
      <c r="D486" s="2" t="s">
        <v>716</v>
      </c>
      <c r="E486" s="2" t="s">
        <v>1924</v>
      </c>
      <c r="F486" s="2" t="s">
        <v>3165</v>
      </c>
      <c r="G486" s="2" t="s">
        <v>3166</v>
      </c>
      <c r="H486" s="2" t="s">
        <v>3167</v>
      </c>
      <c r="I486" s="2" t="s">
        <v>3168</v>
      </c>
      <c r="J486" s="2" t="s">
        <v>2775</v>
      </c>
      <c r="K486" s="2" t="s">
        <v>363</v>
      </c>
      <c r="L486" s="3">
        <v>27</v>
      </c>
      <c r="M486" s="3">
        <v>28.35</v>
      </c>
      <c r="N486" s="3">
        <v>59.99</v>
      </c>
      <c r="O486" s="2" t="s">
        <v>224</v>
      </c>
      <c r="P486" s="2" t="s">
        <v>2038</v>
      </c>
      <c r="Q486" s="2" t="s">
        <v>226</v>
      </c>
      <c r="R486" s="2" t="s">
        <v>227</v>
      </c>
      <c r="S486" s="2" t="s">
        <v>3208</v>
      </c>
      <c r="T486" s="2" t="s">
        <v>375</v>
      </c>
      <c r="U486" s="2" t="s">
        <v>552</v>
      </c>
      <c r="V486" s="2" t="s">
        <v>230</v>
      </c>
      <c r="W486" s="2" t="s">
        <v>231</v>
      </c>
      <c r="X486" s="2" t="s">
        <v>227</v>
      </c>
      <c r="Y486" s="2" t="s">
        <v>3195</v>
      </c>
      <c r="Z486" s="4">
        <v>1465</v>
      </c>
      <c r="AA486" s="4">
        <f>=ROUNDDOWN(29.8979591836735,0)</f>
      </c>
      <c r="AB486" s="5">
        <v>49</v>
      </c>
      <c r="AC486" s="2" t="s">
        <v>732</v>
      </c>
      <c r="AD486" s="4">
        <v>294</v>
      </c>
      <c r="AE486" s="4">
        <v>860</v>
      </c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227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227</v>
      </c>
      <c r="AW486" s="8" t="s">
        <v>227</v>
      </c>
      <c r="AX486" s="4" t="s">
        <v>227</v>
      </c>
      <c r="AY486" s="8" t="s">
        <v>227</v>
      </c>
      <c r="AZ486" s="7" t="s">
        <v>227</v>
      </c>
      <c r="BA486" s="7" t="s">
        <v>227</v>
      </c>
      <c r="BB486" s="7"/>
      <c r="BC486" s="4" t="s">
        <v>227</v>
      </c>
      <c r="BD486" s="8" t="s">
        <v>227</v>
      </c>
      <c r="BE486" s="4" t="s">
        <v>227</v>
      </c>
      <c r="BF486" s="8" t="s">
        <v>227</v>
      </c>
      <c r="BG486" s="7" t="s">
        <v>227</v>
      </c>
      <c r="BH486" s="7" t="s">
        <v>227</v>
      </c>
      <c r="BI486" s="7"/>
      <c r="BJ486" s="4">
        <v>135</v>
      </c>
      <c r="BK486" s="8">
        <v>3926.36</v>
      </c>
      <c r="BL486" s="2" t="s">
        <v>3214</v>
      </c>
      <c r="BM486" s="7"/>
      <c r="BN486" s="7"/>
      <c r="BO486" s="4"/>
      <c r="BP486" s="8"/>
      <c r="BQ486" s="4"/>
      <c r="BR486" s="8"/>
      <c r="BS486" s="7"/>
      <c r="BT486" s="7"/>
      <c r="BU486" s="2" t="s">
        <v>3215</v>
      </c>
      <c r="BV486" s="2" t="s">
        <v>227</v>
      </c>
      <c r="BW486" s="2" t="s">
        <v>227</v>
      </c>
      <c r="BX486" s="2" t="s">
        <v>2877</v>
      </c>
      <c r="BY486" s="2" t="s">
        <v>236</v>
      </c>
      <c r="BZ486" s="2" t="s">
        <v>224</v>
      </c>
      <c r="CA486" s="2" t="s">
        <v>3198</v>
      </c>
      <c r="CB486" s="2" t="s">
        <v>2941</v>
      </c>
      <c r="CC486" s="2" t="s">
        <v>239</v>
      </c>
      <c r="CD486" s="2" t="s">
        <v>227</v>
      </c>
      <c r="CE486" s="4">
        <v>1465</v>
      </c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>
        <v>294</v>
      </c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/>
      <c r="FB486" s="4"/>
      <c r="FC486" s="4">
        <v>240</v>
      </c>
      <c r="FD486" s="4"/>
      <c r="FE486" s="4"/>
      <c r="FF486" s="4"/>
      <c r="FG486" s="4"/>
      <c r="FH486" s="4"/>
      <c r="FI486" s="4"/>
      <c r="FJ486" s="4"/>
      <c r="FK486" s="4"/>
      <c r="FL486" s="4"/>
      <c r="FM486" s="4"/>
      <c r="FN486" s="4"/>
      <c r="FO486" s="4"/>
      <c r="FP486" s="4"/>
      <c r="FQ486" s="4"/>
      <c r="FR486" s="4">
        <v>206</v>
      </c>
      <c r="FS486" s="4"/>
      <c r="FT486" s="4"/>
      <c r="FU486" s="4"/>
      <c r="FV486" s="4"/>
      <c r="FW486" s="4"/>
      <c r="FX486" s="4"/>
      <c r="FY486" s="4"/>
      <c r="FZ486" s="4"/>
      <c r="GA486" s="4"/>
      <c r="GB486" s="4"/>
      <c r="GC486" s="4"/>
      <c r="GD486" s="4"/>
      <c r="GE486" s="4"/>
      <c r="GF486" s="4"/>
      <c r="GG486" s="4"/>
      <c r="GH486" s="4"/>
      <c r="GI486" s="4"/>
      <c r="GJ486" s="4"/>
      <c r="GK486" s="4"/>
      <c r="GL486" s="4"/>
      <c r="GM486" s="4"/>
      <c r="GN486" s="4"/>
      <c r="GO486" s="4"/>
      <c r="GP486" s="4"/>
      <c r="GQ486" s="4"/>
      <c r="GR486" s="4"/>
      <c r="GS486" s="4"/>
      <c r="GT486" s="4"/>
      <c r="GU486" s="4"/>
      <c r="GV486" s="4"/>
      <c r="GW486" s="4"/>
      <c r="GX486" s="4">
        <v>120</v>
      </c>
    </row>
    <row r="487">
      <c r="A487" s="2" t="s">
        <v>3216</v>
      </c>
      <c r="B487" s="2" t="s">
        <v>715</v>
      </c>
      <c r="C487" s="2" t="s">
        <v>360</v>
      </c>
      <c r="D487" s="2" t="s">
        <v>716</v>
      </c>
      <c r="E487" s="2" t="s">
        <v>1924</v>
      </c>
      <c r="F487" s="2" t="s">
        <v>3165</v>
      </c>
      <c r="G487" s="2" t="s">
        <v>3166</v>
      </c>
      <c r="H487" s="2" t="s">
        <v>3167</v>
      </c>
      <c r="I487" s="2" t="s">
        <v>3168</v>
      </c>
      <c r="J487" s="2" t="s">
        <v>2775</v>
      </c>
      <c r="K487" s="2" t="s">
        <v>1067</v>
      </c>
      <c r="L487" s="3">
        <v>27</v>
      </c>
      <c r="M487" s="3">
        <v>28.35</v>
      </c>
      <c r="N487" s="3">
        <v>59.99</v>
      </c>
      <c r="O487" s="2" t="s">
        <v>224</v>
      </c>
      <c r="P487" s="2" t="s">
        <v>225</v>
      </c>
      <c r="Q487" s="2" t="s">
        <v>226</v>
      </c>
      <c r="R487" s="2" t="s">
        <v>227</v>
      </c>
      <c r="S487" s="2" t="s">
        <v>3217</v>
      </c>
      <c r="T487" s="2" t="s">
        <v>375</v>
      </c>
      <c r="U487" s="2" t="s">
        <v>552</v>
      </c>
      <c r="V487" s="2" t="s">
        <v>230</v>
      </c>
      <c r="W487" s="2" t="s">
        <v>231</v>
      </c>
      <c r="X487" s="2" t="s">
        <v>227</v>
      </c>
      <c r="Y487" s="2" t="s">
        <v>3181</v>
      </c>
      <c r="Z487" s="4">
        <v>3</v>
      </c>
      <c r="AA487" s="4">
        <f>=ROUNDDOWN(0.1,0)</f>
      </c>
      <c r="AB487" s="5">
        <v>30</v>
      </c>
      <c r="AC487" s="2" t="s">
        <v>732</v>
      </c>
      <c r="AD487" s="4">
        <v>54</v>
      </c>
      <c r="AE487" s="4">
        <v>540</v>
      </c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227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227</v>
      </c>
      <c r="AW487" s="8" t="s">
        <v>227</v>
      </c>
      <c r="AX487" s="4" t="s">
        <v>227</v>
      </c>
      <c r="AY487" s="8" t="s">
        <v>227</v>
      </c>
      <c r="AZ487" s="7" t="s">
        <v>227</v>
      </c>
      <c r="BA487" s="7" t="s">
        <v>227</v>
      </c>
      <c r="BB487" s="7"/>
      <c r="BC487" s="4" t="s">
        <v>227</v>
      </c>
      <c r="BD487" s="8" t="s">
        <v>227</v>
      </c>
      <c r="BE487" s="4" t="s">
        <v>227</v>
      </c>
      <c r="BF487" s="8" t="s">
        <v>227</v>
      </c>
      <c r="BG487" s="7" t="s">
        <v>227</v>
      </c>
      <c r="BH487" s="7" t="s">
        <v>227</v>
      </c>
      <c r="BI487" s="7"/>
      <c r="BJ487" s="4"/>
      <c r="BK487" s="8"/>
      <c r="BL487" s="2" t="s">
        <v>3218</v>
      </c>
      <c r="BM487" s="7"/>
      <c r="BN487" s="7"/>
      <c r="BO487" s="4"/>
      <c r="BP487" s="8"/>
      <c r="BQ487" s="4"/>
      <c r="BR487" s="8"/>
      <c r="BS487" s="7"/>
      <c r="BT487" s="7"/>
      <c r="BU487" s="2" t="s">
        <v>3219</v>
      </c>
      <c r="BV487" s="2" t="s">
        <v>227</v>
      </c>
      <c r="BW487" s="2" t="s">
        <v>227</v>
      </c>
      <c r="BX487" s="2" t="s">
        <v>2877</v>
      </c>
      <c r="BY487" s="2" t="s">
        <v>236</v>
      </c>
      <c r="BZ487" s="2" t="s">
        <v>224</v>
      </c>
      <c r="CA487" s="2" t="s">
        <v>3181</v>
      </c>
      <c r="CB487" s="2" t="s">
        <v>3184</v>
      </c>
      <c r="CC487" s="2" t="s">
        <v>239</v>
      </c>
      <c r="CD487" s="2" t="s">
        <v>227</v>
      </c>
      <c r="CE487" s="4">
        <v>3</v>
      </c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>
        <v>54</v>
      </c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>
        <v>366</v>
      </c>
      <c r="ER487" s="4"/>
      <c r="ES487" s="4"/>
      <c r="ET487" s="4"/>
      <c r="EU487" s="4"/>
      <c r="EV487" s="4"/>
      <c r="EW487" s="4"/>
      <c r="EX487" s="4"/>
      <c r="EY487" s="4"/>
      <c r="EZ487" s="4"/>
      <c r="FA487" s="4"/>
      <c r="FB487" s="4"/>
      <c r="FC487" s="4"/>
      <c r="FD487" s="4"/>
      <c r="FE487" s="4">
        <v>120</v>
      </c>
      <c r="FF487" s="4"/>
      <c r="FG487" s="4"/>
      <c r="FH487" s="4"/>
      <c r="FI487" s="4"/>
      <c r="FJ487" s="4"/>
      <c r="FK487" s="4"/>
      <c r="FL487" s="4"/>
      <c r="FM487" s="4"/>
      <c r="FN487" s="4"/>
      <c r="FO487" s="4"/>
      <c r="FP487" s="4"/>
      <c r="FQ487" s="4"/>
      <c r="FR487" s="4"/>
      <c r="FS487" s="4"/>
      <c r="FT487" s="4"/>
      <c r="FU487" s="4"/>
      <c r="FV487" s="4"/>
      <c r="FW487" s="4"/>
      <c r="FX487" s="4"/>
      <c r="FY487" s="4"/>
      <c r="FZ487" s="4"/>
      <c r="GA487" s="4"/>
      <c r="GB487" s="4"/>
      <c r="GC487" s="4"/>
      <c r="GD487" s="4"/>
      <c r="GE487" s="4"/>
      <c r="GF487" s="4"/>
      <c r="GG487" s="4"/>
      <c r="GH487" s="4"/>
      <c r="GI487" s="4"/>
      <c r="GJ487" s="4"/>
      <c r="GK487" s="4"/>
      <c r="GL487" s="4"/>
      <c r="GM487" s="4"/>
      <c r="GN487" s="4"/>
      <c r="GO487" s="4"/>
      <c r="GP487" s="4"/>
      <c r="GQ487" s="4"/>
      <c r="GR487" s="4"/>
      <c r="GS487" s="4"/>
      <c r="GT487" s="4"/>
      <c r="GU487" s="4"/>
      <c r="GV487" s="4"/>
      <c r="GW487" s="4"/>
      <c r="GX487" s="4"/>
    </row>
    <row r="488">
      <c r="A488" s="2" t="s">
        <v>3220</v>
      </c>
      <c r="B488" s="2" t="s">
        <v>715</v>
      </c>
      <c r="C488" s="2" t="s">
        <v>360</v>
      </c>
      <c r="D488" s="2" t="s">
        <v>716</v>
      </c>
      <c r="E488" s="2" t="s">
        <v>1924</v>
      </c>
      <c r="F488" s="2" t="s">
        <v>3165</v>
      </c>
      <c r="G488" s="2" t="s">
        <v>3166</v>
      </c>
      <c r="H488" s="2" t="s">
        <v>3167</v>
      </c>
      <c r="I488" s="2" t="s">
        <v>3168</v>
      </c>
      <c r="J488" s="2" t="s">
        <v>3176</v>
      </c>
      <c r="K488" s="2" t="s">
        <v>1067</v>
      </c>
      <c r="L488" s="3">
        <v>28.5</v>
      </c>
      <c r="M488" s="3">
        <v>29.93</v>
      </c>
      <c r="N488" s="3">
        <v>62.99</v>
      </c>
      <c r="O488" s="2" t="s">
        <v>224</v>
      </c>
      <c r="P488" s="2" t="s">
        <v>225</v>
      </c>
      <c r="Q488" s="2" t="s">
        <v>226</v>
      </c>
      <c r="R488" s="2" t="s">
        <v>227</v>
      </c>
      <c r="S488" s="2" t="s">
        <v>3217</v>
      </c>
      <c r="T488" s="2" t="s">
        <v>375</v>
      </c>
      <c r="U488" s="2" t="s">
        <v>552</v>
      </c>
      <c r="V488" s="2" t="s">
        <v>230</v>
      </c>
      <c r="W488" s="2" t="s">
        <v>231</v>
      </c>
      <c r="X488" s="2" t="s">
        <v>227</v>
      </c>
      <c r="Y488" s="2" t="s">
        <v>3171</v>
      </c>
      <c r="Z488" s="4">
        <v>371</v>
      </c>
      <c r="AA488" s="4">
        <f>=ROUNDDOWN(37.1,0)</f>
      </c>
      <c r="AB488" s="5">
        <v>10</v>
      </c>
      <c r="AC488" s="2" t="s">
        <v>169</v>
      </c>
      <c r="AD488" s="4">
        <v>50</v>
      </c>
      <c r="AE488" s="4">
        <v>50</v>
      </c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227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227</v>
      </c>
      <c r="AW488" s="8" t="s">
        <v>227</v>
      </c>
      <c r="AX488" s="4" t="s">
        <v>227</v>
      </c>
      <c r="AY488" s="8" t="s">
        <v>227</v>
      </c>
      <c r="AZ488" s="7" t="s">
        <v>227</v>
      </c>
      <c r="BA488" s="7" t="s">
        <v>227</v>
      </c>
      <c r="BB488" s="7"/>
      <c r="BC488" s="4" t="s">
        <v>227</v>
      </c>
      <c r="BD488" s="8" t="s">
        <v>227</v>
      </c>
      <c r="BE488" s="4" t="s">
        <v>227</v>
      </c>
      <c r="BF488" s="8" t="s">
        <v>227</v>
      </c>
      <c r="BG488" s="7" t="s">
        <v>227</v>
      </c>
      <c r="BH488" s="7" t="s">
        <v>227</v>
      </c>
      <c r="BI488" s="7"/>
      <c r="BJ488" s="4">
        <v>28</v>
      </c>
      <c r="BK488" s="8">
        <v>878.47</v>
      </c>
      <c r="BL488" s="2" t="s">
        <v>3221</v>
      </c>
      <c r="BM488" s="7"/>
      <c r="BN488" s="7"/>
      <c r="BO488" s="4"/>
      <c r="BP488" s="8"/>
      <c r="BQ488" s="4"/>
      <c r="BR488" s="8"/>
      <c r="BS488" s="7"/>
      <c r="BT488" s="7"/>
      <c r="BU488" s="2" t="s">
        <v>3222</v>
      </c>
      <c r="BV488" s="2" t="s">
        <v>227</v>
      </c>
      <c r="BW488" s="2" t="s">
        <v>227</v>
      </c>
      <c r="BX488" s="2" t="s">
        <v>2877</v>
      </c>
      <c r="BY488" s="2" t="s">
        <v>236</v>
      </c>
      <c r="BZ488" s="2" t="s">
        <v>224</v>
      </c>
      <c r="CA488" s="2" t="s">
        <v>3174</v>
      </c>
      <c r="CB488" s="2" t="s">
        <v>3223</v>
      </c>
      <c r="CC488" s="2" t="s">
        <v>239</v>
      </c>
      <c r="CD488" s="2" t="s">
        <v>227</v>
      </c>
      <c r="CE488" s="4">
        <v>371</v>
      </c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/>
      <c r="EW488" s="4"/>
      <c r="EX488" s="4"/>
      <c r="EY488" s="4"/>
      <c r="EZ488" s="4"/>
      <c r="FA488" s="4"/>
      <c r="FB488" s="4"/>
      <c r="FC488" s="4"/>
      <c r="FD488" s="4"/>
      <c r="FE488" s="4">
        <v>50</v>
      </c>
      <c r="FF488" s="4"/>
      <c r="FG488" s="4"/>
      <c r="FH488" s="4"/>
      <c r="FI488" s="4"/>
      <c r="FJ488" s="4"/>
      <c r="FK488" s="4"/>
      <c r="FL488" s="4"/>
      <c r="FM488" s="4"/>
      <c r="FN488" s="4"/>
      <c r="FO488" s="4"/>
      <c r="FP488" s="4"/>
      <c r="FQ488" s="4"/>
      <c r="FR488" s="4"/>
      <c r="FS488" s="4"/>
      <c r="FT488" s="4"/>
      <c r="FU488" s="4"/>
      <c r="FV488" s="4"/>
      <c r="FW488" s="4"/>
      <c r="FX488" s="4"/>
      <c r="FY488" s="4"/>
      <c r="FZ488" s="4"/>
      <c r="GA488" s="4"/>
      <c r="GB488" s="4"/>
      <c r="GC488" s="4"/>
      <c r="GD488" s="4"/>
      <c r="GE488" s="4"/>
      <c r="GF488" s="4"/>
      <c r="GG488" s="4"/>
      <c r="GH488" s="4"/>
      <c r="GI488" s="4"/>
      <c r="GJ488" s="4"/>
      <c r="GK488" s="4"/>
      <c r="GL488" s="4"/>
      <c r="GM488" s="4"/>
      <c r="GN488" s="4"/>
      <c r="GO488" s="4"/>
      <c r="GP488" s="4"/>
      <c r="GQ488" s="4"/>
      <c r="GR488" s="4"/>
      <c r="GS488" s="4"/>
      <c r="GT488" s="4"/>
      <c r="GU488" s="4"/>
      <c r="GV488" s="4"/>
      <c r="GW488" s="4"/>
      <c r="GX488" s="4"/>
    </row>
    <row r="489">
      <c r="A489" s="2" t="s">
        <v>3224</v>
      </c>
      <c r="B489" s="2" t="s">
        <v>715</v>
      </c>
      <c r="C489" s="2" t="s">
        <v>360</v>
      </c>
      <c r="D489" s="2" t="s">
        <v>716</v>
      </c>
      <c r="E489" s="2" t="s">
        <v>1924</v>
      </c>
      <c r="F489" s="2" t="s">
        <v>3165</v>
      </c>
      <c r="G489" s="2" t="s">
        <v>3166</v>
      </c>
      <c r="H489" s="2" t="s">
        <v>3167</v>
      </c>
      <c r="I489" s="2" t="s">
        <v>3168</v>
      </c>
      <c r="J489" s="2" t="s">
        <v>3225</v>
      </c>
      <c r="K489" s="2" t="s">
        <v>1067</v>
      </c>
      <c r="L489" s="3">
        <v>32.2</v>
      </c>
      <c r="M489" s="3">
        <v>33.81</v>
      </c>
      <c r="N489" s="3">
        <v>69.99</v>
      </c>
      <c r="O489" s="2" t="s">
        <v>224</v>
      </c>
      <c r="P489" s="2" t="s">
        <v>225</v>
      </c>
      <c r="Q489" s="2" t="s">
        <v>226</v>
      </c>
      <c r="R489" s="2" t="s">
        <v>227</v>
      </c>
      <c r="S489" s="2" t="s">
        <v>3217</v>
      </c>
      <c r="T489" s="2" t="s">
        <v>375</v>
      </c>
      <c r="U489" s="2" t="s">
        <v>552</v>
      </c>
      <c r="V489" s="2" t="s">
        <v>230</v>
      </c>
      <c r="W489" s="2" t="s">
        <v>231</v>
      </c>
      <c r="X489" s="2" t="s">
        <v>227</v>
      </c>
      <c r="Y489" s="2" t="s">
        <v>3181</v>
      </c>
      <c r="Z489" s="4">
        <v>71</v>
      </c>
      <c r="AA489" s="4">
        <f>=ROUNDDOWN(2.95833333333333,0)</f>
      </c>
      <c r="AB489" s="5">
        <v>24</v>
      </c>
      <c r="AC489" s="2" t="s">
        <v>732</v>
      </c>
      <c r="AD489" s="4">
        <v>54</v>
      </c>
      <c r="AE489" s="4">
        <v>558</v>
      </c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227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227</v>
      </c>
      <c r="AW489" s="8" t="s">
        <v>227</v>
      </c>
      <c r="AX489" s="4" t="s">
        <v>227</v>
      </c>
      <c r="AY489" s="8" t="s">
        <v>227</v>
      </c>
      <c r="AZ489" s="7" t="s">
        <v>227</v>
      </c>
      <c r="BA489" s="7" t="s">
        <v>227</v>
      </c>
      <c r="BB489" s="7"/>
      <c r="BC489" s="4" t="s">
        <v>227</v>
      </c>
      <c r="BD489" s="8" t="s">
        <v>227</v>
      </c>
      <c r="BE489" s="4" t="s">
        <v>227</v>
      </c>
      <c r="BF489" s="8" t="s">
        <v>227</v>
      </c>
      <c r="BG489" s="7" t="s">
        <v>227</v>
      </c>
      <c r="BH489" s="7" t="s">
        <v>227</v>
      </c>
      <c r="BI489" s="7"/>
      <c r="BJ489" s="4">
        <v>76</v>
      </c>
      <c r="BK489" s="8">
        <v>2599.79</v>
      </c>
      <c r="BL489" s="2" t="s">
        <v>3226</v>
      </c>
      <c r="BM489" s="7"/>
      <c r="BN489" s="7"/>
      <c r="BO489" s="4"/>
      <c r="BP489" s="8"/>
      <c r="BQ489" s="4"/>
      <c r="BR489" s="8"/>
      <c r="BS489" s="7"/>
      <c r="BT489" s="7"/>
      <c r="BU489" s="2" t="s">
        <v>3227</v>
      </c>
      <c r="BV489" s="2" t="s">
        <v>227</v>
      </c>
      <c r="BW489" s="2" t="s">
        <v>227</v>
      </c>
      <c r="BX489" s="2" t="s">
        <v>2877</v>
      </c>
      <c r="BY489" s="2" t="s">
        <v>236</v>
      </c>
      <c r="BZ489" s="2" t="s">
        <v>224</v>
      </c>
      <c r="CA489" s="2" t="s">
        <v>3181</v>
      </c>
      <c r="CB489" s="2" t="s">
        <v>3228</v>
      </c>
      <c r="CC489" s="2" t="s">
        <v>239</v>
      </c>
      <c r="CD489" s="2" t="s">
        <v>227</v>
      </c>
      <c r="CE489" s="4">
        <v>71</v>
      </c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>
        <v>54</v>
      </c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>
        <v>324</v>
      </c>
      <c r="ER489" s="4"/>
      <c r="ES489" s="4"/>
      <c r="ET489" s="4"/>
      <c r="EU489" s="4"/>
      <c r="EV489" s="4"/>
      <c r="EW489" s="4"/>
      <c r="EX489" s="4"/>
      <c r="EY489" s="4"/>
      <c r="EZ489" s="4"/>
      <c r="FA489" s="4"/>
      <c r="FB489" s="4"/>
      <c r="FC489" s="4"/>
      <c r="FD489" s="4"/>
      <c r="FE489" s="4">
        <v>180</v>
      </c>
      <c r="FF489" s="4"/>
      <c r="FG489" s="4"/>
      <c r="FH489" s="4"/>
      <c r="FI489" s="4"/>
      <c r="FJ489" s="4"/>
      <c r="FK489" s="4"/>
      <c r="FL489" s="4"/>
      <c r="FM489" s="4"/>
      <c r="FN489" s="4"/>
      <c r="FO489" s="4"/>
      <c r="FP489" s="4"/>
      <c r="FQ489" s="4"/>
      <c r="FR489" s="4"/>
      <c r="FS489" s="4"/>
      <c r="FT489" s="4"/>
      <c r="FU489" s="4"/>
      <c r="FV489" s="4"/>
      <c r="FW489" s="4"/>
      <c r="FX489" s="4"/>
      <c r="FY489" s="4"/>
      <c r="FZ489" s="4"/>
      <c r="GA489" s="4"/>
      <c r="GB489" s="4"/>
      <c r="GC489" s="4"/>
      <c r="GD489" s="4"/>
      <c r="GE489" s="4"/>
      <c r="GF489" s="4"/>
      <c r="GG489" s="4"/>
      <c r="GH489" s="4"/>
      <c r="GI489" s="4"/>
      <c r="GJ489" s="4"/>
      <c r="GK489" s="4"/>
      <c r="GL489" s="4"/>
      <c r="GM489" s="4"/>
      <c r="GN489" s="4"/>
      <c r="GO489" s="4"/>
      <c r="GP489" s="4"/>
      <c r="GQ489" s="4"/>
      <c r="GR489" s="4"/>
      <c r="GS489" s="4"/>
      <c r="GT489" s="4"/>
      <c r="GU489" s="4"/>
      <c r="GV489" s="4"/>
      <c r="GW489" s="4"/>
      <c r="GX489" s="4"/>
    </row>
    <row r="490">
      <c r="A490" s="2" t="s">
        <v>3229</v>
      </c>
      <c r="B490" s="2" t="s">
        <v>715</v>
      </c>
      <c r="C490" s="2" t="s">
        <v>360</v>
      </c>
      <c r="D490" s="2" t="s">
        <v>716</v>
      </c>
      <c r="E490" s="2" t="s">
        <v>971</v>
      </c>
      <c r="F490" s="2" t="s">
        <v>3165</v>
      </c>
      <c r="G490" s="2" t="s">
        <v>3166</v>
      </c>
      <c r="H490" s="2" t="s">
        <v>3167</v>
      </c>
      <c r="I490" s="2" t="s">
        <v>3206</v>
      </c>
      <c r="J490" s="2" t="s">
        <v>3207</v>
      </c>
      <c r="K490" s="2" t="s">
        <v>264</v>
      </c>
      <c r="L490" s="3">
        <v>19</v>
      </c>
      <c r="M490" s="3">
        <v>19.95</v>
      </c>
      <c r="N490" s="3">
        <v>39.99</v>
      </c>
      <c r="O490" s="2" t="s">
        <v>224</v>
      </c>
      <c r="P490" s="2" t="s">
        <v>225</v>
      </c>
      <c r="Q490" s="2" t="s">
        <v>226</v>
      </c>
      <c r="R490" s="2" t="s">
        <v>227</v>
      </c>
      <c r="S490" s="2" t="s">
        <v>3230</v>
      </c>
      <c r="T490" s="2" t="s">
        <v>227</v>
      </c>
      <c r="U490" s="2" t="s">
        <v>1044</v>
      </c>
      <c r="V490" s="2" t="s">
        <v>230</v>
      </c>
      <c r="W490" s="2" t="s">
        <v>231</v>
      </c>
      <c r="X490" s="2" t="s">
        <v>1872</v>
      </c>
      <c r="Y490" s="2" t="s">
        <v>3231</v>
      </c>
      <c r="Z490" s="4">
        <v>28</v>
      </c>
      <c r="AA490" s="4">
        <f>=ROUNDDOWN(4,0)</f>
      </c>
      <c r="AB490" s="5">
        <v>7</v>
      </c>
      <c r="AC490" s="2" t="s">
        <v>732</v>
      </c>
      <c r="AD490" s="4">
        <v>256</v>
      </c>
      <c r="AE490" s="4">
        <v>256</v>
      </c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227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227</v>
      </c>
      <c r="AW490" s="8" t="s">
        <v>227</v>
      </c>
      <c r="AX490" s="4" t="s">
        <v>227</v>
      </c>
      <c r="AY490" s="8" t="s">
        <v>227</v>
      </c>
      <c r="AZ490" s="7" t="s">
        <v>227</v>
      </c>
      <c r="BA490" s="7" t="s">
        <v>227</v>
      </c>
      <c r="BB490" s="7"/>
      <c r="BC490" s="4" t="s">
        <v>227</v>
      </c>
      <c r="BD490" s="8" t="s">
        <v>227</v>
      </c>
      <c r="BE490" s="4" t="s">
        <v>227</v>
      </c>
      <c r="BF490" s="8" t="s">
        <v>227</v>
      </c>
      <c r="BG490" s="7" t="s">
        <v>227</v>
      </c>
      <c r="BH490" s="7" t="s">
        <v>227</v>
      </c>
      <c r="BI490" s="7"/>
      <c r="BJ490" s="4">
        <v>18</v>
      </c>
      <c r="BK490" s="8">
        <v>493.07</v>
      </c>
      <c r="BL490" s="2" t="s">
        <v>3232</v>
      </c>
      <c r="BM490" s="7"/>
      <c r="BN490" s="7"/>
      <c r="BO490" s="4"/>
      <c r="BP490" s="8"/>
      <c r="BQ490" s="4"/>
      <c r="BR490" s="8"/>
      <c r="BS490" s="7"/>
      <c r="BT490" s="7"/>
      <c r="BU490" s="2" t="s">
        <v>3233</v>
      </c>
      <c r="BV490" s="2" t="s">
        <v>227</v>
      </c>
      <c r="BW490" s="2" t="s">
        <v>227</v>
      </c>
      <c r="BX490" s="2" t="s">
        <v>2877</v>
      </c>
      <c r="BY490" s="2" t="s">
        <v>236</v>
      </c>
      <c r="BZ490" s="2" t="s">
        <v>224</v>
      </c>
      <c r="CA490" s="2" t="s">
        <v>3211</v>
      </c>
      <c r="CB490" s="2" t="s">
        <v>3234</v>
      </c>
      <c r="CC490" s="2" t="s">
        <v>239</v>
      </c>
      <c r="CD490" s="2" t="s">
        <v>227</v>
      </c>
      <c r="CE490" s="4">
        <v>28</v>
      </c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>
        <v>256</v>
      </c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/>
      <c r="FH490" s="4"/>
      <c r="FI490" s="4"/>
      <c r="FJ490" s="4"/>
      <c r="FK490" s="4"/>
      <c r="FL490" s="4"/>
      <c r="FM490" s="4"/>
      <c r="FN490" s="4"/>
      <c r="FO490" s="4"/>
      <c r="FP490" s="4"/>
      <c r="FQ490" s="4"/>
      <c r="FR490" s="4"/>
      <c r="FS490" s="4"/>
      <c r="FT490" s="4"/>
      <c r="FU490" s="4"/>
      <c r="FV490" s="4"/>
      <c r="FW490" s="4"/>
      <c r="FX490" s="4"/>
      <c r="FY490" s="4"/>
      <c r="FZ490" s="4"/>
      <c r="GA490" s="4"/>
      <c r="GB490" s="4"/>
      <c r="GC490" s="4"/>
      <c r="GD490" s="4"/>
      <c r="GE490" s="4"/>
      <c r="GF490" s="4"/>
      <c r="GG490" s="4"/>
      <c r="GH490" s="4"/>
      <c r="GI490" s="4"/>
      <c r="GJ490" s="4"/>
      <c r="GK490" s="4"/>
      <c r="GL490" s="4"/>
      <c r="GM490" s="4"/>
      <c r="GN490" s="4"/>
      <c r="GO490" s="4"/>
      <c r="GP490" s="4"/>
      <c r="GQ490" s="4"/>
      <c r="GR490" s="4"/>
      <c r="GS490" s="4"/>
      <c r="GT490" s="4"/>
      <c r="GU490" s="4"/>
      <c r="GV490" s="4"/>
      <c r="GW490" s="4"/>
      <c r="GX490" s="4"/>
    </row>
    <row r="491">
      <c r="A491" s="2" t="s">
        <v>3235</v>
      </c>
      <c r="B491" s="2" t="s">
        <v>715</v>
      </c>
      <c r="C491" s="2" t="s">
        <v>360</v>
      </c>
      <c r="D491" s="2" t="s">
        <v>716</v>
      </c>
      <c r="E491" s="2" t="s">
        <v>1924</v>
      </c>
      <c r="F491" s="2" t="s">
        <v>3165</v>
      </c>
      <c r="G491" s="2" t="s">
        <v>3166</v>
      </c>
      <c r="H491" s="2" t="s">
        <v>3167</v>
      </c>
      <c r="I491" s="2" t="s">
        <v>3168</v>
      </c>
      <c r="J491" s="2" t="s">
        <v>1929</v>
      </c>
      <c r="K491" s="2" t="s">
        <v>264</v>
      </c>
      <c r="L491" s="3">
        <v>29.25</v>
      </c>
      <c r="M491" s="3">
        <v>30.71</v>
      </c>
      <c r="N491" s="3">
        <v>64.99</v>
      </c>
      <c r="O491" s="2" t="s">
        <v>224</v>
      </c>
      <c r="P491" s="2" t="s">
        <v>530</v>
      </c>
      <c r="Q491" s="2" t="s">
        <v>226</v>
      </c>
      <c r="R491" s="2" t="s">
        <v>227</v>
      </c>
      <c r="S491" s="2" t="s">
        <v>3230</v>
      </c>
      <c r="T491" s="2" t="s">
        <v>375</v>
      </c>
      <c r="U491" s="2" t="s">
        <v>552</v>
      </c>
      <c r="V491" s="2" t="s">
        <v>230</v>
      </c>
      <c r="W491" s="2" t="s">
        <v>231</v>
      </c>
      <c r="X491" s="2" t="s">
        <v>227</v>
      </c>
      <c r="Y491" s="2" t="s">
        <v>3236</v>
      </c>
      <c r="Z491" s="4">
        <v>552</v>
      </c>
      <c r="AA491" s="4">
        <f>=ROUNDDOWN(25.0909090909091,0)</f>
      </c>
      <c r="AB491" s="5">
        <v>22</v>
      </c>
      <c r="AC491" s="2" t="s">
        <v>732</v>
      </c>
      <c r="AD491" s="4">
        <v>264</v>
      </c>
      <c r="AE491" s="4">
        <v>624</v>
      </c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227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227</v>
      </c>
      <c r="AW491" s="8" t="s">
        <v>227</v>
      </c>
      <c r="AX491" s="4" t="s">
        <v>227</v>
      </c>
      <c r="AY491" s="8" t="s">
        <v>227</v>
      </c>
      <c r="AZ491" s="7" t="s">
        <v>227</v>
      </c>
      <c r="BA491" s="7" t="s">
        <v>227</v>
      </c>
      <c r="BB491" s="7"/>
      <c r="BC491" s="4" t="s">
        <v>227</v>
      </c>
      <c r="BD491" s="8" t="s">
        <v>227</v>
      </c>
      <c r="BE491" s="4" t="s">
        <v>227</v>
      </c>
      <c r="BF491" s="8" t="s">
        <v>227</v>
      </c>
      <c r="BG491" s="7" t="s">
        <v>227</v>
      </c>
      <c r="BH491" s="7" t="s">
        <v>227</v>
      </c>
      <c r="BI491" s="7"/>
      <c r="BJ491" s="4">
        <v>62</v>
      </c>
      <c r="BK491" s="8">
        <v>2050.7</v>
      </c>
      <c r="BL491" s="2" t="s">
        <v>3237</v>
      </c>
      <c r="BM491" s="7"/>
      <c r="BN491" s="7"/>
      <c r="BO491" s="4"/>
      <c r="BP491" s="8"/>
      <c r="BQ491" s="4"/>
      <c r="BR491" s="8"/>
      <c r="BS491" s="7"/>
      <c r="BT491" s="7"/>
      <c r="BU491" s="2" t="s">
        <v>3238</v>
      </c>
      <c r="BV491" s="2" t="s">
        <v>227</v>
      </c>
      <c r="BW491" s="2" t="s">
        <v>227</v>
      </c>
      <c r="BX491" s="2" t="s">
        <v>2877</v>
      </c>
      <c r="BY491" s="2" t="s">
        <v>236</v>
      </c>
      <c r="BZ491" s="2" t="s">
        <v>224</v>
      </c>
      <c r="CA491" s="2" t="s">
        <v>3239</v>
      </c>
      <c r="CB491" s="2" t="s">
        <v>2625</v>
      </c>
      <c r="CC491" s="2" t="s">
        <v>239</v>
      </c>
      <c r="CD491" s="2" t="s">
        <v>227</v>
      </c>
      <c r="CE491" s="4">
        <v>552</v>
      </c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>
        <v>264</v>
      </c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/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/>
      <c r="FH491" s="4"/>
      <c r="FI491" s="4"/>
      <c r="FJ491" s="4"/>
      <c r="FK491" s="4"/>
      <c r="FL491" s="4"/>
      <c r="FM491" s="4"/>
      <c r="FN491" s="4"/>
      <c r="FO491" s="4"/>
      <c r="FP491" s="4"/>
      <c r="FQ491" s="4"/>
      <c r="FR491" s="4"/>
      <c r="FS491" s="4"/>
      <c r="FT491" s="4"/>
      <c r="FU491" s="4"/>
      <c r="FV491" s="4"/>
      <c r="FW491" s="4">
        <v>60</v>
      </c>
      <c r="FX491" s="4"/>
      <c r="FY491" s="4"/>
      <c r="FZ491" s="4"/>
      <c r="GA491" s="4"/>
      <c r="GB491" s="4"/>
      <c r="GC491" s="4"/>
      <c r="GD491" s="4"/>
      <c r="GE491" s="4"/>
      <c r="GF491" s="4"/>
      <c r="GG491" s="4"/>
      <c r="GH491" s="4"/>
      <c r="GI491" s="4"/>
      <c r="GJ491" s="4"/>
      <c r="GK491" s="4"/>
      <c r="GL491" s="4"/>
      <c r="GM491" s="4"/>
      <c r="GN491" s="4"/>
      <c r="GO491" s="4"/>
      <c r="GP491" s="4"/>
      <c r="GQ491" s="4"/>
      <c r="GR491" s="4"/>
      <c r="GS491" s="4"/>
      <c r="GT491" s="4"/>
      <c r="GU491" s="4"/>
      <c r="GV491" s="4"/>
      <c r="GW491" s="4"/>
      <c r="GX491" s="4">
        <v>300</v>
      </c>
    </row>
    <row r="492">
      <c r="A492" s="2" t="s">
        <v>3240</v>
      </c>
      <c r="B492" s="2" t="s">
        <v>573</v>
      </c>
      <c r="C492" s="2" t="s">
        <v>360</v>
      </c>
      <c r="D492" s="2" t="s">
        <v>1230</v>
      </c>
      <c r="E492" s="2" t="s">
        <v>1231</v>
      </c>
      <c r="F492" s="2" t="s">
        <v>3241</v>
      </c>
      <c r="G492" s="2" t="s">
        <v>3242</v>
      </c>
      <c r="H492" s="2" t="s">
        <v>3243</v>
      </c>
      <c r="I492" s="2" t="s">
        <v>3244</v>
      </c>
      <c r="J492" s="2" t="s">
        <v>548</v>
      </c>
      <c r="K492" s="2" t="s">
        <v>1389</v>
      </c>
      <c r="L492" s="3">
        <v>142.6</v>
      </c>
      <c r="M492" s="3">
        <v>149.73</v>
      </c>
      <c r="N492" s="3">
        <v>299</v>
      </c>
      <c r="O492" s="2" t="s">
        <v>224</v>
      </c>
      <c r="P492" s="2" t="s">
        <v>580</v>
      </c>
      <c r="Q492" s="2" t="s">
        <v>226</v>
      </c>
      <c r="R492" s="2" t="s">
        <v>227</v>
      </c>
      <c r="S492" s="2" t="s">
        <v>3245</v>
      </c>
      <c r="T492" s="2" t="s">
        <v>227</v>
      </c>
      <c r="U492" s="2" t="s">
        <v>227</v>
      </c>
      <c r="V492" s="2" t="s">
        <v>230</v>
      </c>
      <c r="W492" s="2" t="s">
        <v>836</v>
      </c>
      <c r="X492" s="2" t="s">
        <v>227</v>
      </c>
      <c r="Y492" s="2" t="s">
        <v>232</v>
      </c>
      <c r="Z492" s="4">
        <v>179</v>
      </c>
      <c r="AA492" s="4">
        <f>=ROUNDDOWN(59.6666666666667,0)</f>
      </c>
      <c r="AB492" s="5">
        <v>3</v>
      </c>
      <c r="AC492" s="2" t="s">
        <v>227</v>
      </c>
      <c r="AD492" s="4"/>
      <c r="AE492" s="4"/>
      <c r="AF492" s="6">
        <v>74</v>
      </c>
      <c r="AG492" s="6"/>
      <c r="AH492" s="7">
        <v>1</v>
      </c>
      <c r="AI492" s="4"/>
      <c r="AJ492" s="4">
        <f>=ROUNDDOWN({0},0)</f>
      </c>
      <c r="AK492" s="5"/>
      <c r="AL492" s="2" t="s">
        <v>227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/>
      <c r="AW492" s="8"/>
      <c r="AX492" s="4"/>
      <c r="AY492" s="8"/>
      <c r="AZ492" s="7"/>
      <c r="BA492" s="7"/>
      <c r="BB492" s="7"/>
      <c r="BC492" s="4" t="s">
        <v>227</v>
      </c>
      <c r="BD492" s="8" t="s">
        <v>227</v>
      </c>
      <c r="BE492" s="4" t="s">
        <v>227</v>
      </c>
      <c r="BF492" s="8" t="s">
        <v>227</v>
      </c>
      <c r="BG492" s="7" t="s">
        <v>227</v>
      </c>
      <c r="BH492" s="7" t="s">
        <v>227</v>
      </c>
      <c r="BI492" s="7"/>
      <c r="BJ492" s="4">
        <v>7</v>
      </c>
      <c r="BK492" s="8">
        <v>998.14</v>
      </c>
      <c r="BL492" s="2" t="s">
        <v>3246</v>
      </c>
      <c r="BM492" s="7"/>
      <c r="BN492" s="7"/>
      <c r="BO492" s="4"/>
      <c r="BP492" s="8"/>
      <c r="BQ492" s="4"/>
      <c r="BR492" s="8"/>
      <c r="BS492" s="7"/>
      <c r="BT492" s="7"/>
      <c r="BU492" s="2" t="s">
        <v>3247</v>
      </c>
      <c r="BV492" s="2" t="s">
        <v>227</v>
      </c>
      <c r="BW492" s="2" t="s">
        <v>227</v>
      </c>
      <c r="BX492" s="2" t="s">
        <v>235</v>
      </c>
      <c r="BY492" s="2" t="s">
        <v>236</v>
      </c>
      <c r="BZ492" s="2" t="s">
        <v>224</v>
      </c>
      <c r="CA492" s="2" t="s">
        <v>237</v>
      </c>
      <c r="CB492" s="2" t="s">
        <v>3248</v>
      </c>
      <c r="CC492" s="2" t="s">
        <v>239</v>
      </c>
      <c r="CD492" s="2" t="s">
        <v>227</v>
      </c>
      <c r="CE492" s="4"/>
      <c r="CF492" s="4">
        <v>179</v>
      </c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/>
      <c r="FH492" s="4"/>
      <c r="FI492" s="4"/>
      <c r="FJ492" s="4"/>
      <c r="FK492" s="4"/>
      <c r="FL492" s="4"/>
      <c r="FM492" s="4"/>
      <c r="FN492" s="4"/>
      <c r="FO492" s="4"/>
      <c r="FP492" s="4"/>
      <c r="FQ492" s="4"/>
      <c r="FR492" s="4"/>
      <c r="FS492" s="4"/>
      <c r="FT492" s="4"/>
      <c r="FU492" s="4"/>
      <c r="FV492" s="4"/>
      <c r="FW492" s="4"/>
      <c r="FX492" s="4"/>
      <c r="FY492" s="4"/>
      <c r="FZ492" s="4"/>
      <c r="GA492" s="4"/>
      <c r="GB492" s="4"/>
      <c r="GC492" s="4"/>
      <c r="GD492" s="4"/>
      <c r="GE492" s="4"/>
      <c r="GF492" s="4"/>
      <c r="GG492" s="4"/>
      <c r="GH492" s="4"/>
      <c r="GI492" s="4"/>
      <c r="GJ492" s="4"/>
      <c r="GK492" s="4"/>
      <c r="GL492" s="4"/>
      <c r="GM492" s="4"/>
      <c r="GN492" s="4"/>
      <c r="GO492" s="4"/>
      <c r="GP492" s="4"/>
      <c r="GQ492" s="4"/>
      <c r="GR492" s="4"/>
      <c r="GS492" s="4"/>
      <c r="GT492" s="4"/>
      <c r="GU492" s="4"/>
      <c r="GV492" s="4"/>
      <c r="GW492" s="4"/>
      <c r="GX492" s="4"/>
    </row>
    <row r="493">
      <c r="A493" s="2" t="s">
        <v>3249</v>
      </c>
      <c r="B493" s="2" t="s">
        <v>573</v>
      </c>
      <c r="C493" s="2" t="s">
        <v>360</v>
      </c>
      <c r="D493" s="2" t="s">
        <v>1230</v>
      </c>
      <c r="E493" s="2" t="s">
        <v>1231</v>
      </c>
      <c r="F493" s="2" t="s">
        <v>3241</v>
      </c>
      <c r="G493" s="2" t="s">
        <v>3242</v>
      </c>
      <c r="H493" s="2" t="s">
        <v>3243</v>
      </c>
      <c r="I493" s="2" t="s">
        <v>3244</v>
      </c>
      <c r="J493" s="2" t="s">
        <v>548</v>
      </c>
      <c r="K493" s="2" t="s">
        <v>1242</v>
      </c>
      <c r="L493" s="3">
        <v>142.6</v>
      </c>
      <c r="M493" s="3">
        <v>149.73</v>
      </c>
      <c r="N493" s="3">
        <v>299</v>
      </c>
      <c r="O493" s="2" t="s">
        <v>224</v>
      </c>
      <c r="P493" s="2" t="s">
        <v>580</v>
      </c>
      <c r="Q493" s="2" t="s">
        <v>226</v>
      </c>
      <c r="R493" s="2" t="s">
        <v>227</v>
      </c>
      <c r="S493" s="2" t="s">
        <v>3250</v>
      </c>
      <c r="T493" s="2" t="s">
        <v>227</v>
      </c>
      <c r="U493" s="2" t="s">
        <v>227</v>
      </c>
      <c r="V493" s="2" t="s">
        <v>230</v>
      </c>
      <c r="W493" s="2" t="s">
        <v>836</v>
      </c>
      <c r="X493" s="2" t="s">
        <v>227</v>
      </c>
      <c r="Y493" s="2" t="s">
        <v>232</v>
      </c>
      <c r="Z493" s="4">
        <v>150</v>
      </c>
      <c r="AA493" s="4">
        <f>=ROUNDDOWN(50,0)</f>
      </c>
      <c r="AB493" s="5">
        <v>3</v>
      </c>
      <c r="AC493" s="2" t="s">
        <v>227</v>
      </c>
      <c r="AD493" s="4"/>
      <c r="AE493" s="4"/>
      <c r="AF493" s="6">
        <v>74</v>
      </c>
      <c r="AG493" s="6"/>
      <c r="AH493" s="7">
        <v>1</v>
      </c>
      <c r="AI493" s="4"/>
      <c r="AJ493" s="4">
        <f>=ROUNDDOWN({0},0)</f>
      </c>
      <c r="AK493" s="5"/>
      <c r="AL493" s="2" t="s">
        <v>227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/>
      <c r="AW493" s="8"/>
      <c r="AX493" s="4"/>
      <c r="AY493" s="8"/>
      <c r="AZ493" s="7"/>
      <c r="BA493" s="7"/>
      <c r="BB493" s="7"/>
      <c r="BC493" s="4" t="s">
        <v>227</v>
      </c>
      <c r="BD493" s="8" t="s">
        <v>227</v>
      </c>
      <c r="BE493" s="4" t="s">
        <v>227</v>
      </c>
      <c r="BF493" s="8" t="s">
        <v>227</v>
      </c>
      <c r="BG493" s="7" t="s">
        <v>227</v>
      </c>
      <c r="BH493" s="7" t="s">
        <v>227</v>
      </c>
      <c r="BI493" s="7"/>
      <c r="BJ493" s="4">
        <v>10</v>
      </c>
      <c r="BK493" s="8">
        <v>1471.62</v>
      </c>
      <c r="BL493" s="2" t="s">
        <v>3251</v>
      </c>
      <c r="BM493" s="7"/>
      <c r="BN493" s="7"/>
      <c r="BO493" s="4"/>
      <c r="BP493" s="8"/>
      <c r="BQ493" s="4"/>
      <c r="BR493" s="8"/>
      <c r="BS493" s="7"/>
      <c r="BT493" s="7"/>
      <c r="BU493" s="2" t="s">
        <v>3252</v>
      </c>
      <c r="BV493" s="2" t="s">
        <v>227</v>
      </c>
      <c r="BW493" s="2" t="s">
        <v>227</v>
      </c>
      <c r="BX493" s="2" t="s">
        <v>235</v>
      </c>
      <c r="BY493" s="2" t="s">
        <v>236</v>
      </c>
      <c r="BZ493" s="2" t="s">
        <v>224</v>
      </c>
      <c r="CA493" s="2" t="s">
        <v>237</v>
      </c>
      <c r="CB493" s="2" t="s">
        <v>3253</v>
      </c>
      <c r="CC493" s="2" t="s">
        <v>239</v>
      </c>
      <c r="CD493" s="2" t="s">
        <v>227</v>
      </c>
      <c r="CE493" s="4"/>
      <c r="CF493" s="4">
        <v>150</v>
      </c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/>
      <c r="FM493" s="4"/>
      <c r="FN493" s="4"/>
      <c r="FO493" s="4"/>
      <c r="FP493" s="4"/>
      <c r="FQ493" s="4"/>
      <c r="FR493" s="4"/>
      <c r="FS493" s="4"/>
      <c r="FT493" s="4"/>
      <c r="FU493" s="4"/>
      <c r="FV493" s="4"/>
      <c r="FW493" s="4"/>
      <c r="FX493" s="4"/>
      <c r="FY493" s="4"/>
      <c r="FZ493" s="4"/>
      <c r="GA493" s="4"/>
      <c r="GB493" s="4"/>
      <c r="GC493" s="4"/>
      <c r="GD493" s="4"/>
      <c r="GE493" s="4"/>
      <c r="GF493" s="4"/>
      <c r="GG493" s="4"/>
      <c r="GH493" s="4"/>
      <c r="GI493" s="4"/>
      <c r="GJ493" s="4"/>
      <c r="GK493" s="4"/>
      <c r="GL493" s="4"/>
      <c r="GM493" s="4"/>
      <c r="GN493" s="4"/>
      <c r="GO493" s="4"/>
      <c r="GP493" s="4"/>
      <c r="GQ493" s="4"/>
      <c r="GR493" s="4"/>
      <c r="GS493" s="4"/>
      <c r="GT493" s="4"/>
      <c r="GU493" s="4"/>
      <c r="GV493" s="4"/>
      <c r="GW493" s="4"/>
      <c r="GX493" s="4"/>
    </row>
    <row r="494">
      <c r="A494" s="2" t="s">
        <v>3254</v>
      </c>
      <c r="B494" s="2" t="s">
        <v>573</v>
      </c>
      <c r="C494" s="2" t="s">
        <v>360</v>
      </c>
      <c r="D494" s="2" t="s">
        <v>1230</v>
      </c>
      <c r="E494" s="2" t="s">
        <v>1231</v>
      </c>
      <c r="F494" s="2" t="s">
        <v>3241</v>
      </c>
      <c r="G494" s="2" t="s">
        <v>3242</v>
      </c>
      <c r="H494" s="2" t="s">
        <v>3243</v>
      </c>
      <c r="I494" s="2" t="s">
        <v>3244</v>
      </c>
      <c r="J494" s="2" t="s">
        <v>548</v>
      </c>
      <c r="K494" s="2" t="s">
        <v>410</v>
      </c>
      <c r="L494" s="3">
        <v>142.6</v>
      </c>
      <c r="M494" s="3">
        <v>149.73</v>
      </c>
      <c r="N494" s="3">
        <v>299</v>
      </c>
      <c r="O494" s="2" t="s">
        <v>224</v>
      </c>
      <c r="P494" s="2" t="s">
        <v>580</v>
      </c>
      <c r="Q494" s="2" t="s">
        <v>226</v>
      </c>
      <c r="R494" s="2" t="s">
        <v>227</v>
      </c>
      <c r="S494" s="2" t="s">
        <v>3255</v>
      </c>
      <c r="T494" s="2" t="s">
        <v>227</v>
      </c>
      <c r="U494" s="2" t="s">
        <v>227</v>
      </c>
      <c r="V494" s="2" t="s">
        <v>230</v>
      </c>
      <c r="W494" s="2" t="s">
        <v>836</v>
      </c>
      <c r="X494" s="2" t="s">
        <v>227</v>
      </c>
      <c r="Y494" s="2" t="s">
        <v>232</v>
      </c>
      <c r="Z494" s="4">
        <v>184</v>
      </c>
      <c r="AA494" s="4">
        <f>=ROUNDDOWN(70.7692307692308,0)</f>
      </c>
      <c r="AB494" s="5">
        <v>2.6</v>
      </c>
      <c r="AC494" s="2" t="s">
        <v>227</v>
      </c>
      <c r="AD494" s="4"/>
      <c r="AE494" s="4"/>
      <c r="AF494" s="6">
        <v>74</v>
      </c>
      <c r="AG494" s="6"/>
      <c r="AH494" s="7">
        <v>1</v>
      </c>
      <c r="AI494" s="4"/>
      <c r="AJ494" s="4">
        <f>=ROUNDDOWN({0},0)</f>
      </c>
      <c r="AK494" s="5"/>
      <c r="AL494" s="2" t="s">
        <v>227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/>
      <c r="AW494" s="8"/>
      <c r="AX494" s="4"/>
      <c r="AY494" s="8"/>
      <c r="AZ494" s="7"/>
      <c r="BA494" s="7"/>
      <c r="BB494" s="7"/>
      <c r="BC494" s="4" t="s">
        <v>227</v>
      </c>
      <c r="BD494" s="8" t="s">
        <v>227</v>
      </c>
      <c r="BE494" s="4" t="s">
        <v>227</v>
      </c>
      <c r="BF494" s="8" t="s">
        <v>227</v>
      </c>
      <c r="BG494" s="7" t="s">
        <v>227</v>
      </c>
      <c r="BH494" s="7" t="s">
        <v>227</v>
      </c>
      <c r="BI494" s="7"/>
      <c r="BJ494" s="4">
        <v>16</v>
      </c>
      <c r="BK494" s="8">
        <v>2030.86</v>
      </c>
      <c r="BL494" s="2" t="s">
        <v>3256</v>
      </c>
      <c r="BM494" s="7"/>
      <c r="BN494" s="7"/>
      <c r="BO494" s="4"/>
      <c r="BP494" s="8"/>
      <c r="BQ494" s="4"/>
      <c r="BR494" s="8"/>
      <c r="BS494" s="7"/>
      <c r="BT494" s="7"/>
      <c r="BU494" s="2" t="s">
        <v>3257</v>
      </c>
      <c r="BV494" s="2" t="s">
        <v>227</v>
      </c>
      <c r="BW494" s="2" t="s">
        <v>227</v>
      </c>
      <c r="BX494" s="2" t="s">
        <v>235</v>
      </c>
      <c r="BY494" s="2" t="s">
        <v>236</v>
      </c>
      <c r="BZ494" s="2" t="s">
        <v>224</v>
      </c>
      <c r="CA494" s="2" t="s">
        <v>237</v>
      </c>
      <c r="CB494" s="2" t="s">
        <v>3258</v>
      </c>
      <c r="CC494" s="2" t="s">
        <v>239</v>
      </c>
      <c r="CD494" s="2" t="s">
        <v>227</v>
      </c>
      <c r="CE494" s="4"/>
      <c r="CF494" s="4">
        <v>184</v>
      </c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  <c r="FM494" s="4"/>
      <c r="FN494" s="4"/>
      <c r="FO494" s="4"/>
      <c r="FP494" s="4"/>
      <c r="FQ494" s="4"/>
      <c r="FR494" s="4"/>
      <c r="FS494" s="4"/>
      <c r="FT494" s="4"/>
      <c r="FU494" s="4"/>
      <c r="FV494" s="4"/>
      <c r="FW494" s="4"/>
      <c r="FX494" s="4"/>
      <c r="FY494" s="4"/>
      <c r="FZ494" s="4"/>
      <c r="GA494" s="4"/>
      <c r="GB494" s="4"/>
      <c r="GC494" s="4"/>
      <c r="GD494" s="4"/>
      <c r="GE494" s="4"/>
      <c r="GF494" s="4"/>
      <c r="GG494" s="4"/>
      <c r="GH494" s="4"/>
      <c r="GI494" s="4"/>
      <c r="GJ494" s="4"/>
      <c r="GK494" s="4"/>
      <c r="GL494" s="4"/>
      <c r="GM494" s="4"/>
      <c r="GN494" s="4"/>
      <c r="GO494" s="4"/>
      <c r="GP494" s="4"/>
      <c r="GQ494" s="4"/>
      <c r="GR494" s="4"/>
      <c r="GS494" s="4"/>
      <c r="GT494" s="4"/>
      <c r="GU494" s="4"/>
      <c r="GV494" s="4"/>
      <c r="GW494" s="4"/>
      <c r="GX494" s="4"/>
    </row>
    <row r="495">
      <c r="A495" s="2" t="s">
        <v>3259</v>
      </c>
      <c r="B495" s="2" t="s">
        <v>667</v>
      </c>
      <c r="C495" s="2" t="s">
        <v>360</v>
      </c>
      <c r="D495" s="2" t="s">
        <v>687</v>
      </c>
      <c r="E495" s="2" t="s">
        <v>699</v>
      </c>
      <c r="F495" s="2" t="s">
        <v>3260</v>
      </c>
      <c r="G495" s="2" t="s">
        <v>3261</v>
      </c>
      <c r="H495" s="2" t="s">
        <v>3262</v>
      </c>
      <c r="I495" s="2" t="s">
        <v>1204</v>
      </c>
      <c r="J495" s="2" t="s">
        <v>384</v>
      </c>
      <c r="K495" s="2" t="s">
        <v>223</v>
      </c>
      <c r="L495" s="3">
        <v>66.15</v>
      </c>
      <c r="M495" s="3">
        <v>69.45</v>
      </c>
      <c r="N495" s="3">
        <v>134.99</v>
      </c>
      <c r="O495" s="2" t="s">
        <v>224</v>
      </c>
      <c r="P495" s="2" t="s">
        <v>225</v>
      </c>
      <c r="Q495" s="2" t="s">
        <v>226</v>
      </c>
      <c r="R495" s="2" t="s">
        <v>227</v>
      </c>
      <c r="S495" s="2" t="s">
        <v>3263</v>
      </c>
      <c r="T495" s="2" t="s">
        <v>227</v>
      </c>
      <c r="U495" s="2" t="s">
        <v>1069</v>
      </c>
      <c r="V495" s="2" t="s">
        <v>3264</v>
      </c>
      <c r="W495" s="2" t="s">
        <v>581</v>
      </c>
      <c r="X495" s="2" t="s">
        <v>506</v>
      </c>
      <c r="Y495" s="2" t="s">
        <v>232</v>
      </c>
      <c r="Z495" s="4">
        <v>265</v>
      </c>
      <c r="AA495" s="4">
        <f>=ROUNDDOWN(26.5,0)</f>
      </c>
      <c r="AB495" s="5">
        <v>10</v>
      </c>
      <c r="AC495" s="2" t="s">
        <v>187</v>
      </c>
      <c r="AD495" s="4">
        <v>50</v>
      </c>
      <c r="AE495" s="4">
        <v>130</v>
      </c>
      <c r="AF495" s="6">
        <v>64</v>
      </c>
      <c r="AG495" s="6">
        <v>47</v>
      </c>
      <c r="AH495" s="7">
        <v>1</v>
      </c>
      <c r="AI495" s="4"/>
      <c r="AJ495" s="4">
        <f>=ROUNDDOWN({0},0)</f>
      </c>
      <c r="AK495" s="5"/>
      <c r="AL495" s="2" t="s">
        <v>227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/>
      <c r="AW495" s="8"/>
      <c r="AX495" s="4"/>
      <c r="AY495" s="8"/>
      <c r="AZ495" s="7"/>
      <c r="BA495" s="7"/>
      <c r="BB495" s="7"/>
      <c r="BC495" s="4"/>
      <c r="BD495" s="8"/>
      <c r="BE495" s="4"/>
      <c r="BF495" s="8"/>
      <c r="BG495" s="7"/>
      <c r="BH495" s="7"/>
      <c r="BI495" s="7"/>
      <c r="BJ495" s="4">
        <v>40</v>
      </c>
      <c r="BK495" s="8">
        <v>2645.41</v>
      </c>
      <c r="BL495" s="2" t="s">
        <v>3265</v>
      </c>
      <c r="BM495" s="7"/>
      <c r="BN495" s="7"/>
      <c r="BO495" s="4"/>
      <c r="BP495" s="8"/>
      <c r="BQ495" s="4"/>
      <c r="BR495" s="8"/>
      <c r="BS495" s="7"/>
      <c r="BT495" s="7"/>
      <c r="BU495" s="2" t="s">
        <v>3266</v>
      </c>
      <c r="BV495" s="2" t="s">
        <v>227</v>
      </c>
      <c r="BW495" s="2" t="s">
        <v>227</v>
      </c>
      <c r="BX495" s="2" t="s">
        <v>235</v>
      </c>
      <c r="BY495" s="2" t="s">
        <v>236</v>
      </c>
      <c r="BZ495" s="2" t="s">
        <v>224</v>
      </c>
      <c r="CA495" s="2" t="s">
        <v>237</v>
      </c>
      <c r="CB495" s="2" t="s">
        <v>3267</v>
      </c>
      <c r="CC495" s="2" t="s">
        <v>239</v>
      </c>
      <c r="CD495" s="2" t="s">
        <v>227</v>
      </c>
      <c r="CE495" s="4">
        <v>111</v>
      </c>
      <c r="CF495" s="4"/>
      <c r="CG495" s="4"/>
      <c r="CH495" s="4">
        <v>154</v>
      </c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/>
      <c r="FG495" s="4"/>
      <c r="FH495" s="4"/>
      <c r="FI495" s="4"/>
      <c r="FJ495" s="4"/>
      <c r="FK495" s="4"/>
      <c r="FL495" s="4"/>
      <c r="FM495" s="4"/>
      <c r="FN495" s="4"/>
      <c r="FO495" s="4"/>
      <c r="FP495" s="4"/>
      <c r="FQ495" s="4"/>
      <c r="FR495" s="4"/>
      <c r="FS495" s="4"/>
      <c r="FT495" s="4"/>
      <c r="FU495" s="4"/>
      <c r="FV495" s="4"/>
      <c r="FW495" s="4">
        <v>50</v>
      </c>
      <c r="FX495" s="4"/>
      <c r="FY495" s="4"/>
      <c r="FZ495" s="4"/>
      <c r="GA495" s="4"/>
      <c r="GB495" s="4"/>
      <c r="GC495" s="4"/>
      <c r="GD495" s="4"/>
      <c r="GE495" s="4"/>
      <c r="GF495" s="4"/>
      <c r="GG495" s="4"/>
      <c r="GH495" s="4"/>
      <c r="GI495" s="4"/>
      <c r="GJ495" s="4"/>
      <c r="GK495" s="4"/>
      <c r="GL495" s="4"/>
      <c r="GM495" s="4"/>
      <c r="GN495" s="4"/>
      <c r="GO495" s="4"/>
      <c r="GP495" s="4"/>
      <c r="GQ495" s="4"/>
      <c r="GR495" s="4"/>
      <c r="GS495" s="4"/>
      <c r="GT495" s="4"/>
      <c r="GU495" s="4"/>
      <c r="GV495" s="4">
        <v>80</v>
      </c>
      <c r="GW495" s="4"/>
      <c r="GX495" s="4"/>
    </row>
    <row r="496">
      <c r="A496" s="2" t="s">
        <v>3268</v>
      </c>
      <c r="B496" s="2" t="s">
        <v>635</v>
      </c>
      <c r="C496" s="2" t="s">
        <v>636</v>
      </c>
      <c r="D496" s="2" t="s">
        <v>637</v>
      </c>
      <c r="E496" s="2" t="s">
        <v>638</v>
      </c>
      <c r="F496" s="2" t="s">
        <v>3269</v>
      </c>
      <c r="G496" s="2" t="s">
        <v>3269</v>
      </c>
      <c r="H496" s="2" t="s">
        <v>3269</v>
      </c>
      <c r="I496" s="2" t="s">
        <v>3270</v>
      </c>
      <c r="J496" s="2" t="s">
        <v>548</v>
      </c>
      <c r="K496" s="2" t="s">
        <v>3271</v>
      </c>
      <c r="L496" s="3">
        <v>20.81</v>
      </c>
      <c r="M496" s="3">
        <v>21.85</v>
      </c>
      <c r="N496" s="3">
        <v>29.99</v>
      </c>
      <c r="O496" s="2" t="s">
        <v>224</v>
      </c>
      <c r="P496" s="2" t="s">
        <v>225</v>
      </c>
      <c r="Q496" s="2" t="s">
        <v>226</v>
      </c>
      <c r="R496" s="2" t="s">
        <v>227</v>
      </c>
      <c r="S496" s="2" t="s">
        <v>227</v>
      </c>
      <c r="T496" s="2" t="s">
        <v>227</v>
      </c>
      <c r="U496" s="2" t="s">
        <v>552</v>
      </c>
      <c r="V496" s="2" t="s">
        <v>566</v>
      </c>
      <c r="W496" s="2" t="s">
        <v>231</v>
      </c>
      <c r="X496" s="2" t="s">
        <v>227</v>
      </c>
      <c r="Y496" s="2" t="s">
        <v>3272</v>
      </c>
      <c r="Z496" s="4">
        <v>592</v>
      </c>
      <c r="AA496" s="4">
        <f>=ROUNDDOWN(296,0)</f>
      </c>
      <c r="AB496" s="5">
        <v>2</v>
      </c>
      <c r="AC496" s="2" t="s">
        <v>227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227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/>
      <c r="AW496" s="8"/>
      <c r="AX496" s="4"/>
      <c r="AY496" s="8"/>
      <c r="AZ496" s="7"/>
      <c r="BA496" s="7"/>
      <c r="BB496" s="7"/>
      <c r="BC496" s="4"/>
      <c r="BD496" s="8"/>
      <c r="BE496" s="4"/>
      <c r="BF496" s="8"/>
      <c r="BG496" s="7"/>
      <c r="BH496" s="7"/>
      <c r="BI496" s="7"/>
      <c r="BJ496" s="4"/>
      <c r="BK496" s="8"/>
      <c r="BL496" s="2" t="s">
        <v>227</v>
      </c>
      <c r="BM496" s="7"/>
      <c r="BN496" s="7"/>
      <c r="BO496" s="4"/>
      <c r="BP496" s="8"/>
      <c r="BQ496" s="4"/>
      <c r="BR496" s="8"/>
      <c r="BS496" s="7"/>
      <c r="BT496" s="7"/>
      <c r="BU496" s="2" t="s">
        <v>3273</v>
      </c>
      <c r="BV496" s="2" t="s">
        <v>227</v>
      </c>
      <c r="BW496" s="2" t="s">
        <v>227</v>
      </c>
      <c r="BX496" s="2" t="s">
        <v>235</v>
      </c>
      <c r="BY496" s="2" t="s">
        <v>236</v>
      </c>
      <c r="BZ496" s="2" t="s">
        <v>224</v>
      </c>
      <c r="CA496" s="2" t="s">
        <v>1979</v>
      </c>
      <c r="CB496" s="2" t="s">
        <v>227</v>
      </c>
      <c r="CC496" s="2" t="s">
        <v>239</v>
      </c>
      <c r="CD496" s="2" t="s">
        <v>227</v>
      </c>
      <c r="CE496" s="4"/>
      <c r="CF496" s="4">
        <v>293</v>
      </c>
      <c r="CG496" s="4"/>
      <c r="CH496" s="4">
        <v>299</v>
      </c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/>
      <c r="FH496" s="4"/>
      <c r="FI496" s="4"/>
      <c r="FJ496" s="4"/>
      <c r="FK496" s="4"/>
      <c r="FL496" s="4"/>
      <c r="FM496" s="4"/>
      <c r="FN496" s="4"/>
      <c r="FO496" s="4"/>
      <c r="FP496" s="4"/>
      <c r="FQ496" s="4"/>
      <c r="FR496" s="4"/>
      <c r="FS496" s="4"/>
      <c r="FT496" s="4"/>
      <c r="FU496" s="4"/>
      <c r="FV496" s="4"/>
      <c r="FW496" s="4"/>
      <c r="FX496" s="4"/>
      <c r="FY496" s="4"/>
      <c r="FZ496" s="4"/>
      <c r="GA496" s="4"/>
      <c r="GB496" s="4"/>
      <c r="GC496" s="4"/>
      <c r="GD496" s="4"/>
      <c r="GE496" s="4"/>
      <c r="GF496" s="4"/>
      <c r="GG496" s="4"/>
      <c r="GH496" s="4"/>
      <c r="GI496" s="4"/>
      <c r="GJ496" s="4"/>
      <c r="GK496" s="4"/>
      <c r="GL496" s="4"/>
      <c r="GM496" s="4"/>
      <c r="GN496" s="4"/>
      <c r="GO496" s="4"/>
      <c r="GP496" s="4"/>
      <c r="GQ496" s="4"/>
      <c r="GR496" s="4"/>
      <c r="GS496" s="4"/>
      <c r="GT496" s="4"/>
      <c r="GU496" s="4"/>
      <c r="GV496" s="4"/>
      <c r="GW496" s="4"/>
      <c r="GX496" s="4"/>
    </row>
    <row r="497">
      <c r="A497" s="2" t="s">
        <v>3274</v>
      </c>
      <c r="B497" s="2" t="s">
        <v>542</v>
      </c>
      <c r="C497" s="2" t="s">
        <v>1546</v>
      </c>
      <c r="D497" s="2" t="s">
        <v>1052</v>
      </c>
      <c r="E497" s="2" t="s">
        <v>545</v>
      </c>
      <c r="F497" s="2" t="s">
        <v>3275</v>
      </c>
      <c r="G497" s="2" t="s">
        <v>3275</v>
      </c>
      <c r="H497" s="2" t="s">
        <v>3275</v>
      </c>
      <c r="I497" s="2" t="s">
        <v>3276</v>
      </c>
      <c r="J497" s="2" t="s">
        <v>548</v>
      </c>
      <c r="K497" s="2" t="s">
        <v>627</v>
      </c>
      <c r="L497" s="3">
        <v>44.05</v>
      </c>
      <c r="M497" s="3">
        <v>46.25</v>
      </c>
      <c r="N497" s="3">
        <v>84.99</v>
      </c>
      <c r="O497" s="2" t="s">
        <v>224</v>
      </c>
      <c r="P497" s="2" t="s">
        <v>580</v>
      </c>
      <c r="Q497" s="2" t="s">
        <v>226</v>
      </c>
      <c r="R497" s="2" t="s">
        <v>227</v>
      </c>
      <c r="S497" s="2" t="s">
        <v>3277</v>
      </c>
      <c r="T497" s="2" t="s">
        <v>227</v>
      </c>
      <c r="U497" s="2" t="s">
        <v>1044</v>
      </c>
      <c r="V497" s="2" t="s">
        <v>3278</v>
      </c>
      <c r="W497" s="2" t="s">
        <v>1381</v>
      </c>
      <c r="X497" s="2" t="s">
        <v>227</v>
      </c>
      <c r="Y497" s="2" t="s">
        <v>232</v>
      </c>
      <c r="Z497" s="4">
        <v>49</v>
      </c>
      <c r="AA497" s="4">
        <f>=ROUNDDOWN(18.1481481481481,0)</f>
      </c>
      <c r="AB497" s="5">
        <v>2.7</v>
      </c>
      <c r="AC497" s="2" t="s">
        <v>227</v>
      </c>
      <c r="AD497" s="4"/>
      <c r="AE497" s="4"/>
      <c r="AF497" s="6">
        <v>63</v>
      </c>
      <c r="AG497" s="6"/>
      <c r="AH497" s="7">
        <v>1</v>
      </c>
      <c r="AI497" s="4"/>
      <c r="AJ497" s="4">
        <f>=ROUNDDOWN({0},0)</f>
      </c>
      <c r="AK497" s="5"/>
      <c r="AL497" s="2" t="s">
        <v>227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/>
      <c r="AW497" s="8"/>
      <c r="AX497" s="4"/>
      <c r="AY497" s="8"/>
      <c r="AZ497" s="7"/>
      <c r="BA497" s="7"/>
      <c r="BB497" s="7"/>
      <c r="BC497" s="4"/>
      <c r="BD497" s="8"/>
      <c r="BE497" s="4"/>
      <c r="BF497" s="8"/>
      <c r="BG497" s="7"/>
      <c r="BH497" s="7"/>
      <c r="BI497" s="7"/>
      <c r="BJ497" s="4">
        <v>12</v>
      </c>
      <c r="BK497" s="8">
        <v>618.23</v>
      </c>
      <c r="BL497" s="2" t="s">
        <v>3279</v>
      </c>
      <c r="BM497" s="7"/>
      <c r="BN497" s="7"/>
      <c r="BO497" s="4"/>
      <c r="BP497" s="8"/>
      <c r="BQ497" s="4"/>
      <c r="BR497" s="8"/>
      <c r="BS497" s="7"/>
      <c r="BT497" s="7"/>
      <c r="BU497" s="2" t="s">
        <v>3280</v>
      </c>
      <c r="BV497" s="2" t="s">
        <v>227</v>
      </c>
      <c r="BW497" s="2" t="s">
        <v>227</v>
      </c>
      <c r="BX497" s="2" t="s">
        <v>235</v>
      </c>
      <c r="BY497" s="2" t="s">
        <v>236</v>
      </c>
      <c r="BZ497" s="2" t="s">
        <v>224</v>
      </c>
      <c r="CA497" s="2" t="s">
        <v>3281</v>
      </c>
      <c r="CB497" s="2" t="s">
        <v>2145</v>
      </c>
      <c r="CC497" s="2" t="s">
        <v>239</v>
      </c>
      <c r="CD497" s="2" t="s">
        <v>227</v>
      </c>
      <c r="CE497" s="4"/>
      <c r="CF497" s="4">
        <v>49</v>
      </c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/>
      <c r="FH497" s="4"/>
      <c r="FI497" s="4"/>
      <c r="FJ497" s="4"/>
      <c r="FK497" s="4"/>
      <c r="FL497" s="4"/>
      <c r="FM497" s="4"/>
      <c r="FN497" s="4"/>
      <c r="FO497" s="4"/>
      <c r="FP497" s="4"/>
      <c r="FQ497" s="4"/>
      <c r="FR497" s="4"/>
      <c r="FS497" s="4"/>
      <c r="FT497" s="4"/>
      <c r="FU497" s="4"/>
      <c r="FV497" s="4"/>
      <c r="FW497" s="4"/>
      <c r="FX497" s="4"/>
      <c r="FY497" s="4"/>
      <c r="FZ497" s="4"/>
      <c r="GA497" s="4"/>
      <c r="GB497" s="4"/>
      <c r="GC497" s="4"/>
      <c r="GD497" s="4"/>
      <c r="GE497" s="4"/>
      <c r="GF497" s="4"/>
      <c r="GG497" s="4"/>
      <c r="GH497" s="4"/>
      <c r="GI497" s="4"/>
      <c r="GJ497" s="4"/>
      <c r="GK497" s="4"/>
      <c r="GL497" s="4"/>
      <c r="GM497" s="4"/>
      <c r="GN497" s="4"/>
      <c r="GO497" s="4"/>
      <c r="GP497" s="4"/>
      <c r="GQ497" s="4"/>
      <c r="GR497" s="4"/>
      <c r="GS497" s="4"/>
      <c r="GT497" s="4"/>
      <c r="GU497" s="4"/>
      <c r="GV497" s="4"/>
      <c r="GW497" s="4"/>
      <c r="GX497" s="4"/>
    </row>
    <row r="498">
      <c r="A498" s="2" t="s">
        <v>3282</v>
      </c>
      <c r="B498" s="2" t="s">
        <v>573</v>
      </c>
      <c r="C498" s="2" t="s">
        <v>360</v>
      </c>
      <c r="D498" s="2" t="s">
        <v>1515</v>
      </c>
      <c r="E498" s="2" t="s">
        <v>1516</v>
      </c>
      <c r="F498" s="2" t="s">
        <v>3283</v>
      </c>
      <c r="G498" s="2" t="s">
        <v>3284</v>
      </c>
      <c r="H498" s="2" t="s">
        <v>3285</v>
      </c>
      <c r="I498" s="2" t="s">
        <v>3286</v>
      </c>
      <c r="J498" s="2" t="s">
        <v>548</v>
      </c>
      <c r="K498" s="2" t="s">
        <v>410</v>
      </c>
      <c r="L498" s="3">
        <v>190</v>
      </c>
      <c r="M498" s="3">
        <v>199.5</v>
      </c>
      <c r="N498" s="3">
        <v>399</v>
      </c>
      <c r="O498" s="2" t="s">
        <v>224</v>
      </c>
      <c r="P498" s="2" t="s">
        <v>580</v>
      </c>
      <c r="Q498" s="2" t="s">
        <v>226</v>
      </c>
      <c r="R498" s="2" t="s">
        <v>227</v>
      </c>
      <c r="S498" s="2" t="s">
        <v>227</v>
      </c>
      <c r="T498" s="2" t="s">
        <v>227</v>
      </c>
      <c r="U498" s="2" t="s">
        <v>552</v>
      </c>
      <c r="V498" s="2" t="s">
        <v>230</v>
      </c>
      <c r="W498" s="2" t="s">
        <v>836</v>
      </c>
      <c r="X498" s="2" t="s">
        <v>581</v>
      </c>
      <c r="Y498" s="2" t="s">
        <v>3287</v>
      </c>
      <c r="Z498" s="4">
        <v>78</v>
      </c>
      <c r="AA498" s="4">
        <f>=ROUNDDOWN(26,0)</f>
      </c>
      <c r="AB498" s="5">
        <v>3</v>
      </c>
      <c r="AC498" s="2" t="s">
        <v>191</v>
      </c>
      <c r="AD498" s="4">
        <v>100</v>
      </c>
      <c r="AE498" s="4">
        <v>100</v>
      </c>
      <c r="AF498" s="6">
        <v>66</v>
      </c>
      <c r="AG498" s="6"/>
      <c r="AH498" s="7">
        <v>1</v>
      </c>
      <c r="AI498" s="4"/>
      <c r="AJ498" s="4">
        <f>=ROUNDDOWN({0},0)</f>
      </c>
      <c r="AK498" s="5"/>
      <c r="AL498" s="2" t="s">
        <v>227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/>
      <c r="AW498" s="8"/>
      <c r="AX498" s="4"/>
      <c r="AY498" s="8"/>
      <c r="AZ498" s="7"/>
      <c r="BA498" s="7"/>
      <c r="BB498" s="7"/>
      <c r="BC498" s="4"/>
      <c r="BD498" s="8"/>
      <c r="BE498" s="4"/>
      <c r="BF498" s="8"/>
      <c r="BG498" s="7"/>
      <c r="BH498" s="7"/>
      <c r="BI498" s="7"/>
      <c r="BJ498" s="4">
        <v>15</v>
      </c>
      <c r="BK498" s="8">
        <v>2673.45</v>
      </c>
      <c r="BL498" s="2" t="s">
        <v>3288</v>
      </c>
      <c r="BM498" s="7"/>
      <c r="BN498" s="7"/>
      <c r="BO498" s="4"/>
      <c r="BP498" s="8"/>
      <c r="BQ498" s="4"/>
      <c r="BR498" s="8"/>
      <c r="BS498" s="7"/>
      <c r="BT498" s="7"/>
      <c r="BU498" s="2" t="s">
        <v>3289</v>
      </c>
      <c r="BV498" s="2" t="s">
        <v>227</v>
      </c>
      <c r="BW498" s="2" t="s">
        <v>227</v>
      </c>
      <c r="BX498" s="2" t="s">
        <v>711</v>
      </c>
      <c r="BY498" s="2" t="s">
        <v>236</v>
      </c>
      <c r="BZ498" s="2" t="s">
        <v>224</v>
      </c>
      <c r="CA498" s="2" t="s">
        <v>3290</v>
      </c>
      <c r="CB498" s="2" t="s">
        <v>3291</v>
      </c>
      <c r="CC498" s="2" t="s">
        <v>239</v>
      </c>
      <c r="CD498" s="2" t="s">
        <v>227</v>
      </c>
      <c r="CE498" s="4"/>
      <c r="CF498" s="4">
        <v>78</v>
      </c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/>
      <c r="FQ498" s="4"/>
      <c r="FR498" s="4"/>
      <c r="FS498" s="4"/>
      <c r="FT498" s="4"/>
      <c r="FU498" s="4"/>
      <c r="FV498" s="4"/>
      <c r="FW498" s="4"/>
      <c r="FX498" s="4"/>
      <c r="FY498" s="4"/>
      <c r="FZ498" s="4"/>
      <c r="GA498" s="4">
        <v>100</v>
      </c>
      <c r="GB498" s="4"/>
      <c r="GC498" s="4"/>
      <c r="GD498" s="4"/>
      <c r="GE498" s="4"/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/>
    </row>
    <row r="499">
      <c r="A499" s="2" t="s">
        <v>3292</v>
      </c>
      <c r="B499" s="2" t="s">
        <v>542</v>
      </c>
      <c r="C499" s="2" t="s">
        <v>360</v>
      </c>
      <c r="D499" s="2" t="s">
        <v>1052</v>
      </c>
      <c r="E499" s="2" t="s">
        <v>1053</v>
      </c>
      <c r="F499" s="2" t="s">
        <v>3293</v>
      </c>
      <c r="G499" s="2" t="s">
        <v>3293</v>
      </c>
      <c r="H499" s="2" t="s">
        <v>3293</v>
      </c>
      <c r="I499" s="2" t="s">
        <v>3294</v>
      </c>
      <c r="J499" s="2" t="s">
        <v>3295</v>
      </c>
      <c r="K499" s="2" t="s">
        <v>536</v>
      </c>
      <c r="L499" s="3">
        <v>54.23</v>
      </c>
      <c r="M499" s="3">
        <v>56.94</v>
      </c>
      <c r="N499" s="3">
        <v>118.99</v>
      </c>
      <c r="O499" s="2" t="s">
        <v>224</v>
      </c>
      <c r="P499" s="2" t="s">
        <v>550</v>
      </c>
      <c r="Q499" s="2" t="s">
        <v>226</v>
      </c>
      <c r="R499" s="2" t="s">
        <v>227</v>
      </c>
      <c r="S499" s="2" t="s">
        <v>3296</v>
      </c>
      <c r="T499" s="2" t="s">
        <v>227</v>
      </c>
      <c r="U499" s="2" t="s">
        <v>1044</v>
      </c>
      <c r="V499" s="2" t="s">
        <v>945</v>
      </c>
      <c r="W499" s="2" t="s">
        <v>487</v>
      </c>
      <c r="X499" s="2" t="s">
        <v>836</v>
      </c>
      <c r="Y499" s="2" t="s">
        <v>3297</v>
      </c>
      <c r="Z499" s="4">
        <v>229</v>
      </c>
      <c r="AA499" s="4">
        <f>=ROUNDDOWN(20.8181818181818,0)</f>
      </c>
      <c r="AB499" s="5">
        <v>11</v>
      </c>
      <c r="AC499" s="2" t="s">
        <v>164</v>
      </c>
      <c r="AD499" s="4">
        <v>100</v>
      </c>
      <c r="AE499" s="4">
        <v>100</v>
      </c>
      <c r="AF499" s="6">
        <v>63</v>
      </c>
      <c r="AG499" s="6">
        <v>46</v>
      </c>
      <c r="AH499" s="7">
        <v>1</v>
      </c>
      <c r="AI499" s="4"/>
      <c r="AJ499" s="4">
        <f>=ROUNDDOWN({0},0)</f>
      </c>
      <c r="AK499" s="5"/>
      <c r="AL499" s="2" t="s">
        <v>227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/>
      <c r="AW499" s="8"/>
      <c r="AX499" s="4"/>
      <c r="AY499" s="8"/>
      <c r="AZ499" s="7"/>
      <c r="BA499" s="7"/>
      <c r="BB499" s="7"/>
      <c r="BC499" s="4"/>
      <c r="BD499" s="8"/>
      <c r="BE499" s="4"/>
      <c r="BF499" s="8"/>
      <c r="BG499" s="7"/>
      <c r="BH499" s="7"/>
      <c r="BI499" s="7"/>
      <c r="BJ499" s="4">
        <v>52</v>
      </c>
      <c r="BK499" s="8">
        <v>3234.81</v>
      </c>
      <c r="BL499" s="2" t="s">
        <v>3298</v>
      </c>
      <c r="BM499" s="7"/>
      <c r="BN499" s="7"/>
      <c r="BO499" s="4"/>
      <c r="BP499" s="8"/>
      <c r="BQ499" s="4"/>
      <c r="BR499" s="8"/>
      <c r="BS499" s="7"/>
      <c r="BT499" s="7"/>
      <c r="BU499" s="2" t="s">
        <v>3299</v>
      </c>
      <c r="BV499" s="2" t="s">
        <v>227</v>
      </c>
      <c r="BW499" s="2" t="s">
        <v>227</v>
      </c>
      <c r="BX499" s="2" t="s">
        <v>711</v>
      </c>
      <c r="BY499" s="2" t="s">
        <v>236</v>
      </c>
      <c r="BZ499" s="2" t="s">
        <v>224</v>
      </c>
      <c r="CA499" s="2" t="s">
        <v>3300</v>
      </c>
      <c r="CB499" s="2" t="s">
        <v>3090</v>
      </c>
      <c r="CC499" s="2" t="s">
        <v>239</v>
      </c>
      <c r="CD499" s="2" t="s">
        <v>227</v>
      </c>
      <c r="CE499" s="4"/>
      <c r="CF499" s="4">
        <v>229</v>
      </c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/>
      <c r="EU499" s="4"/>
      <c r="EV499" s="4"/>
      <c r="EW499" s="4"/>
      <c r="EX499" s="4"/>
      <c r="EY499" s="4"/>
      <c r="EZ499" s="4">
        <v>100</v>
      </c>
      <c r="FA499" s="4"/>
      <c r="FB499" s="4"/>
      <c r="FC499" s="4"/>
      <c r="FD499" s="4"/>
      <c r="FE499" s="4"/>
      <c r="FF499" s="4"/>
      <c r="FG499" s="4"/>
      <c r="FH499" s="4"/>
      <c r="FI499" s="4"/>
      <c r="FJ499" s="4"/>
      <c r="FK499" s="4"/>
      <c r="FL499" s="4"/>
      <c r="FM499" s="4"/>
      <c r="FN499" s="4"/>
      <c r="FO499" s="4"/>
      <c r="FP499" s="4"/>
      <c r="FQ499" s="4"/>
      <c r="FR499" s="4"/>
      <c r="FS499" s="4"/>
      <c r="FT499" s="4"/>
      <c r="FU499" s="4"/>
      <c r="FV499" s="4"/>
      <c r="FW499" s="4"/>
      <c r="FX499" s="4"/>
      <c r="FY499" s="4"/>
      <c r="FZ499" s="4"/>
      <c r="GA499" s="4"/>
      <c r="GB499" s="4"/>
      <c r="GC499" s="4"/>
      <c r="GD499" s="4"/>
      <c r="GE499" s="4"/>
      <c r="GF499" s="4"/>
      <c r="GG499" s="4"/>
      <c r="GH499" s="4"/>
      <c r="GI499" s="4"/>
      <c r="GJ499" s="4"/>
      <c r="GK499" s="4"/>
      <c r="GL499" s="4"/>
      <c r="GM499" s="4"/>
      <c r="GN499" s="4"/>
      <c r="GO499" s="4"/>
      <c r="GP499" s="4"/>
      <c r="GQ499" s="4"/>
      <c r="GR499" s="4"/>
      <c r="GS499" s="4"/>
      <c r="GT499" s="4"/>
      <c r="GU499" s="4"/>
      <c r="GV499" s="4"/>
      <c r="GW499" s="4"/>
      <c r="GX499" s="4"/>
    </row>
    <row r="500">
      <c r="A500" s="2" t="s">
        <v>3301</v>
      </c>
      <c r="B500" s="2" t="s">
        <v>744</v>
      </c>
      <c r="C500" s="2" t="s">
        <v>360</v>
      </c>
      <c r="D500" s="2" t="s">
        <v>768</v>
      </c>
      <c r="E500" s="2" t="s">
        <v>769</v>
      </c>
      <c r="F500" s="2" t="s">
        <v>3302</v>
      </c>
      <c r="G500" s="2" t="s">
        <v>3303</v>
      </c>
      <c r="H500" s="2" t="s">
        <v>3304</v>
      </c>
      <c r="I500" s="2" t="s">
        <v>3305</v>
      </c>
      <c r="J500" s="2" t="s">
        <v>771</v>
      </c>
      <c r="K500" s="2" t="s">
        <v>264</v>
      </c>
      <c r="L500" s="3">
        <v>13.2</v>
      </c>
      <c r="M500" s="3">
        <v>13.86</v>
      </c>
      <c r="N500" s="3">
        <v>29.99</v>
      </c>
      <c r="O500" s="2" t="s">
        <v>224</v>
      </c>
      <c r="P500" s="2" t="s">
        <v>225</v>
      </c>
      <c r="Q500" s="2" t="s">
        <v>226</v>
      </c>
      <c r="R500" s="2" t="s">
        <v>227</v>
      </c>
      <c r="S500" s="2" t="s">
        <v>1769</v>
      </c>
      <c r="T500" s="2" t="s">
        <v>227</v>
      </c>
      <c r="U500" s="2" t="s">
        <v>227</v>
      </c>
      <c r="V500" s="2" t="s">
        <v>230</v>
      </c>
      <c r="W500" s="2" t="s">
        <v>706</v>
      </c>
      <c r="X500" s="2" t="s">
        <v>227</v>
      </c>
      <c r="Y500" s="2" t="s">
        <v>3306</v>
      </c>
      <c r="Z500" s="4">
        <v>3</v>
      </c>
      <c r="AA500" s="4">
        <f>=ROUNDDOWN(0.0196078431372549,0)</f>
      </c>
      <c r="AB500" s="5">
        <v>153</v>
      </c>
      <c r="AC500" s="2" t="s">
        <v>821</v>
      </c>
      <c r="AD500" s="4">
        <v>400</v>
      </c>
      <c r="AE500" s="4">
        <v>5000</v>
      </c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227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/>
      <c r="BD500" s="8"/>
      <c r="BE500" s="4"/>
      <c r="BF500" s="8"/>
      <c r="BG500" s="7"/>
      <c r="BH500" s="7"/>
      <c r="BI500" s="7"/>
      <c r="BJ500" s="4">
        <v>7</v>
      </c>
      <c r="BK500" s="8">
        <v>117.23</v>
      </c>
      <c r="BL500" s="2" t="s">
        <v>3307</v>
      </c>
      <c r="BM500" s="7"/>
      <c r="BN500" s="7"/>
      <c r="BO500" s="4"/>
      <c r="BP500" s="8"/>
      <c r="BQ500" s="4"/>
      <c r="BR500" s="8"/>
      <c r="BS500" s="7"/>
      <c r="BT500" s="7"/>
      <c r="BU500" s="2" t="s">
        <v>3308</v>
      </c>
      <c r="BV500" s="2" t="s">
        <v>227</v>
      </c>
      <c r="BW500" s="2" t="s">
        <v>227</v>
      </c>
      <c r="BX500" s="2" t="s">
        <v>235</v>
      </c>
      <c r="BY500" s="2" t="s">
        <v>236</v>
      </c>
      <c r="BZ500" s="2" t="s">
        <v>224</v>
      </c>
      <c r="CA500" s="2" t="s">
        <v>527</v>
      </c>
      <c r="CB500" s="2" t="s">
        <v>534</v>
      </c>
      <c r="CC500" s="2" t="s">
        <v>239</v>
      </c>
      <c r="CD500" s="2" t="s">
        <v>227</v>
      </c>
      <c r="CE500" s="4">
        <v>3</v>
      </c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>
        <v>400</v>
      </c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>
        <v>600</v>
      </c>
      <c r="DP500" s="4"/>
      <c r="DQ500" s="4"/>
      <c r="DR500" s="4"/>
      <c r="DS500" s="4"/>
      <c r="DT500" s="4"/>
      <c r="DU500" s="4"/>
      <c r="DV500" s="4"/>
      <c r="DW500" s="4">
        <v>600</v>
      </c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>
        <v>700</v>
      </c>
      <c r="EQ500" s="4"/>
      <c r="ER500" s="4"/>
      <c r="ES500" s="4"/>
      <c r="ET500" s="4"/>
      <c r="EU500" s="4"/>
      <c r="EV500" s="4"/>
      <c r="EW500" s="4"/>
      <c r="EX500" s="4">
        <v>600</v>
      </c>
      <c r="EY500" s="4"/>
      <c r="EZ500" s="4"/>
      <c r="FA500" s="4"/>
      <c r="FB500" s="4"/>
      <c r="FC500" s="4"/>
      <c r="FD500" s="4"/>
      <c r="FE500" s="4"/>
      <c r="FF500" s="4"/>
      <c r="FG500" s="4"/>
      <c r="FH500" s="4"/>
      <c r="FI500" s="4"/>
      <c r="FJ500" s="4"/>
      <c r="FK500" s="4"/>
      <c r="FL500" s="4"/>
      <c r="FM500" s="4"/>
      <c r="FN500" s="4"/>
      <c r="FO500" s="4"/>
      <c r="FP500" s="4"/>
      <c r="FQ500" s="4"/>
      <c r="FR500" s="4">
        <v>2100</v>
      </c>
      <c r="FS500" s="4"/>
      <c r="FT500" s="4"/>
      <c r="FU500" s="4"/>
      <c r="FV500" s="4"/>
      <c r="FW500" s="4"/>
      <c r="FX500" s="4"/>
      <c r="FY500" s="4"/>
      <c r="FZ500" s="4"/>
      <c r="GA500" s="4"/>
      <c r="GB500" s="4"/>
      <c r="GC500" s="4"/>
      <c r="GD500" s="4"/>
      <c r="GE500" s="4"/>
      <c r="GF500" s="4"/>
      <c r="GG500" s="4"/>
      <c r="GH500" s="4"/>
      <c r="GI500" s="4"/>
      <c r="GJ500" s="4"/>
      <c r="GK500" s="4"/>
      <c r="GL500" s="4"/>
      <c r="GM500" s="4"/>
      <c r="GN500" s="4"/>
      <c r="GO500" s="4"/>
      <c r="GP500" s="4"/>
      <c r="GQ500" s="4"/>
      <c r="GR500" s="4"/>
      <c r="GS500" s="4"/>
      <c r="GT500" s="4"/>
      <c r="GU500" s="4"/>
      <c r="GV500" s="4"/>
      <c r="GW500" s="4"/>
      <c r="GX500" s="4"/>
    </row>
    <row r="501">
      <c r="A501" s="2" t="s">
        <v>3309</v>
      </c>
      <c r="B501" s="2" t="s">
        <v>573</v>
      </c>
      <c r="C501" s="2" t="s">
        <v>360</v>
      </c>
      <c r="D501" s="2" t="s">
        <v>856</v>
      </c>
      <c r="E501" s="2" t="s">
        <v>933</v>
      </c>
      <c r="F501" s="2" t="s">
        <v>3310</v>
      </c>
      <c r="G501" s="2" t="s">
        <v>3311</v>
      </c>
      <c r="H501" s="2" t="s">
        <v>3312</v>
      </c>
      <c r="I501" s="2" t="s">
        <v>3313</v>
      </c>
      <c r="J501" s="2" t="s">
        <v>548</v>
      </c>
      <c r="K501" s="2" t="s">
        <v>3314</v>
      </c>
      <c r="L501" s="3">
        <v>108</v>
      </c>
      <c r="M501" s="3">
        <v>113.4</v>
      </c>
      <c r="N501" s="3">
        <v>229</v>
      </c>
      <c r="O501" s="2" t="s">
        <v>224</v>
      </c>
      <c r="P501" s="2" t="s">
        <v>580</v>
      </c>
      <c r="Q501" s="2" t="s">
        <v>226</v>
      </c>
      <c r="R501" s="2" t="s">
        <v>227</v>
      </c>
      <c r="S501" s="2" t="s">
        <v>227</v>
      </c>
      <c r="T501" s="2" t="s">
        <v>227</v>
      </c>
      <c r="U501" s="2" t="s">
        <v>552</v>
      </c>
      <c r="V501" s="2" t="s">
        <v>230</v>
      </c>
      <c r="W501" s="2" t="s">
        <v>676</v>
      </c>
      <c r="X501" s="2" t="s">
        <v>836</v>
      </c>
      <c r="Y501" s="2" t="s">
        <v>3315</v>
      </c>
      <c r="Z501" s="4">
        <v>301</v>
      </c>
      <c r="AA501" s="4">
        <f>=ROUNDDOWN(75.25,0)</f>
      </c>
      <c r="AB501" s="5">
        <v>4</v>
      </c>
      <c r="AC501" s="2" t="s">
        <v>227</v>
      </c>
      <c r="AD501" s="4"/>
      <c r="AE501" s="4"/>
      <c r="AF501" s="6">
        <v>66</v>
      </c>
      <c r="AG501" s="6"/>
      <c r="AH501" s="7">
        <v>1</v>
      </c>
      <c r="AI501" s="4"/>
      <c r="AJ501" s="4">
        <f>=ROUNDDOWN({0},0)</f>
      </c>
      <c r="AK501" s="5"/>
      <c r="AL501" s="2" t="s">
        <v>227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/>
      <c r="AW501" s="8"/>
      <c r="AX501" s="4"/>
      <c r="AY501" s="8"/>
      <c r="AZ501" s="7"/>
      <c r="BA501" s="7"/>
      <c r="BB501" s="7"/>
      <c r="BC501" s="4"/>
      <c r="BD501" s="8"/>
      <c r="BE501" s="4"/>
      <c r="BF501" s="8"/>
      <c r="BG501" s="7"/>
      <c r="BH501" s="7"/>
      <c r="BI501" s="7"/>
      <c r="BJ501" s="4">
        <v>15</v>
      </c>
      <c r="BK501" s="8">
        <v>1669.89</v>
      </c>
      <c r="BL501" s="2" t="s">
        <v>3316</v>
      </c>
      <c r="BM501" s="7"/>
      <c r="BN501" s="7"/>
      <c r="BO501" s="4"/>
      <c r="BP501" s="8"/>
      <c r="BQ501" s="4"/>
      <c r="BR501" s="8"/>
      <c r="BS501" s="7"/>
      <c r="BT501" s="7"/>
      <c r="BU501" s="2" t="s">
        <v>3317</v>
      </c>
      <c r="BV501" s="2" t="s">
        <v>227</v>
      </c>
      <c r="BW501" s="2" t="s">
        <v>227</v>
      </c>
      <c r="BX501" s="2" t="s">
        <v>235</v>
      </c>
      <c r="BY501" s="2" t="s">
        <v>236</v>
      </c>
      <c r="BZ501" s="2" t="s">
        <v>224</v>
      </c>
      <c r="CA501" s="2" t="s">
        <v>3315</v>
      </c>
      <c r="CB501" s="2" t="s">
        <v>3318</v>
      </c>
      <c r="CC501" s="2" t="s">
        <v>239</v>
      </c>
      <c r="CD501" s="2" t="s">
        <v>227</v>
      </c>
      <c r="CE501" s="4"/>
      <c r="CF501" s="4">
        <v>301</v>
      </c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/>
      <c r="FI501" s="4"/>
      <c r="FJ501" s="4"/>
      <c r="FK501" s="4"/>
      <c r="FL501" s="4"/>
      <c r="FM501" s="4"/>
      <c r="FN501" s="4"/>
      <c r="FO501" s="4"/>
      <c r="FP501" s="4"/>
      <c r="FQ501" s="4"/>
      <c r="FR501" s="4"/>
      <c r="FS501" s="4"/>
      <c r="FT501" s="4"/>
      <c r="FU501" s="4"/>
      <c r="FV501" s="4"/>
      <c r="FW501" s="4"/>
      <c r="FX501" s="4"/>
      <c r="FY501" s="4"/>
      <c r="FZ501" s="4"/>
      <c r="GA501" s="4"/>
      <c r="GB501" s="4"/>
      <c r="GC501" s="4"/>
      <c r="GD501" s="4"/>
      <c r="GE501" s="4"/>
      <c r="GF501" s="4"/>
      <c r="GG501" s="4"/>
      <c r="GH501" s="4"/>
      <c r="GI501" s="4"/>
      <c r="GJ501" s="4"/>
      <c r="GK501" s="4"/>
      <c r="GL501" s="4"/>
      <c r="GM501" s="4"/>
      <c r="GN501" s="4"/>
      <c r="GO501" s="4"/>
      <c r="GP501" s="4"/>
      <c r="GQ501" s="4"/>
      <c r="GR501" s="4"/>
      <c r="GS501" s="4"/>
      <c r="GT501" s="4"/>
      <c r="GU501" s="4"/>
      <c r="GV501" s="4"/>
      <c r="GW501" s="4"/>
      <c r="GX501" s="4"/>
    </row>
    <row r="502">
      <c r="A502" s="2" t="s">
        <v>3319</v>
      </c>
      <c r="B502" s="2" t="s">
        <v>618</v>
      </c>
      <c r="C502" s="2" t="s">
        <v>1299</v>
      </c>
      <c r="D502" s="2" t="s">
        <v>687</v>
      </c>
      <c r="E502" s="2" t="s">
        <v>699</v>
      </c>
      <c r="F502" s="2" t="s">
        <v>3320</v>
      </c>
      <c r="G502" s="2" t="s">
        <v>3321</v>
      </c>
      <c r="H502" s="2" t="s">
        <v>3322</v>
      </c>
      <c r="I502" s="2" t="s">
        <v>3323</v>
      </c>
      <c r="J502" s="2" t="s">
        <v>1304</v>
      </c>
      <c r="K502" s="2" t="s">
        <v>780</v>
      </c>
      <c r="L502" s="3">
        <v>23.8</v>
      </c>
      <c r="M502" s="3">
        <v>24.99</v>
      </c>
      <c r="N502" s="3">
        <v>49.99</v>
      </c>
      <c r="O502" s="2" t="s">
        <v>224</v>
      </c>
      <c r="P502" s="2" t="s">
        <v>225</v>
      </c>
      <c r="Q502" s="2" t="s">
        <v>226</v>
      </c>
      <c r="R502" s="2" t="s">
        <v>227</v>
      </c>
      <c r="S502" s="2" t="s">
        <v>3324</v>
      </c>
      <c r="T502" s="2" t="s">
        <v>375</v>
      </c>
      <c r="U502" s="2" t="s">
        <v>674</v>
      </c>
      <c r="V502" s="2" t="s">
        <v>301</v>
      </c>
      <c r="W502" s="2" t="s">
        <v>231</v>
      </c>
      <c r="X502" s="2" t="s">
        <v>227</v>
      </c>
      <c r="Y502" s="2" t="s">
        <v>3325</v>
      </c>
      <c r="Z502" s="4"/>
      <c r="AA502" s="4">
        <f>=ROUNDDOWN({0},0)</f>
      </c>
      <c r="AB502" s="5">
        <v>46</v>
      </c>
      <c r="AC502" s="2" t="s">
        <v>3326</v>
      </c>
      <c r="AD502" s="4">
        <v>260</v>
      </c>
      <c r="AE502" s="4">
        <v>1510</v>
      </c>
      <c r="AF502" s="6">
        <v>64</v>
      </c>
      <c r="AG502" s="6"/>
      <c r="AH502" s="7">
        <v>0</v>
      </c>
      <c r="AI502" s="4"/>
      <c r="AJ502" s="4">
        <f>=ROUNDDOWN({0},0)</f>
      </c>
      <c r="AK502" s="5"/>
      <c r="AL502" s="2" t="s">
        <v>227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227</v>
      </c>
      <c r="AW502" s="8" t="s">
        <v>227</v>
      </c>
      <c r="AX502" s="4" t="s">
        <v>227</v>
      </c>
      <c r="AY502" s="8" t="s">
        <v>227</v>
      </c>
      <c r="AZ502" s="7" t="s">
        <v>227</v>
      </c>
      <c r="BA502" s="7" t="s">
        <v>227</v>
      </c>
      <c r="BB502" s="7"/>
      <c r="BC502" s="4" t="s">
        <v>227</v>
      </c>
      <c r="BD502" s="8" t="s">
        <v>227</v>
      </c>
      <c r="BE502" s="4" t="s">
        <v>227</v>
      </c>
      <c r="BF502" s="8" t="s">
        <v>227</v>
      </c>
      <c r="BG502" s="7" t="s">
        <v>227</v>
      </c>
      <c r="BH502" s="7" t="s">
        <v>227</v>
      </c>
      <c r="BI502" s="7"/>
      <c r="BJ502" s="4"/>
      <c r="BK502" s="8"/>
      <c r="BL502" s="2" t="s">
        <v>227</v>
      </c>
      <c r="BM502" s="7"/>
      <c r="BN502" s="7"/>
      <c r="BO502" s="4"/>
      <c r="BP502" s="8"/>
      <c r="BQ502" s="4"/>
      <c r="BR502" s="8"/>
      <c r="BS502" s="7"/>
      <c r="BT502" s="7"/>
      <c r="BU502" s="2" t="s">
        <v>3327</v>
      </c>
      <c r="BV502" s="2" t="s">
        <v>227</v>
      </c>
      <c r="BW502" s="2" t="s">
        <v>227</v>
      </c>
      <c r="BX502" s="2" t="s">
        <v>235</v>
      </c>
      <c r="BY502" s="2" t="s">
        <v>236</v>
      </c>
      <c r="BZ502" s="2" t="s">
        <v>224</v>
      </c>
      <c r="CA502" s="2" t="s">
        <v>3328</v>
      </c>
      <c r="CB502" s="2" t="s">
        <v>3329</v>
      </c>
      <c r="CC502" s="2" t="s">
        <v>239</v>
      </c>
      <c r="CD502" s="2" t="s">
        <v>227</v>
      </c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>
        <v>260</v>
      </c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>
        <v>400</v>
      </c>
      <c r="ER502" s="4"/>
      <c r="ES502" s="4"/>
      <c r="ET502" s="4"/>
      <c r="EU502" s="4"/>
      <c r="EV502" s="4"/>
      <c r="EW502" s="4"/>
      <c r="EX502" s="4">
        <v>400</v>
      </c>
      <c r="EY502" s="4"/>
      <c r="EZ502" s="4"/>
      <c r="FA502" s="4"/>
      <c r="FB502" s="4"/>
      <c r="FC502" s="4"/>
      <c r="FD502" s="4"/>
      <c r="FE502" s="4"/>
      <c r="FF502" s="4"/>
      <c r="FG502" s="4"/>
      <c r="FH502" s="4"/>
      <c r="FI502" s="4"/>
      <c r="FJ502" s="4"/>
      <c r="FK502" s="4"/>
      <c r="FL502" s="4"/>
      <c r="FM502" s="4"/>
      <c r="FN502" s="4"/>
      <c r="FO502" s="4"/>
      <c r="FP502" s="4"/>
      <c r="FQ502" s="4"/>
      <c r="FR502" s="4"/>
      <c r="FS502" s="4"/>
      <c r="FT502" s="4"/>
      <c r="FU502" s="4"/>
      <c r="FV502" s="4"/>
      <c r="FW502" s="4"/>
      <c r="FX502" s="4"/>
      <c r="FY502" s="4"/>
      <c r="FZ502" s="4"/>
      <c r="GA502" s="4"/>
      <c r="GB502" s="4"/>
      <c r="GC502" s="4"/>
      <c r="GD502" s="4"/>
      <c r="GE502" s="4"/>
      <c r="GF502" s="4"/>
      <c r="GG502" s="4"/>
      <c r="GH502" s="4"/>
      <c r="GI502" s="4">
        <v>450</v>
      </c>
      <c r="GJ502" s="4"/>
      <c r="GK502" s="4"/>
      <c r="GL502" s="4"/>
      <c r="GM502" s="4"/>
      <c r="GN502" s="4"/>
      <c r="GO502" s="4"/>
      <c r="GP502" s="4"/>
      <c r="GQ502" s="4"/>
      <c r="GR502" s="4"/>
      <c r="GS502" s="4"/>
      <c r="GT502" s="4"/>
      <c r="GU502" s="4"/>
      <c r="GV502" s="4"/>
      <c r="GW502" s="4"/>
      <c r="GX502" s="4"/>
    </row>
    <row r="503">
      <c r="A503" s="2" t="s">
        <v>3330</v>
      </c>
      <c r="B503" s="2" t="s">
        <v>618</v>
      </c>
      <c r="C503" s="2" t="s">
        <v>1299</v>
      </c>
      <c r="D503" s="2" t="s">
        <v>687</v>
      </c>
      <c r="E503" s="2" t="s">
        <v>699</v>
      </c>
      <c r="F503" s="2" t="s">
        <v>3320</v>
      </c>
      <c r="G503" s="2" t="s">
        <v>3321</v>
      </c>
      <c r="H503" s="2" t="s">
        <v>3322</v>
      </c>
      <c r="I503" s="2" t="s">
        <v>3323</v>
      </c>
      <c r="J503" s="2" t="s">
        <v>626</v>
      </c>
      <c r="K503" s="2" t="s">
        <v>780</v>
      </c>
      <c r="L503" s="3">
        <v>28.57</v>
      </c>
      <c r="M503" s="3">
        <v>30</v>
      </c>
      <c r="N503" s="3">
        <v>59.99</v>
      </c>
      <c r="O503" s="2" t="s">
        <v>224</v>
      </c>
      <c r="P503" s="2" t="s">
        <v>225</v>
      </c>
      <c r="Q503" s="2" t="s">
        <v>226</v>
      </c>
      <c r="R503" s="2" t="s">
        <v>227</v>
      </c>
      <c r="S503" s="2" t="s">
        <v>3324</v>
      </c>
      <c r="T503" s="2" t="s">
        <v>375</v>
      </c>
      <c r="U503" s="2" t="s">
        <v>287</v>
      </c>
      <c r="V503" s="2" t="s">
        <v>301</v>
      </c>
      <c r="W503" s="2" t="s">
        <v>231</v>
      </c>
      <c r="X503" s="2" t="s">
        <v>227</v>
      </c>
      <c r="Y503" s="2" t="s">
        <v>1493</v>
      </c>
      <c r="Z503" s="4"/>
      <c r="AA503" s="4">
        <f>=ROUNDDOWN({0},0)</f>
      </c>
      <c r="AB503" s="5">
        <v>61</v>
      </c>
      <c r="AC503" s="2" t="s">
        <v>3326</v>
      </c>
      <c r="AD503" s="4">
        <v>440</v>
      </c>
      <c r="AE503" s="4">
        <v>2090</v>
      </c>
      <c r="AF503" s="6">
        <v>64</v>
      </c>
      <c r="AG503" s="6"/>
      <c r="AH503" s="7">
        <v>0</v>
      </c>
      <c r="AI503" s="4"/>
      <c r="AJ503" s="4">
        <f>=ROUNDDOWN({0},0)</f>
      </c>
      <c r="AK503" s="5"/>
      <c r="AL503" s="2" t="s">
        <v>227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227</v>
      </c>
      <c r="AW503" s="8" t="s">
        <v>227</v>
      </c>
      <c r="AX503" s="4" t="s">
        <v>227</v>
      </c>
      <c r="AY503" s="8" t="s">
        <v>227</v>
      </c>
      <c r="AZ503" s="7" t="s">
        <v>227</v>
      </c>
      <c r="BA503" s="7" t="s">
        <v>227</v>
      </c>
      <c r="BB503" s="7"/>
      <c r="BC503" s="4" t="s">
        <v>227</v>
      </c>
      <c r="BD503" s="8" t="s">
        <v>227</v>
      </c>
      <c r="BE503" s="4" t="s">
        <v>227</v>
      </c>
      <c r="BF503" s="8" t="s">
        <v>227</v>
      </c>
      <c r="BG503" s="7" t="s">
        <v>227</v>
      </c>
      <c r="BH503" s="7" t="s">
        <v>227</v>
      </c>
      <c r="BI503" s="7"/>
      <c r="BJ503" s="4"/>
      <c r="BK503" s="8"/>
      <c r="BL503" s="2" t="s">
        <v>227</v>
      </c>
      <c r="BM503" s="7"/>
      <c r="BN503" s="7"/>
      <c r="BO503" s="4"/>
      <c r="BP503" s="8"/>
      <c r="BQ503" s="4"/>
      <c r="BR503" s="8"/>
      <c r="BS503" s="7"/>
      <c r="BT503" s="7"/>
      <c r="BU503" s="2" t="s">
        <v>3331</v>
      </c>
      <c r="BV503" s="2" t="s">
        <v>227</v>
      </c>
      <c r="BW503" s="2" t="s">
        <v>227</v>
      </c>
      <c r="BX503" s="2" t="s">
        <v>235</v>
      </c>
      <c r="BY503" s="2" t="s">
        <v>236</v>
      </c>
      <c r="BZ503" s="2" t="s">
        <v>224</v>
      </c>
      <c r="CA503" s="2" t="s">
        <v>3328</v>
      </c>
      <c r="CB503" s="2" t="s">
        <v>3332</v>
      </c>
      <c r="CC503" s="2" t="s">
        <v>239</v>
      </c>
      <c r="CD503" s="2" t="s">
        <v>227</v>
      </c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>
        <v>440</v>
      </c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>
        <v>550</v>
      </c>
      <c r="ER503" s="4"/>
      <c r="ES503" s="4"/>
      <c r="ET503" s="4"/>
      <c r="EU503" s="4"/>
      <c r="EV503" s="4"/>
      <c r="EW503" s="4"/>
      <c r="EX503" s="4">
        <v>550</v>
      </c>
      <c r="EY503" s="4"/>
      <c r="EZ503" s="4"/>
      <c r="FA503" s="4"/>
      <c r="FB503" s="4"/>
      <c r="FC503" s="4"/>
      <c r="FD503" s="4"/>
      <c r="FE503" s="4"/>
      <c r="FF503" s="4"/>
      <c r="FG503" s="4"/>
      <c r="FH503" s="4"/>
      <c r="FI503" s="4"/>
      <c r="FJ503" s="4"/>
      <c r="FK503" s="4"/>
      <c r="FL503" s="4"/>
      <c r="FM503" s="4"/>
      <c r="FN503" s="4"/>
      <c r="FO503" s="4"/>
      <c r="FP503" s="4"/>
      <c r="FQ503" s="4"/>
      <c r="FR503" s="4"/>
      <c r="FS503" s="4"/>
      <c r="FT503" s="4"/>
      <c r="FU503" s="4"/>
      <c r="FV503" s="4"/>
      <c r="FW503" s="4"/>
      <c r="FX503" s="4"/>
      <c r="FY503" s="4"/>
      <c r="FZ503" s="4"/>
      <c r="GA503" s="4"/>
      <c r="GB503" s="4"/>
      <c r="GC503" s="4"/>
      <c r="GD503" s="4"/>
      <c r="GE503" s="4"/>
      <c r="GF503" s="4"/>
      <c r="GG503" s="4"/>
      <c r="GH503" s="4"/>
      <c r="GI503" s="4">
        <v>550</v>
      </c>
      <c r="GJ503" s="4"/>
      <c r="GK503" s="4"/>
      <c r="GL503" s="4"/>
      <c r="GM503" s="4"/>
      <c r="GN503" s="4"/>
      <c r="GO503" s="4"/>
      <c r="GP503" s="4"/>
      <c r="GQ503" s="4"/>
      <c r="GR503" s="4"/>
      <c r="GS503" s="4"/>
      <c r="GT503" s="4"/>
      <c r="GU503" s="4"/>
      <c r="GV503" s="4"/>
      <c r="GW503" s="4"/>
      <c r="GX503" s="4"/>
    </row>
    <row r="504">
      <c r="A504" s="2" t="s">
        <v>3333</v>
      </c>
      <c r="B504" s="2" t="s">
        <v>216</v>
      </c>
      <c r="C504" s="2" t="s">
        <v>2227</v>
      </c>
      <c r="D504" s="2" t="s">
        <v>868</v>
      </c>
      <c r="E504" s="2" t="s">
        <v>1836</v>
      </c>
      <c r="F504" s="2" t="s">
        <v>3334</v>
      </c>
      <c r="G504" s="2" t="s">
        <v>3334</v>
      </c>
      <c r="H504" s="2" t="s">
        <v>3334</v>
      </c>
      <c r="I504" s="2" t="s">
        <v>3335</v>
      </c>
      <c r="J504" s="2" t="s">
        <v>3336</v>
      </c>
      <c r="K504" s="2" t="s">
        <v>410</v>
      </c>
      <c r="L504" s="3">
        <v>25.14</v>
      </c>
      <c r="M504" s="3">
        <v>26.4</v>
      </c>
      <c r="N504" s="3">
        <v>54.99</v>
      </c>
      <c r="O504" s="2" t="s">
        <v>224</v>
      </c>
      <c r="P504" s="2" t="s">
        <v>485</v>
      </c>
      <c r="Q504" s="2" t="s">
        <v>226</v>
      </c>
      <c r="R504" s="2" t="s">
        <v>227</v>
      </c>
      <c r="S504" s="2" t="s">
        <v>3337</v>
      </c>
      <c r="T504" s="2" t="s">
        <v>227</v>
      </c>
      <c r="U504" s="2" t="s">
        <v>227</v>
      </c>
      <c r="V504" s="2" t="s">
        <v>230</v>
      </c>
      <c r="W504" s="2" t="s">
        <v>231</v>
      </c>
      <c r="X504" s="2" t="s">
        <v>227</v>
      </c>
      <c r="Y504" s="2" t="s">
        <v>3338</v>
      </c>
      <c r="Z504" s="4">
        <v>759</v>
      </c>
      <c r="AA504" s="4">
        <f>=ROUNDDOWN(69,0)</f>
      </c>
      <c r="AB504" s="5">
        <v>11</v>
      </c>
      <c r="AC504" s="2" t="s">
        <v>227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227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/>
      <c r="AW504" s="8"/>
      <c r="AX504" s="4"/>
      <c r="AY504" s="8"/>
      <c r="AZ504" s="7"/>
      <c r="BA504" s="7"/>
      <c r="BB504" s="7"/>
      <c r="BC504" s="4" t="s">
        <v>227</v>
      </c>
      <c r="BD504" s="8" t="s">
        <v>227</v>
      </c>
      <c r="BE504" s="4" t="s">
        <v>227</v>
      </c>
      <c r="BF504" s="8" t="s">
        <v>227</v>
      </c>
      <c r="BG504" s="7" t="s">
        <v>227</v>
      </c>
      <c r="BH504" s="7" t="s">
        <v>227</v>
      </c>
      <c r="BI504" s="7"/>
      <c r="BJ504" s="4">
        <v>13</v>
      </c>
      <c r="BK504" s="8">
        <v>374.24</v>
      </c>
      <c r="BL504" s="2" t="s">
        <v>3339</v>
      </c>
      <c r="BM504" s="7"/>
      <c r="BN504" s="7"/>
      <c r="BO504" s="4"/>
      <c r="BP504" s="8"/>
      <c r="BQ504" s="4"/>
      <c r="BR504" s="8"/>
      <c r="BS504" s="7"/>
      <c r="BT504" s="7"/>
      <c r="BU504" s="2" t="s">
        <v>3340</v>
      </c>
      <c r="BV504" s="2" t="s">
        <v>227</v>
      </c>
      <c r="BW504" s="2" t="s">
        <v>227</v>
      </c>
      <c r="BX504" s="2" t="s">
        <v>235</v>
      </c>
      <c r="BY504" s="2" t="s">
        <v>236</v>
      </c>
      <c r="BZ504" s="2" t="s">
        <v>224</v>
      </c>
      <c r="CA504" s="2" t="s">
        <v>3341</v>
      </c>
      <c r="CB504" s="2" t="s">
        <v>3342</v>
      </c>
      <c r="CC504" s="2" t="s">
        <v>239</v>
      </c>
      <c r="CD504" s="2" t="s">
        <v>227</v>
      </c>
      <c r="CE504" s="4">
        <v>759</v>
      </c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/>
      <c r="FB504" s="4"/>
      <c r="FC504" s="4"/>
      <c r="FD504" s="4"/>
      <c r="FE504" s="4"/>
      <c r="FF504" s="4"/>
      <c r="FG504" s="4"/>
      <c r="FH504" s="4"/>
      <c r="FI504" s="4"/>
      <c r="FJ504" s="4"/>
      <c r="FK504" s="4"/>
      <c r="FL504" s="4"/>
      <c r="FM504" s="4"/>
      <c r="FN504" s="4"/>
      <c r="FO504" s="4"/>
      <c r="FP504" s="4"/>
      <c r="FQ504" s="4"/>
      <c r="FR504" s="4"/>
      <c r="FS504" s="4"/>
      <c r="FT504" s="4"/>
      <c r="FU504" s="4"/>
      <c r="FV504" s="4"/>
      <c r="FW504" s="4"/>
      <c r="FX504" s="4"/>
      <c r="FY504" s="4"/>
      <c r="FZ504" s="4"/>
      <c r="GA504" s="4"/>
      <c r="GB504" s="4"/>
      <c r="GC504" s="4"/>
      <c r="GD504" s="4"/>
      <c r="GE504" s="4"/>
      <c r="GF504" s="4"/>
      <c r="GG504" s="4"/>
      <c r="GH504" s="4"/>
      <c r="GI504" s="4"/>
      <c r="GJ504" s="4"/>
      <c r="GK504" s="4"/>
      <c r="GL504" s="4"/>
      <c r="GM504" s="4"/>
      <c r="GN504" s="4"/>
      <c r="GO504" s="4"/>
      <c r="GP504" s="4"/>
      <c r="GQ504" s="4"/>
      <c r="GR504" s="4"/>
      <c r="GS504" s="4"/>
      <c r="GT504" s="4"/>
      <c r="GU504" s="4"/>
      <c r="GV504" s="4"/>
      <c r="GW504" s="4"/>
      <c r="GX504" s="4"/>
    </row>
    <row r="505">
      <c r="A505" s="2" t="s">
        <v>3343</v>
      </c>
      <c r="B505" s="2" t="s">
        <v>216</v>
      </c>
      <c r="C505" s="2" t="s">
        <v>2227</v>
      </c>
      <c r="D505" s="2" t="s">
        <v>868</v>
      </c>
      <c r="E505" s="2" t="s">
        <v>1836</v>
      </c>
      <c r="F505" s="2" t="s">
        <v>3334</v>
      </c>
      <c r="G505" s="2" t="s">
        <v>3334</v>
      </c>
      <c r="H505" s="2" t="s">
        <v>3334</v>
      </c>
      <c r="I505" s="2" t="s">
        <v>3335</v>
      </c>
      <c r="J505" s="2" t="s">
        <v>3336</v>
      </c>
      <c r="K505" s="2" t="s">
        <v>1264</v>
      </c>
      <c r="L505" s="3">
        <v>25.14</v>
      </c>
      <c r="M505" s="3">
        <v>26.4</v>
      </c>
      <c r="N505" s="3">
        <v>54.99</v>
      </c>
      <c r="O505" s="2" t="s">
        <v>224</v>
      </c>
      <c r="P505" s="2" t="s">
        <v>225</v>
      </c>
      <c r="Q505" s="2" t="s">
        <v>226</v>
      </c>
      <c r="R505" s="2" t="s">
        <v>227</v>
      </c>
      <c r="S505" s="2" t="s">
        <v>3344</v>
      </c>
      <c r="T505" s="2" t="s">
        <v>227</v>
      </c>
      <c r="U505" s="2" t="s">
        <v>227</v>
      </c>
      <c r="V505" s="2" t="s">
        <v>230</v>
      </c>
      <c r="W505" s="2" t="s">
        <v>231</v>
      </c>
      <c r="X505" s="2" t="s">
        <v>227</v>
      </c>
      <c r="Y505" s="2" t="s">
        <v>3338</v>
      </c>
      <c r="Z505" s="4">
        <v>500</v>
      </c>
      <c r="AA505" s="4">
        <f>=ROUNDDOWN(38.4615384615385,0)</f>
      </c>
      <c r="AB505" s="5">
        <v>13</v>
      </c>
      <c r="AC505" s="2" t="s">
        <v>227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227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 t="s">
        <v>227</v>
      </c>
      <c r="BD505" s="8" t="s">
        <v>227</v>
      </c>
      <c r="BE505" s="4" t="s">
        <v>227</v>
      </c>
      <c r="BF505" s="8" t="s">
        <v>227</v>
      </c>
      <c r="BG505" s="7" t="s">
        <v>227</v>
      </c>
      <c r="BH505" s="7" t="s">
        <v>227</v>
      </c>
      <c r="BI505" s="7"/>
      <c r="BJ505" s="4">
        <v>13</v>
      </c>
      <c r="BK505" s="8">
        <v>423.14</v>
      </c>
      <c r="BL505" s="2" t="s">
        <v>3345</v>
      </c>
      <c r="BM505" s="7"/>
      <c r="BN505" s="7"/>
      <c r="BO505" s="4"/>
      <c r="BP505" s="8"/>
      <c r="BQ505" s="4"/>
      <c r="BR505" s="8"/>
      <c r="BS505" s="7"/>
      <c r="BT505" s="7"/>
      <c r="BU505" s="2" t="s">
        <v>3346</v>
      </c>
      <c r="BV505" s="2" t="s">
        <v>227</v>
      </c>
      <c r="BW505" s="2" t="s">
        <v>227</v>
      </c>
      <c r="BX505" s="2" t="s">
        <v>235</v>
      </c>
      <c r="BY505" s="2" t="s">
        <v>236</v>
      </c>
      <c r="BZ505" s="2" t="s">
        <v>224</v>
      </c>
      <c r="CA505" s="2" t="s">
        <v>3341</v>
      </c>
      <c r="CB505" s="2" t="s">
        <v>1960</v>
      </c>
      <c r="CC505" s="2" t="s">
        <v>239</v>
      </c>
      <c r="CD505" s="2" t="s">
        <v>227</v>
      </c>
      <c r="CE505" s="4">
        <v>500</v>
      </c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/>
      <c r="FH505" s="4"/>
      <c r="FI505" s="4"/>
      <c r="FJ505" s="4"/>
      <c r="FK505" s="4"/>
      <c r="FL505" s="4"/>
      <c r="FM505" s="4"/>
      <c r="FN505" s="4"/>
      <c r="FO505" s="4"/>
      <c r="FP505" s="4"/>
      <c r="FQ505" s="4"/>
      <c r="FR505" s="4"/>
      <c r="FS505" s="4"/>
      <c r="FT505" s="4"/>
      <c r="FU505" s="4"/>
      <c r="FV505" s="4"/>
      <c r="FW505" s="4"/>
      <c r="FX505" s="4"/>
      <c r="FY505" s="4"/>
      <c r="FZ505" s="4"/>
      <c r="GA505" s="4"/>
      <c r="GB505" s="4"/>
      <c r="GC505" s="4"/>
      <c r="GD505" s="4"/>
      <c r="GE505" s="4"/>
      <c r="GF505" s="4"/>
      <c r="GG505" s="4"/>
      <c r="GH505" s="4"/>
      <c r="GI505" s="4"/>
      <c r="GJ505" s="4"/>
      <c r="GK505" s="4"/>
      <c r="GL505" s="4"/>
      <c r="GM505" s="4"/>
      <c r="GN505" s="4"/>
      <c r="GO505" s="4"/>
      <c r="GP505" s="4"/>
      <c r="GQ505" s="4"/>
      <c r="GR505" s="4"/>
      <c r="GS505" s="4"/>
      <c r="GT505" s="4"/>
      <c r="GU505" s="4"/>
      <c r="GV505" s="4"/>
      <c r="GW505" s="4"/>
      <c r="GX505" s="4"/>
    </row>
    <row r="506">
      <c r="A506" s="2" t="s">
        <v>3347</v>
      </c>
      <c r="B506" s="2" t="s">
        <v>216</v>
      </c>
      <c r="C506" s="2" t="s">
        <v>2227</v>
      </c>
      <c r="D506" s="2" t="s">
        <v>868</v>
      </c>
      <c r="E506" s="2" t="s">
        <v>1836</v>
      </c>
      <c r="F506" s="2" t="s">
        <v>3334</v>
      </c>
      <c r="G506" s="2" t="s">
        <v>3334</v>
      </c>
      <c r="H506" s="2" t="s">
        <v>3334</v>
      </c>
      <c r="I506" s="2" t="s">
        <v>3335</v>
      </c>
      <c r="J506" s="2" t="s">
        <v>3336</v>
      </c>
      <c r="K506" s="2" t="s">
        <v>762</v>
      </c>
      <c r="L506" s="3">
        <v>25.14</v>
      </c>
      <c r="M506" s="3">
        <v>26.4</v>
      </c>
      <c r="N506" s="3">
        <v>54.99</v>
      </c>
      <c r="O506" s="2" t="s">
        <v>224</v>
      </c>
      <c r="P506" s="2" t="s">
        <v>225</v>
      </c>
      <c r="Q506" s="2" t="s">
        <v>226</v>
      </c>
      <c r="R506" s="2" t="s">
        <v>227</v>
      </c>
      <c r="S506" s="2" t="s">
        <v>3348</v>
      </c>
      <c r="T506" s="2" t="s">
        <v>227</v>
      </c>
      <c r="U506" s="2" t="s">
        <v>227</v>
      </c>
      <c r="V506" s="2" t="s">
        <v>230</v>
      </c>
      <c r="W506" s="2" t="s">
        <v>231</v>
      </c>
      <c r="X506" s="2" t="s">
        <v>227</v>
      </c>
      <c r="Y506" s="2" t="s">
        <v>3338</v>
      </c>
      <c r="Z506" s="4">
        <v>768</v>
      </c>
      <c r="AA506" s="4">
        <f>=ROUNDDOWN(128,0)</f>
      </c>
      <c r="AB506" s="5">
        <v>6</v>
      </c>
      <c r="AC506" s="2" t="s">
        <v>227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227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/>
      <c r="AW506" s="8"/>
      <c r="AX506" s="4"/>
      <c r="AY506" s="8"/>
      <c r="AZ506" s="7"/>
      <c r="BA506" s="7"/>
      <c r="BB506" s="7"/>
      <c r="BC506" s="4" t="s">
        <v>227</v>
      </c>
      <c r="BD506" s="8" t="s">
        <v>227</v>
      </c>
      <c r="BE506" s="4" t="s">
        <v>227</v>
      </c>
      <c r="BF506" s="8" t="s">
        <v>227</v>
      </c>
      <c r="BG506" s="7" t="s">
        <v>227</v>
      </c>
      <c r="BH506" s="7" t="s">
        <v>227</v>
      </c>
      <c r="BI506" s="7"/>
      <c r="BJ506" s="4">
        <v>5</v>
      </c>
      <c r="BK506" s="8">
        <v>152.06</v>
      </c>
      <c r="BL506" s="2" t="s">
        <v>3349</v>
      </c>
      <c r="BM506" s="7"/>
      <c r="BN506" s="7"/>
      <c r="BO506" s="4"/>
      <c r="BP506" s="8"/>
      <c r="BQ506" s="4"/>
      <c r="BR506" s="8"/>
      <c r="BS506" s="7"/>
      <c r="BT506" s="7"/>
      <c r="BU506" s="2" t="s">
        <v>3350</v>
      </c>
      <c r="BV506" s="2" t="s">
        <v>227</v>
      </c>
      <c r="BW506" s="2" t="s">
        <v>227</v>
      </c>
      <c r="BX506" s="2" t="s">
        <v>235</v>
      </c>
      <c r="BY506" s="2" t="s">
        <v>236</v>
      </c>
      <c r="BZ506" s="2" t="s">
        <v>224</v>
      </c>
      <c r="CA506" s="2" t="s">
        <v>3341</v>
      </c>
      <c r="CB506" s="2" t="s">
        <v>570</v>
      </c>
      <c r="CC506" s="2" t="s">
        <v>239</v>
      </c>
      <c r="CD506" s="2" t="s">
        <v>227</v>
      </c>
      <c r="CE506" s="4">
        <v>768</v>
      </c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/>
      <c r="FI506" s="4"/>
      <c r="FJ506" s="4"/>
      <c r="FK506" s="4"/>
      <c r="FL506" s="4"/>
      <c r="FM506" s="4"/>
      <c r="FN506" s="4"/>
      <c r="FO506" s="4"/>
      <c r="FP506" s="4"/>
      <c r="FQ506" s="4"/>
      <c r="FR506" s="4"/>
      <c r="FS506" s="4"/>
      <c r="FT506" s="4"/>
      <c r="FU506" s="4"/>
      <c r="FV506" s="4"/>
      <c r="FW506" s="4"/>
      <c r="FX506" s="4"/>
      <c r="FY506" s="4"/>
      <c r="FZ506" s="4"/>
      <c r="GA506" s="4"/>
      <c r="GB506" s="4"/>
      <c r="GC506" s="4"/>
      <c r="GD506" s="4"/>
      <c r="GE506" s="4"/>
      <c r="GF506" s="4"/>
      <c r="GG506" s="4"/>
      <c r="GH506" s="4"/>
      <c r="GI506" s="4"/>
      <c r="GJ506" s="4"/>
      <c r="GK506" s="4"/>
      <c r="GL506" s="4"/>
      <c r="GM506" s="4"/>
      <c r="GN506" s="4"/>
      <c r="GO506" s="4"/>
      <c r="GP506" s="4"/>
      <c r="GQ506" s="4"/>
      <c r="GR506" s="4"/>
      <c r="GS506" s="4"/>
      <c r="GT506" s="4"/>
      <c r="GU506" s="4"/>
      <c r="GV506" s="4"/>
      <c r="GW506" s="4"/>
      <c r="GX506" s="4"/>
    </row>
    <row r="507">
      <c r="A507" s="2" t="s">
        <v>3351</v>
      </c>
      <c r="B507" s="2" t="s">
        <v>667</v>
      </c>
      <c r="C507" s="2" t="s">
        <v>1803</v>
      </c>
      <c r="D507" s="2" t="s">
        <v>620</v>
      </c>
      <c r="E507" s="2" t="s">
        <v>621</v>
      </c>
      <c r="F507" s="2" t="s">
        <v>3352</v>
      </c>
      <c r="G507" s="2" t="s">
        <v>3352</v>
      </c>
      <c r="H507" s="2" t="s">
        <v>3352</v>
      </c>
      <c r="I507" s="2" t="s">
        <v>3353</v>
      </c>
      <c r="J507" s="2" t="s">
        <v>626</v>
      </c>
      <c r="K507" s="2" t="s">
        <v>410</v>
      </c>
      <c r="L507" s="3">
        <v>75</v>
      </c>
      <c r="M507" s="3">
        <v>78.74</v>
      </c>
      <c r="N507" s="3">
        <v>159.99</v>
      </c>
      <c r="O507" s="2" t="s">
        <v>224</v>
      </c>
      <c r="P507" s="2" t="s">
        <v>485</v>
      </c>
      <c r="Q507" s="2" t="s">
        <v>226</v>
      </c>
      <c r="R507" s="2" t="s">
        <v>227</v>
      </c>
      <c r="S507" s="2" t="s">
        <v>3354</v>
      </c>
      <c r="T507" s="2" t="s">
        <v>227</v>
      </c>
      <c r="U507" s="2" t="s">
        <v>227</v>
      </c>
      <c r="V507" s="2" t="s">
        <v>3355</v>
      </c>
      <c r="W507" s="2" t="s">
        <v>506</v>
      </c>
      <c r="X507" s="2" t="s">
        <v>706</v>
      </c>
      <c r="Y507" s="2" t="s">
        <v>3356</v>
      </c>
      <c r="Z507" s="4">
        <v>84</v>
      </c>
      <c r="AA507" s="4">
        <f>=ROUNDDOWN(42,0)</f>
      </c>
      <c r="AB507" s="5">
        <v>2</v>
      </c>
      <c r="AC507" s="2" t="s">
        <v>169</v>
      </c>
      <c r="AD507" s="4">
        <v>40</v>
      </c>
      <c r="AE507" s="4">
        <v>40</v>
      </c>
      <c r="AF507" s="6">
        <v>66</v>
      </c>
      <c r="AG507" s="6"/>
      <c r="AH507" s="7">
        <v>1</v>
      </c>
      <c r="AI507" s="4"/>
      <c r="AJ507" s="4">
        <f>=ROUNDDOWN({0},0)</f>
      </c>
      <c r="AK507" s="5"/>
      <c r="AL507" s="2" t="s">
        <v>227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/>
      <c r="AW507" s="8"/>
      <c r="AX507" s="4"/>
      <c r="AY507" s="8"/>
      <c r="AZ507" s="7"/>
      <c r="BA507" s="7"/>
      <c r="BB507" s="7"/>
      <c r="BC507" s="4"/>
      <c r="BD507" s="8"/>
      <c r="BE507" s="4"/>
      <c r="BF507" s="8"/>
      <c r="BG507" s="7"/>
      <c r="BH507" s="7"/>
      <c r="BI507" s="7"/>
      <c r="BJ507" s="4">
        <v>8</v>
      </c>
      <c r="BK507" s="8">
        <v>619.41</v>
      </c>
      <c r="BL507" s="2" t="s">
        <v>3111</v>
      </c>
      <c r="BM507" s="7"/>
      <c r="BN507" s="7"/>
      <c r="BO507" s="4"/>
      <c r="BP507" s="8"/>
      <c r="BQ507" s="4"/>
      <c r="BR507" s="8"/>
      <c r="BS507" s="7"/>
      <c r="BT507" s="7"/>
      <c r="BU507" s="2" t="s">
        <v>3357</v>
      </c>
      <c r="BV507" s="2" t="s">
        <v>227</v>
      </c>
      <c r="BW507" s="2" t="s">
        <v>227</v>
      </c>
      <c r="BX507" s="2" t="s">
        <v>235</v>
      </c>
      <c r="BY507" s="2" t="s">
        <v>236</v>
      </c>
      <c r="BZ507" s="2" t="s">
        <v>224</v>
      </c>
      <c r="CA507" s="2" t="s">
        <v>3358</v>
      </c>
      <c r="CB507" s="2" t="s">
        <v>3359</v>
      </c>
      <c r="CC507" s="2" t="s">
        <v>239</v>
      </c>
      <c r="CD507" s="2" t="s">
        <v>227</v>
      </c>
      <c r="CE507" s="4">
        <v>84</v>
      </c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>
        <v>40</v>
      </c>
      <c r="FF507" s="4"/>
      <c r="FG507" s="4"/>
      <c r="FH507" s="4"/>
      <c r="FI507" s="4"/>
      <c r="FJ507" s="4"/>
      <c r="FK507" s="4"/>
      <c r="FL507" s="4"/>
      <c r="FM507" s="4"/>
      <c r="FN507" s="4"/>
      <c r="FO507" s="4"/>
      <c r="FP507" s="4"/>
      <c r="FQ507" s="4"/>
      <c r="FR507" s="4"/>
      <c r="FS507" s="4"/>
      <c r="FT507" s="4"/>
      <c r="FU507" s="4"/>
      <c r="FV507" s="4"/>
      <c r="FW507" s="4"/>
      <c r="FX507" s="4"/>
      <c r="FY507" s="4"/>
      <c r="FZ507" s="4"/>
      <c r="GA507" s="4"/>
      <c r="GB507" s="4"/>
      <c r="GC507" s="4"/>
      <c r="GD507" s="4"/>
      <c r="GE507" s="4"/>
      <c r="GF507" s="4"/>
      <c r="GG507" s="4"/>
      <c r="GH507" s="4"/>
      <c r="GI507" s="4"/>
      <c r="GJ507" s="4"/>
      <c r="GK507" s="4"/>
      <c r="GL507" s="4"/>
      <c r="GM507" s="4"/>
      <c r="GN507" s="4"/>
      <c r="GO507" s="4"/>
      <c r="GP507" s="4"/>
      <c r="GQ507" s="4"/>
      <c r="GR507" s="4"/>
      <c r="GS507" s="4"/>
      <c r="GT507" s="4"/>
      <c r="GU507" s="4"/>
      <c r="GV507" s="4"/>
      <c r="GW507" s="4"/>
      <c r="GX507" s="4"/>
    </row>
    <row r="508">
      <c r="A508" s="2" t="s">
        <v>3360</v>
      </c>
      <c r="B508" s="2" t="s">
        <v>667</v>
      </c>
      <c r="C508" s="2" t="s">
        <v>1816</v>
      </c>
      <c r="D508" s="2" t="s">
        <v>1027</v>
      </c>
      <c r="E508" s="2" t="s">
        <v>2748</v>
      </c>
      <c r="F508" s="2" t="s">
        <v>3361</v>
      </c>
      <c r="G508" s="2" t="s">
        <v>3361</v>
      </c>
      <c r="H508" s="2" t="s">
        <v>3361</v>
      </c>
      <c r="I508" s="2" t="s">
        <v>3362</v>
      </c>
      <c r="J508" s="2" t="s">
        <v>1427</v>
      </c>
      <c r="K508" s="2" t="s">
        <v>410</v>
      </c>
      <c r="L508" s="3">
        <v>18</v>
      </c>
      <c r="M508" s="3">
        <v>18.9</v>
      </c>
      <c r="N508" s="3">
        <v>44.99</v>
      </c>
      <c r="O508" s="2" t="s">
        <v>224</v>
      </c>
      <c r="P508" s="2" t="s">
        <v>550</v>
      </c>
      <c r="Q508" s="2" t="s">
        <v>226</v>
      </c>
      <c r="R508" s="2" t="s">
        <v>227</v>
      </c>
      <c r="S508" s="2" t="s">
        <v>3363</v>
      </c>
      <c r="T508" s="2" t="s">
        <v>286</v>
      </c>
      <c r="U508" s="2" t="s">
        <v>552</v>
      </c>
      <c r="V508" s="2" t="s">
        <v>230</v>
      </c>
      <c r="W508" s="2" t="s">
        <v>581</v>
      </c>
      <c r="X508" s="2" t="s">
        <v>836</v>
      </c>
      <c r="Y508" s="2" t="s">
        <v>3364</v>
      </c>
      <c r="Z508" s="4">
        <v>166</v>
      </c>
      <c r="AA508" s="4">
        <f>=ROUNDDOWN(51.875,0)</f>
      </c>
      <c r="AB508" s="5">
        <v>3.2</v>
      </c>
      <c r="AC508" s="2" t="s">
        <v>227</v>
      </c>
      <c r="AD508" s="4"/>
      <c r="AE508" s="4"/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227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/>
      <c r="AW508" s="8"/>
      <c r="AX508" s="4"/>
      <c r="AY508" s="8"/>
      <c r="AZ508" s="7"/>
      <c r="BA508" s="7"/>
      <c r="BB508" s="7"/>
      <c r="BC508" s="4"/>
      <c r="BD508" s="8"/>
      <c r="BE508" s="4"/>
      <c r="BF508" s="8"/>
      <c r="BG508" s="7"/>
      <c r="BH508" s="7"/>
      <c r="BI508" s="7"/>
      <c r="BJ508" s="4">
        <v>17</v>
      </c>
      <c r="BK508" s="8">
        <v>322.23</v>
      </c>
      <c r="BL508" s="2" t="s">
        <v>3365</v>
      </c>
      <c r="BM508" s="7"/>
      <c r="BN508" s="7"/>
      <c r="BO508" s="4"/>
      <c r="BP508" s="8"/>
      <c r="BQ508" s="4"/>
      <c r="BR508" s="8"/>
      <c r="BS508" s="7"/>
      <c r="BT508" s="7"/>
      <c r="BU508" s="2" t="s">
        <v>3366</v>
      </c>
      <c r="BV508" s="2" t="s">
        <v>227</v>
      </c>
      <c r="BW508" s="2" t="s">
        <v>227</v>
      </c>
      <c r="BX508" s="2" t="s">
        <v>235</v>
      </c>
      <c r="BY508" s="2" t="s">
        <v>236</v>
      </c>
      <c r="BZ508" s="2" t="s">
        <v>224</v>
      </c>
      <c r="CA508" s="2" t="s">
        <v>2432</v>
      </c>
      <c r="CB508" s="2" t="s">
        <v>3367</v>
      </c>
      <c r="CC508" s="2" t="s">
        <v>239</v>
      </c>
      <c r="CD508" s="2" t="s">
        <v>227</v>
      </c>
      <c r="CE508" s="4">
        <v>166</v>
      </c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/>
      <c r="FI508" s="4"/>
      <c r="FJ508" s="4"/>
      <c r="FK508" s="4"/>
      <c r="FL508" s="4"/>
      <c r="FM508" s="4"/>
      <c r="FN508" s="4"/>
      <c r="FO508" s="4"/>
      <c r="FP508" s="4"/>
      <c r="FQ508" s="4"/>
      <c r="FR508" s="4"/>
      <c r="FS508" s="4"/>
      <c r="FT508" s="4"/>
      <c r="FU508" s="4"/>
      <c r="FV508" s="4"/>
      <c r="FW508" s="4"/>
      <c r="FX508" s="4"/>
      <c r="FY508" s="4"/>
      <c r="FZ508" s="4"/>
      <c r="GA508" s="4"/>
      <c r="GB508" s="4"/>
      <c r="GC508" s="4"/>
      <c r="GD508" s="4"/>
      <c r="GE508" s="4"/>
      <c r="GF508" s="4"/>
      <c r="GG508" s="4"/>
      <c r="GH508" s="4"/>
      <c r="GI508" s="4"/>
      <c r="GJ508" s="4"/>
      <c r="GK508" s="4"/>
      <c r="GL508" s="4"/>
      <c r="GM508" s="4"/>
      <c r="GN508" s="4"/>
      <c r="GO508" s="4"/>
      <c r="GP508" s="4"/>
      <c r="GQ508" s="4"/>
      <c r="GR508" s="4"/>
      <c r="GS508" s="4"/>
      <c r="GT508" s="4"/>
      <c r="GU508" s="4"/>
      <c r="GV508" s="4"/>
      <c r="GW508" s="4"/>
      <c r="GX508" s="4"/>
    </row>
    <row r="509">
      <c r="A509" s="2" t="s">
        <v>3368</v>
      </c>
      <c r="B509" s="2" t="s">
        <v>573</v>
      </c>
      <c r="C509" s="2" t="s">
        <v>360</v>
      </c>
      <c r="D509" s="2" t="s">
        <v>2722</v>
      </c>
      <c r="E509" s="2" t="s">
        <v>2723</v>
      </c>
      <c r="F509" s="2" t="s">
        <v>3369</v>
      </c>
      <c r="G509" s="2" t="s">
        <v>3370</v>
      </c>
      <c r="H509" s="2" t="s">
        <v>3371</v>
      </c>
      <c r="I509" s="2" t="s">
        <v>3372</v>
      </c>
      <c r="J509" s="2" t="s">
        <v>548</v>
      </c>
      <c r="K509" s="2" t="s">
        <v>976</v>
      </c>
      <c r="L509" s="3">
        <v>256.5</v>
      </c>
      <c r="M509" s="3">
        <v>269.32</v>
      </c>
      <c r="N509" s="3">
        <v>549</v>
      </c>
      <c r="O509" s="2" t="s">
        <v>224</v>
      </c>
      <c r="P509" s="2" t="s">
        <v>530</v>
      </c>
      <c r="Q509" s="2" t="s">
        <v>226</v>
      </c>
      <c r="R509" s="2" t="s">
        <v>227</v>
      </c>
      <c r="S509" s="2" t="s">
        <v>227</v>
      </c>
      <c r="T509" s="2" t="s">
        <v>227</v>
      </c>
      <c r="U509" s="2" t="s">
        <v>552</v>
      </c>
      <c r="V509" s="2" t="s">
        <v>230</v>
      </c>
      <c r="W509" s="2" t="s">
        <v>506</v>
      </c>
      <c r="X509" s="2" t="s">
        <v>227</v>
      </c>
      <c r="Y509" s="2" t="s">
        <v>3373</v>
      </c>
      <c r="Z509" s="4">
        <v>314</v>
      </c>
      <c r="AA509" s="4">
        <f>=ROUNDDOWN(10.4666666666667,0)</f>
      </c>
      <c r="AB509" s="5">
        <v>30</v>
      </c>
      <c r="AC509" s="2" t="s">
        <v>207</v>
      </c>
      <c r="AD509" s="4">
        <v>79</v>
      </c>
      <c r="AE509" s="4">
        <v>79</v>
      </c>
      <c r="AF509" s="6">
        <v>66</v>
      </c>
      <c r="AG509" s="6">
        <v>49</v>
      </c>
      <c r="AH509" s="7">
        <v>1</v>
      </c>
      <c r="AI509" s="4"/>
      <c r="AJ509" s="4">
        <f>=ROUNDDOWN({0},0)</f>
      </c>
      <c r="AK509" s="5">
        <v>19.8</v>
      </c>
      <c r="AL509" s="2" t="s">
        <v>227</v>
      </c>
      <c r="AM509" s="4"/>
      <c r="AN509" s="4"/>
      <c r="AO509" s="7">
        <v>0.5484</v>
      </c>
      <c r="AP509" s="4"/>
      <c r="AQ509" s="8"/>
      <c r="AR509" s="4"/>
      <c r="AS509" s="8"/>
      <c r="AT509" s="7"/>
      <c r="AU509" s="7"/>
      <c r="AV509" s="4"/>
      <c r="AW509" s="8"/>
      <c r="AX509" s="4"/>
      <c r="AY509" s="8"/>
      <c r="AZ509" s="7"/>
      <c r="BA509" s="7"/>
      <c r="BB509" s="7"/>
      <c r="BC509" s="4"/>
      <c r="BD509" s="8"/>
      <c r="BE509" s="4"/>
      <c r="BF509" s="8"/>
      <c r="BG509" s="7"/>
      <c r="BH509" s="7"/>
      <c r="BI509" s="7"/>
      <c r="BJ509" s="4">
        <v>96</v>
      </c>
      <c r="BK509" s="8">
        <v>23244.91</v>
      </c>
      <c r="BL509" s="2" t="s">
        <v>3374</v>
      </c>
      <c r="BM509" s="7"/>
      <c r="BN509" s="7"/>
      <c r="BO509" s="4"/>
      <c r="BP509" s="8"/>
      <c r="BQ509" s="4"/>
      <c r="BR509" s="8"/>
      <c r="BS509" s="7"/>
      <c r="BT509" s="7"/>
      <c r="BU509" s="2" t="s">
        <v>3375</v>
      </c>
      <c r="BV509" s="2" t="s">
        <v>227</v>
      </c>
      <c r="BW509" s="2" t="s">
        <v>227</v>
      </c>
      <c r="BX509" s="2" t="s">
        <v>235</v>
      </c>
      <c r="BY509" s="2" t="s">
        <v>236</v>
      </c>
      <c r="BZ509" s="2" t="s">
        <v>224</v>
      </c>
      <c r="CA509" s="2" t="s">
        <v>3376</v>
      </c>
      <c r="CB509" s="2" t="s">
        <v>3377</v>
      </c>
      <c r="CC509" s="2" t="s">
        <v>239</v>
      </c>
      <c r="CD509" s="2" t="s">
        <v>227</v>
      </c>
      <c r="CE509" s="4"/>
      <c r="CF509" s="4">
        <v>314</v>
      </c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/>
      <c r="FA509" s="4"/>
      <c r="FB509" s="4"/>
      <c r="FC509" s="4"/>
      <c r="FD509" s="4"/>
      <c r="FE509" s="4"/>
      <c r="FF509" s="4"/>
      <c r="FG509" s="4"/>
      <c r="FH509" s="4"/>
      <c r="FI509" s="4"/>
      <c r="FJ509" s="4"/>
      <c r="FK509" s="4"/>
      <c r="FL509" s="4"/>
      <c r="FM509" s="4"/>
      <c r="FN509" s="4"/>
      <c r="FO509" s="4"/>
      <c r="FP509" s="4"/>
      <c r="FQ509" s="4"/>
      <c r="FR509" s="4"/>
      <c r="FS509" s="4"/>
      <c r="FT509" s="4"/>
      <c r="FU509" s="4"/>
      <c r="FV509" s="4"/>
      <c r="FW509" s="4"/>
      <c r="FX509" s="4"/>
      <c r="FY509" s="4"/>
      <c r="FZ509" s="4"/>
      <c r="GA509" s="4"/>
      <c r="GB509" s="4"/>
      <c r="GC509" s="4"/>
      <c r="GD509" s="4"/>
      <c r="GE509" s="4"/>
      <c r="GF509" s="4"/>
      <c r="GG509" s="4"/>
      <c r="GH509" s="4"/>
      <c r="GI509" s="4"/>
      <c r="GJ509" s="4"/>
      <c r="GK509" s="4"/>
      <c r="GL509" s="4"/>
      <c r="GM509" s="4"/>
      <c r="GN509" s="4"/>
      <c r="GO509" s="4"/>
      <c r="GP509" s="4"/>
      <c r="GQ509" s="4">
        <v>79</v>
      </c>
      <c r="GR509" s="4"/>
      <c r="GS509" s="4"/>
      <c r="GT509" s="4"/>
      <c r="GU509" s="4"/>
      <c r="GV509" s="4"/>
      <c r="GW509" s="4"/>
      <c r="GX509" s="4"/>
    </row>
    <row r="510">
      <c r="A510" s="2" t="s">
        <v>3378</v>
      </c>
      <c r="B510" s="2" t="s">
        <v>715</v>
      </c>
      <c r="C510" s="2" t="s">
        <v>360</v>
      </c>
      <c r="D510" s="2" t="s">
        <v>716</v>
      </c>
      <c r="E510" s="2" t="s">
        <v>1774</v>
      </c>
      <c r="F510" s="2" t="s">
        <v>3379</v>
      </c>
      <c r="G510" s="2" t="s">
        <v>3380</v>
      </c>
      <c r="H510" s="2" t="s">
        <v>3381</v>
      </c>
      <c r="I510" s="2" t="s">
        <v>3382</v>
      </c>
      <c r="J510" s="2" t="s">
        <v>3383</v>
      </c>
      <c r="K510" s="2" t="s">
        <v>1509</v>
      </c>
      <c r="L510" s="3">
        <v>20.25</v>
      </c>
      <c r="M510" s="3">
        <v>21.26</v>
      </c>
      <c r="N510" s="3">
        <v>44.99</v>
      </c>
      <c r="O510" s="2" t="s">
        <v>224</v>
      </c>
      <c r="P510" s="2" t="s">
        <v>485</v>
      </c>
      <c r="Q510" s="2" t="s">
        <v>226</v>
      </c>
      <c r="R510" s="2" t="s">
        <v>227</v>
      </c>
      <c r="S510" s="2" t="s">
        <v>3384</v>
      </c>
      <c r="T510" s="2" t="s">
        <v>227</v>
      </c>
      <c r="U510" s="2" t="s">
        <v>227</v>
      </c>
      <c r="V510" s="2" t="s">
        <v>230</v>
      </c>
      <c r="W510" s="2" t="s">
        <v>836</v>
      </c>
      <c r="X510" s="2" t="s">
        <v>1078</v>
      </c>
      <c r="Y510" s="2" t="s">
        <v>3385</v>
      </c>
      <c r="Z510" s="4">
        <v>169</v>
      </c>
      <c r="AA510" s="4">
        <f>=ROUNDDOWN(24.1428571428571,0)</f>
      </c>
      <c r="AB510" s="5">
        <v>7</v>
      </c>
      <c r="AC510" s="2" t="s">
        <v>162</v>
      </c>
      <c r="AD510" s="4">
        <v>100</v>
      </c>
      <c r="AE510" s="4">
        <v>100</v>
      </c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227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/>
      <c r="AW510" s="8"/>
      <c r="AX510" s="4"/>
      <c r="AY510" s="8"/>
      <c r="AZ510" s="7"/>
      <c r="BA510" s="7"/>
      <c r="BB510" s="7"/>
      <c r="BC510" s="4" t="s">
        <v>227</v>
      </c>
      <c r="BD510" s="8" t="s">
        <v>227</v>
      </c>
      <c r="BE510" s="4" t="s">
        <v>227</v>
      </c>
      <c r="BF510" s="8" t="s">
        <v>227</v>
      </c>
      <c r="BG510" s="7" t="s">
        <v>227</v>
      </c>
      <c r="BH510" s="7" t="s">
        <v>227</v>
      </c>
      <c r="BI510" s="7"/>
      <c r="BJ510" s="4">
        <v>28</v>
      </c>
      <c r="BK510" s="8">
        <v>817.66</v>
      </c>
      <c r="BL510" s="2" t="s">
        <v>3386</v>
      </c>
      <c r="BM510" s="7"/>
      <c r="BN510" s="7"/>
      <c r="BO510" s="4"/>
      <c r="BP510" s="8"/>
      <c r="BQ510" s="4"/>
      <c r="BR510" s="8"/>
      <c r="BS510" s="7"/>
      <c r="BT510" s="7"/>
      <c r="BU510" s="2" t="s">
        <v>3387</v>
      </c>
      <c r="BV510" s="2" t="s">
        <v>227</v>
      </c>
      <c r="BW510" s="2" t="s">
        <v>227</v>
      </c>
      <c r="BX510" s="2" t="s">
        <v>235</v>
      </c>
      <c r="BY510" s="2" t="s">
        <v>236</v>
      </c>
      <c r="BZ510" s="2" t="s">
        <v>224</v>
      </c>
      <c r="CA510" s="2" t="s">
        <v>3388</v>
      </c>
      <c r="CB510" s="2" t="s">
        <v>3389</v>
      </c>
      <c r="CC510" s="2" t="s">
        <v>239</v>
      </c>
      <c r="CD510" s="2" t="s">
        <v>227</v>
      </c>
      <c r="CE510" s="4">
        <v>169</v>
      </c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>
        <v>100</v>
      </c>
      <c r="EY510" s="4"/>
      <c r="EZ510" s="4"/>
      <c r="FA510" s="4"/>
      <c r="FB510" s="4"/>
      <c r="FC510" s="4"/>
      <c r="FD510" s="4"/>
      <c r="FE510" s="4"/>
      <c r="FF510" s="4"/>
      <c r="FG510" s="4"/>
      <c r="FH510" s="4"/>
      <c r="FI510" s="4"/>
      <c r="FJ510" s="4"/>
      <c r="FK510" s="4"/>
      <c r="FL510" s="4"/>
      <c r="FM510" s="4"/>
      <c r="FN510" s="4"/>
      <c r="FO510" s="4"/>
      <c r="FP510" s="4"/>
      <c r="FQ510" s="4"/>
      <c r="FR510" s="4"/>
      <c r="FS510" s="4"/>
      <c r="FT510" s="4"/>
      <c r="FU510" s="4"/>
      <c r="FV510" s="4"/>
      <c r="FW510" s="4"/>
      <c r="FX510" s="4"/>
      <c r="FY510" s="4"/>
      <c r="FZ510" s="4"/>
      <c r="GA510" s="4"/>
      <c r="GB510" s="4"/>
      <c r="GC510" s="4"/>
      <c r="GD510" s="4"/>
      <c r="GE510" s="4"/>
      <c r="GF510" s="4"/>
      <c r="GG510" s="4"/>
      <c r="GH510" s="4"/>
      <c r="GI510" s="4"/>
      <c r="GJ510" s="4"/>
      <c r="GK510" s="4"/>
      <c r="GL510" s="4"/>
      <c r="GM510" s="4"/>
      <c r="GN510" s="4"/>
      <c r="GO510" s="4"/>
      <c r="GP510" s="4"/>
      <c r="GQ510" s="4"/>
      <c r="GR510" s="4"/>
      <c r="GS510" s="4"/>
      <c r="GT510" s="4"/>
      <c r="GU510" s="4"/>
      <c r="GV510" s="4"/>
      <c r="GW510" s="4"/>
      <c r="GX510" s="4"/>
    </row>
    <row r="511">
      <c r="A511" s="2" t="s">
        <v>3390</v>
      </c>
      <c r="B511" s="2" t="s">
        <v>715</v>
      </c>
      <c r="C511" s="2" t="s">
        <v>360</v>
      </c>
      <c r="D511" s="2" t="s">
        <v>716</v>
      </c>
      <c r="E511" s="2" t="s">
        <v>1774</v>
      </c>
      <c r="F511" s="2" t="s">
        <v>3379</v>
      </c>
      <c r="G511" s="2" t="s">
        <v>3380</v>
      </c>
      <c r="H511" s="2" t="s">
        <v>3381</v>
      </c>
      <c r="I511" s="2" t="s">
        <v>3382</v>
      </c>
      <c r="J511" s="2" t="s">
        <v>3391</v>
      </c>
      <c r="K511" s="2" t="s">
        <v>410</v>
      </c>
      <c r="L511" s="3">
        <v>17.6</v>
      </c>
      <c r="M511" s="3">
        <v>18.48</v>
      </c>
      <c r="N511" s="3">
        <v>39.99</v>
      </c>
      <c r="O511" s="2" t="s">
        <v>224</v>
      </c>
      <c r="P511" s="2" t="s">
        <v>225</v>
      </c>
      <c r="Q511" s="2" t="s">
        <v>226</v>
      </c>
      <c r="R511" s="2" t="s">
        <v>227</v>
      </c>
      <c r="S511" s="2" t="s">
        <v>3392</v>
      </c>
      <c r="T511" s="2" t="s">
        <v>227</v>
      </c>
      <c r="U511" s="2" t="s">
        <v>227</v>
      </c>
      <c r="V511" s="2" t="s">
        <v>230</v>
      </c>
      <c r="W511" s="2" t="s">
        <v>836</v>
      </c>
      <c r="X511" s="2" t="s">
        <v>1078</v>
      </c>
      <c r="Y511" s="2" t="s">
        <v>3385</v>
      </c>
      <c r="Z511" s="4">
        <v>144</v>
      </c>
      <c r="AA511" s="4">
        <f>=ROUNDDOWN(20.5714285714286,0)</f>
      </c>
      <c r="AB511" s="5">
        <v>7</v>
      </c>
      <c r="AC511" s="2" t="s">
        <v>158</v>
      </c>
      <c r="AD511" s="4">
        <v>40</v>
      </c>
      <c r="AE511" s="4">
        <v>100</v>
      </c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227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/>
      <c r="AW511" s="8"/>
      <c r="AX511" s="4"/>
      <c r="AY511" s="8"/>
      <c r="AZ511" s="7"/>
      <c r="BA511" s="7"/>
      <c r="BB511" s="7"/>
      <c r="BC511" s="4" t="s">
        <v>227</v>
      </c>
      <c r="BD511" s="8" t="s">
        <v>227</v>
      </c>
      <c r="BE511" s="4" t="s">
        <v>227</v>
      </c>
      <c r="BF511" s="8" t="s">
        <v>227</v>
      </c>
      <c r="BG511" s="7" t="s">
        <v>227</v>
      </c>
      <c r="BH511" s="7" t="s">
        <v>227</v>
      </c>
      <c r="BI511" s="7"/>
      <c r="BJ511" s="4">
        <v>24</v>
      </c>
      <c r="BK511" s="8">
        <v>569.06</v>
      </c>
      <c r="BL511" s="2" t="s">
        <v>3393</v>
      </c>
      <c r="BM511" s="7"/>
      <c r="BN511" s="7"/>
      <c r="BO511" s="4"/>
      <c r="BP511" s="8"/>
      <c r="BQ511" s="4"/>
      <c r="BR511" s="8"/>
      <c r="BS511" s="7"/>
      <c r="BT511" s="7"/>
      <c r="BU511" s="2" t="s">
        <v>3394</v>
      </c>
      <c r="BV511" s="2" t="s">
        <v>227</v>
      </c>
      <c r="BW511" s="2" t="s">
        <v>227</v>
      </c>
      <c r="BX511" s="2" t="s">
        <v>235</v>
      </c>
      <c r="BY511" s="2" t="s">
        <v>236</v>
      </c>
      <c r="BZ511" s="2" t="s">
        <v>224</v>
      </c>
      <c r="CA511" s="2" t="s">
        <v>3388</v>
      </c>
      <c r="CB511" s="2" t="s">
        <v>3395</v>
      </c>
      <c r="CC511" s="2" t="s">
        <v>239</v>
      </c>
      <c r="CD511" s="2" t="s">
        <v>227</v>
      </c>
      <c r="CE511" s="4">
        <v>144</v>
      </c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>
        <v>40</v>
      </c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  <c r="FM511" s="4"/>
      <c r="FN511" s="4"/>
      <c r="FO511" s="4"/>
      <c r="FP511" s="4"/>
      <c r="FQ511" s="4"/>
      <c r="FR511" s="4"/>
      <c r="FS511" s="4"/>
      <c r="FT511" s="4"/>
      <c r="FU511" s="4"/>
      <c r="FV511" s="4"/>
      <c r="FW511" s="4"/>
      <c r="FX511" s="4"/>
      <c r="FY511" s="4"/>
      <c r="FZ511" s="4"/>
      <c r="GA511" s="4"/>
      <c r="GB511" s="4"/>
      <c r="GC511" s="4"/>
      <c r="GD511" s="4"/>
      <c r="GE511" s="4"/>
      <c r="GF511" s="4"/>
      <c r="GG511" s="4"/>
      <c r="GH511" s="4"/>
      <c r="GI511" s="4"/>
      <c r="GJ511" s="4"/>
      <c r="GK511" s="4"/>
      <c r="GL511" s="4"/>
      <c r="GM511" s="4"/>
      <c r="GN511" s="4"/>
      <c r="GO511" s="4"/>
      <c r="GP511" s="4"/>
      <c r="GQ511" s="4"/>
      <c r="GR511" s="4"/>
      <c r="GS511" s="4">
        <v>60</v>
      </c>
      <c r="GT511" s="4"/>
      <c r="GU511" s="4"/>
      <c r="GV511" s="4"/>
      <c r="GW511" s="4"/>
      <c r="GX511" s="4"/>
    </row>
    <row r="512">
      <c r="A512" s="2" t="s">
        <v>3396</v>
      </c>
      <c r="B512" s="2" t="s">
        <v>715</v>
      </c>
      <c r="C512" s="2" t="s">
        <v>360</v>
      </c>
      <c r="D512" s="2" t="s">
        <v>716</v>
      </c>
      <c r="E512" s="2" t="s">
        <v>1774</v>
      </c>
      <c r="F512" s="2" t="s">
        <v>3379</v>
      </c>
      <c r="G512" s="2" t="s">
        <v>3380</v>
      </c>
      <c r="H512" s="2" t="s">
        <v>3381</v>
      </c>
      <c r="I512" s="2" t="s">
        <v>3382</v>
      </c>
      <c r="J512" s="2" t="s">
        <v>3383</v>
      </c>
      <c r="K512" s="2" t="s">
        <v>1067</v>
      </c>
      <c r="L512" s="3">
        <v>20.25</v>
      </c>
      <c r="M512" s="3">
        <v>21.26</v>
      </c>
      <c r="N512" s="3">
        <v>44.99</v>
      </c>
      <c r="O512" s="2" t="s">
        <v>224</v>
      </c>
      <c r="P512" s="2" t="s">
        <v>225</v>
      </c>
      <c r="Q512" s="2" t="s">
        <v>226</v>
      </c>
      <c r="R512" s="2" t="s">
        <v>227</v>
      </c>
      <c r="S512" s="2" t="s">
        <v>3397</v>
      </c>
      <c r="T512" s="2" t="s">
        <v>227</v>
      </c>
      <c r="U512" s="2" t="s">
        <v>227</v>
      </c>
      <c r="V512" s="2" t="s">
        <v>230</v>
      </c>
      <c r="W512" s="2" t="s">
        <v>836</v>
      </c>
      <c r="X512" s="2" t="s">
        <v>1078</v>
      </c>
      <c r="Y512" s="2" t="s">
        <v>3385</v>
      </c>
      <c r="Z512" s="4">
        <v>62</v>
      </c>
      <c r="AA512" s="4">
        <f>=ROUNDDOWN(7.75,0)</f>
      </c>
      <c r="AB512" s="5">
        <v>8</v>
      </c>
      <c r="AC512" s="2" t="s">
        <v>810</v>
      </c>
      <c r="AD512" s="4">
        <v>216</v>
      </c>
      <c r="AE512" s="4">
        <v>316</v>
      </c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227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227</v>
      </c>
      <c r="AW512" s="8" t="s">
        <v>227</v>
      </c>
      <c r="AX512" s="4" t="s">
        <v>227</v>
      </c>
      <c r="AY512" s="8" t="s">
        <v>227</v>
      </c>
      <c r="AZ512" s="7" t="s">
        <v>227</v>
      </c>
      <c r="BA512" s="7" t="s">
        <v>227</v>
      </c>
      <c r="BB512" s="7"/>
      <c r="BC512" s="4" t="s">
        <v>227</v>
      </c>
      <c r="BD512" s="8" t="s">
        <v>227</v>
      </c>
      <c r="BE512" s="4" t="s">
        <v>227</v>
      </c>
      <c r="BF512" s="8" t="s">
        <v>227</v>
      </c>
      <c r="BG512" s="7" t="s">
        <v>227</v>
      </c>
      <c r="BH512" s="7" t="s">
        <v>227</v>
      </c>
      <c r="BI512" s="7"/>
      <c r="BJ512" s="4">
        <v>18</v>
      </c>
      <c r="BK512" s="8">
        <v>390.12</v>
      </c>
      <c r="BL512" s="2" t="s">
        <v>3398</v>
      </c>
      <c r="BM512" s="7"/>
      <c r="BN512" s="7"/>
      <c r="BO512" s="4"/>
      <c r="BP512" s="8"/>
      <c r="BQ512" s="4"/>
      <c r="BR512" s="8"/>
      <c r="BS512" s="7"/>
      <c r="BT512" s="7"/>
      <c r="BU512" s="2" t="s">
        <v>3399</v>
      </c>
      <c r="BV512" s="2" t="s">
        <v>227</v>
      </c>
      <c r="BW512" s="2" t="s">
        <v>227</v>
      </c>
      <c r="BX512" s="2" t="s">
        <v>235</v>
      </c>
      <c r="BY512" s="2" t="s">
        <v>236</v>
      </c>
      <c r="BZ512" s="2" t="s">
        <v>224</v>
      </c>
      <c r="CA512" s="2" t="s">
        <v>3388</v>
      </c>
      <c r="CB512" s="2" t="s">
        <v>2553</v>
      </c>
      <c r="CC512" s="2" t="s">
        <v>239</v>
      </c>
      <c r="CD512" s="2" t="s">
        <v>227</v>
      </c>
      <c r="CE512" s="4">
        <v>62</v>
      </c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>
        <v>216</v>
      </c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/>
      <c r="FI512" s="4"/>
      <c r="FJ512" s="4"/>
      <c r="FK512" s="4"/>
      <c r="FL512" s="4"/>
      <c r="FM512" s="4"/>
      <c r="FN512" s="4"/>
      <c r="FO512" s="4"/>
      <c r="FP512" s="4"/>
      <c r="FQ512" s="4"/>
      <c r="FR512" s="4"/>
      <c r="FS512" s="4"/>
      <c r="FT512" s="4"/>
      <c r="FU512" s="4"/>
      <c r="FV512" s="4"/>
      <c r="FW512" s="4"/>
      <c r="FX512" s="4"/>
      <c r="FY512" s="4"/>
      <c r="FZ512" s="4"/>
      <c r="GA512" s="4"/>
      <c r="GB512" s="4"/>
      <c r="GC512" s="4"/>
      <c r="GD512" s="4"/>
      <c r="GE512" s="4"/>
      <c r="GF512" s="4"/>
      <c r="GG512" s="4"/>
      <c r="GH512" s="4"/>
      <c r="GI512" s="4"/>
      <c r="GJ512" s="4"/>
      <c r="GK512" s="4"/>
      <c r="GL512" s="4"/>
      <c r="GM512" s="4"/>
      <c r="GN512" s="4"/>
      <c r="GO512" s="4"/>
      <c r="GP512" s="4"/>
      <c r="GQ512" s="4"/>
      <c r="GR512" s="4"/>
      <c r="GS512" s="4"/>
      <c r="GT512" s="4"/>
      <c r="GU512" s="4"/>
      <c r="GV512" s="4"/>
      <c r="GW512" s="4"/>
      <c r="GX512" s="4">
        <v>100</v>
      </c>
    </row>
    <row r="513">
      <c r="A513" s="2" t="s">
        <v>3400</v>
      </c>
      <c r="B513" s="2" t="s">
        <v>715</v>
      </c>
      <c r="C513" s="2" t="s">
        <v>360</v>
      </c>
      <c r="D513" s="2" t="s">
        <v>716</v>
      </c>
      <c r="E513" s="2" t="s">
        <v>3401</v>
      </c>
      <c r="F513" s="2" t="s">
        <v>3379</v>
      </c>
      <c r="G513" s="2" t="s">
        <v>3380</v>
      </c>
      <c r="H513" s="2" t="s">
        <v>3381</v>
      </c>
      <c r="I513" s="2" t="s">
        <v>3402</v>
      </c>
      <c r="J513" s="2" t="s">
        <v>3403</v>
      </c>
      <c r="K513" s="2" t="s">
        <v>1067</v>
      </c>
      <c r="L513" s="3">
        <v>15.05</v>
      </c>
      <c r="M513" s="3">
        <v>15.8</v>
      </c>
      <c r="N513" s="3">
        <v>34.99</v>
      </c>
      <c r="O513" s="2" t="s">
        <v>224</v>
      </c>
      <c r="P513" s="2" t="s">
        <v>225</v>
      </c>
      <c r="Q513" s="2" t="s">
        <v>226</v>
      </c>
      <c r="R513" s="2" t="s">
        <v>227</v>
      </c>
      <c r="S513" s="2" t="s">
        <v>3397</v>
      </c>
      <c r="T513" s="2" t="s">
        <v>227</v>
      </c>
      <c r="U513" s="2" t="s">
        <v>227</v>
      </c>
      <c r="V513" s="2" t="s">
        <v>230</v>
      </c>
      <c r="W513" s="2" t="s">
        <v>836</v>
      </c>
      <c r="X513" s="2" t="s">
        <v>227</v>
      </c>
      <c r="Y513" s="2" t="s">
        <v>3385</v>
      </c>
      <c r="Z513" s="4">
        <v>479</v>
      </c>
      <c r="AA513" s="4">
        <f>=ROUNDDOWN(26.6111111111111,0)</f>
      </c>
      <c r="AB513" s="5">
        <v>18</v>
      </c>
      <c r="AC513" s="2" t="s">
        <v>810</v>
      </c>
      <c r="AD513" s="4">
        <v>120</v>
      </c>
      <c r="AE513" s="4">
        <v>180</v>
      </c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227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227</v>
      </c>
      <c r="AW513" s="8" t="s">
        <v>227</v>
      </c>
      <c r="AX513" s="4" t="s">
        <v>227</v>
      </c>
      <c r="AY513" s="8" t="s">
        <v>227</v>
      </c>
      <c r="AZ513" s="7" t="s">
        <v>227</v>
      </c>
      <c r="BA513" s="7" t="s">
        <v>227</v>
      </c>
      <c r="BB513" s="7"/>
      <c r="BC513" s="4" t="s">
        <v>227</v>
      </c>
      <c r="BD513" s="8" t="s">
        <v>227</v>
      </c>
      <c r="BE513" s="4" t="s">
        <v>227</v>
      </c>
      <c r="BF513" s="8" t="s">
        <v>227</v>
      </c>
      <c r="BG513" s="7" t="s">
        <v>227</v>
      </c>
      <c r="BH513" s="7" t="s">
        <v>227</v>
      </c>
      <c r="BI513" s="7"/>
      <c r="BJ513" s="4">
        <v>76</v>
      </c>
      <c r="BK513" s="8">
        <v>1208.98</v>
      </c>
      <c r="BL513" s="2" t="s">
        <v>3218</v>
      </c>
      <c r="BM513" s="7"/>
      <c r="BN513" s="7"/>
      <c r="BO513" s="4"/>
      <c r="BP513" s="8"/>
      <c r="BQ513" s="4"/>
      <c r="BR513" s="8"/>
      <c r="BS513" s="7"/>
      <c r="BT513" s="7"/>
      <c r="BU513" s="2" t="s">
        <v>3404</v>
      </c>
      <c r="BV513" s="2" t="s">
        <v>227</v>
      </c>
      <c r="BW513" s="2" t="s">
        <v>227</v>
      </c>
      <c r="BX513" s="2" t="s">
        <v>235</v>
      </c>
      <c r="BY513" s="2" t="s">
        <v>236</v>
      </c>
      <c r="BZ513" s="2" t="s">
        <v>224</v>
      </c>
      <c r="CA513" s="2" t="s">
        <v>3388</v>
      </c>
      <c r="CB513" s="2" t="s">
        <v>713</v>
      </c>
      <c r="CC513" s="2" t="s">
        <v>239</v>
      </c>
      <c r="CD513" s="2" t="s">
        <v>227</v>
      </c>
      <c r="CE513" s="4">
        <v>479</v>
      </c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>
        <v>120</v>
      </c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/>
      <c r="FJ513" s="4"/>
      <c r="FK513" s="4"/>
      <c r="FL513" s="4"/>
      <c r="FM513" s="4"/>
      <c r="FN513" s="4"/>
      <c r="FO513" s="4"/>
      <c r="FP513" s="4"/>
      <c r="FQ513" s="4"/>
      <c r="FR513" s="4"/>
      <c r="FS513" s="4"/>
      <c r="FT513" s="4"/>
      <c r="FU513" s="4"/>
      <c r="FV513" s="4"/>
      <c r="FW513" s="4"/>
      <c r="FX513" s="4"/>
      <c r="FY513" s="4"/>
      <c r="FZ513" s="4"/>
      <c r="GA513" s="4"/>
      <c r="GB513" s="4"/>
      <c r="GC513" s="4"/>
      <c r="GD513" s="4"/>
      <c r="GE513" s="4"/>
      <c r="GF513" s="4"/>
      <c r="GG513" s="4"/>
      <c r="GH513" s="4"/>
      <c r="GI513" s="4"/>
      <c r="GJ513" s="4"/>
      <c r="GK513" s="4"/>
      <c r="GL513" s="4"/>
      <c r="GM513" s="4"/>
      <c r="GN513" s="4"/>
      <c r="GO513" s="4"/>
      <c r="GP513" s="4"/>
      <c r="GQ513" s="4"/>
      <c r="GR513" s="4"/>
      <c r="GS513" s="4"/>
      <c r="GT513" s="4"/>
      <c r="GU513" s="4"/>
      <c r="GV513" s="4"/>
      <c r="GW513" s="4"/>
      <c r="GX513" s="4">
        <v>60</v>
      </c>
    </row>
    <row r="514">
      <c r="A514" s="2" t="s">
        <v>3405</v>
      </c>
      <c r="B514" s="2" t="s">
        <v>715</v>
      </c>
      <c r="C514" s="2" t="s">
        <v>360</v>
      </c>
      <c r="D514" s="2" t="s">
        <v>716</v>
      </c>
      <c r="E514" s="2" t="s">
        <v>1774</v>
      </c>
      <c r="F514" s="2" t="s">
        <v>3379</v>
      </c>
      <c r="G514" s="2" t="s">
        <v>3380</v>
      </c>
      <c r="H514" s="2" t="s">
        <v>3381</v>
      </c>
      <c r="I514" s="2" t="s">
        <v>3382</v>
      </c>
      <c r="J514" s="2" t="s">
        <v>3383</v>
      </c>
      <c r="K514" s="2" t="s">
        <v>264</v>
      </c>
      <c r="L514" s="3">
        <v>20.25</v>
      </c>
      <c r="M514" s="3">
        <v>21.26</v>
      </c>
      <c r="N514" s="3">
        <v>44.99</v>
      </c>
      <c r="O514" s="2" t="s">
        <v>224</v>
      </c>
      <c r="P514" s="2" t="s">
        <v>225</v>
      </c>
      <c r="Q514" s="2" t="s">
        <v>226</v>
      </c>
      <c r="R514" s="2" t="s">
        <v>227</v>
      </c>
      <c r="S514" s="2" t="s">
        <v>3406</v>
      </c>
      <c r="T514" s="2" t="s">
        <v>227</v>
      </c>
      <c r="U514" s="2" t="s">
        <v>227</v>
      </c>
      <c r="V514" s="2" t="s">
        <v>230</v>
      </c>
      <c r="W514" s="2" t="s">
        <v>836</v>
      </c>
      <c r="X514" s="2" t="s">
        <v>1078</v>
      </c>
      <c r="Y514" s="2" t="s">
        <v>3385</v>
      </c>
      <c r="Z514" s="4">
        <v>154</v>
      </c>
      <c r="AA514" s="4">
        <f>=ROUNDDOWN(22,0)</f>
      </c>
      <c r="AB514" s="5">
        <v>7</v>
      </c>
      <c r="AC514" s="2" t="s">
        <v>192</v>
      </c>
      <c r="AD514" s="4">
        <v>56</v>
      </c>
      <c r="AE514" s="4">
        <v>56</v>
      </c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227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 t="s">
        <v>227</v>
      </c>
      <c r="BD514" s="8" t="s">
        <v>227</v>
      </c>
      <c r="BE514" s="4" t="s">
        <v>227</v>
      </c>
      <c r="BF514" s="8" t="s">
        <v>227</v>
      </c>
      <c r="BG514" s="7" t="s">
        <v>227</v>
      </c>
      <c r="BH514" s="7" t="s">
        <v>227</v>
      </c>
      <c r="BI514" s="7"/>
      <c r="BJ514" s="4">
        <v>41</v>
      </c>
      <c r="BK514" s="8">
        <v>882.3</v>
      </c>
      <c r="BL514" s="2" t="s">
        <v>2898</v>
      </c>
      <c r="BM514" s="7"/>
      <c r="BN514" s="7"/>
      <c r="BO514" s="4"/>
      <c r="BP514" s="8"/>
      <c r="BQ514" s="4"/>
      <c r="BR514" s="8"/>
      <c r="BS514" s="7"/>
      <c r="BT514" s="7"/>
      <c r="BU514" s="2" t="s">
        <v>3407</v>
      </c>
      <c r="BV514" s="2" t="s">
        <v>227</v>
      </c>
      <c r="BW514" s="2" t="s">
        <v>227</v>
      </c>
      <c r="BX514" s="2" t="s">
        <v>235</v>
      </c>
      <c r="BY514" s="2" t="s">
        <v>236</v>
      </c>
      <c r="BZ514" s="2" t="s">
        <v>224</v>
      </c>
      <c r="CA514" s="2" t="s">
        <v>3388</v>
      </c>
      <c r="CB514" s="2" t="s">
        <v>408</v>
      </c>
      <c r="CC514" s="2" t="s">
        <v>239</v>
      </c>
      <c r="CD514" s="2" t="s">
        <v>227</v>
      </c>
      <c r="CE514" s="4">
        <v>154</v>
      </c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/>
      <c r="FI514" s="4"/>
      <c r="FJ514" s="4"/>
      <c r="FK514" s="4"/>
      <c r="FL514" s="4"/>
      <c r="FM514" s="4"/>
      <c r="FN514" s="4"/>
      <c r="FO514" s="4"/>
      <c r="FP514" s="4"/>
      <c r="FQ514" s="4"/>
      <c r="FR514" s="4"/>
      <c r="FS514" s="4"/>
      <c r="FT514" s="4"/>
      <c r="FU514" s="4"/>
      <c r="FV514" s="4"/>
      <c r="FW514" s="4"/>
      <c r="FX514" s="4"/>
      <c r="FY514" s="4"/>
      <c r="FZ514" s="4"/>
      <c r="GA514" s="4"/>
      <c r="GB514" s="4">
        <v>56</v>
      </c>
      <c r="GC514" s="4"/>
      <c r="GD514" s="4"/>
      <c r="GE514" s="4"/>
      <c r="GF514" s="4"/>
      <c r="GG514" s="4"/>
      <c r="GH514" s="4"/>
      <c r="GI514" s="4"/>
      <c r="GJ514" s="4"/>
      <c r="GK514" s="4"/>
      <c r="GL514" s="4"/>
      <c r="GM514" s="4"/>
      <c r="GN514" s="4"/>
      <c r="GO514" s="4"/>
      <c r="GP514" s="4"/>
      <c r="GQ514" s="4"/>
      <c r="GR514" s="4"/>
      <c r="GS514" s="4"/>
      <c r="GT514" s="4"/>
      <c r="GU514" s="4"/>
      <c r="GV514" s="4"/>
      <c r="GW514" s="4"/>
      <c r="GX514" s="4"/>
    </row>
    <row r="515">
      <c r="A515" s="2" t="s">
        <v>3408</v>
      </c>
      <c r="B515" s="2" t="s">
        <v>697</v>
      </c>
      <c r="C515" s="2" t="s">
        <v>1962</v>
      </c>
      <c r="D515" s="2" t="s">
        <v>1982</v>
      </c>
      <c r="E515" s="2" t="s">
        <v>1983</v>
      </c>
      <c r="F515" s="2" t="s">
        <v>3409</v>
      </c>
      <c r="G515" s="2" t="s">
        <v>3409</v>
      </c>
      <c r="H515" s="2" t="s">
        <v>227</v>
      </c>
      <c r="I515" s="2" t="s">
        <v>1449</v>
      </c>
      <c r="J515" s="2" t="s">
        <v>222</v>
      </c>
      <c r="K515" s="2" t="s">
        <v>223</v>
      </c>
      <c r="L515" s="3">
        <v>54.64</v>
      </c>
      <c r="M515" s="3">
        <v>57.37</v>
      </c>
      <c r="N515" s="3">
        <v>104.99</v>
      </c>
      <c r="O515" s="2" t="s">
        <v>224</v>
      </c>
      <c r="P515" s="2" t="s">
        <v>485</v>
      </c>
      <c r="Q515" s="2" t="s">
        <v>226</v>
      </c>
      <c r="R515" s="2" t="s">
        <v>227</v>
      </c>
      <c r="S515" s="2" t="s">
        <v>3410</v>
      </c>
      <c r="T515" s="2" t="s">
        <v>704</v>
      </c>
      <c r="U515" s="2" t="s">
        <v>227</v>
      </c>
      <c r="V515" s="2" t="s">
        <v>230</v>
      </c>
      <c r="W515" s="2" t="s">
        <v>231</v>
      </c>
      <c r="X515" s="2" t="s">
        <v>227</v>
      </c>
      <c r="Y515" s="2" t="s">
        <v>232</v>
      </c>
      <c r="Z515" s="4">
        <v>139</v>
      </c>
      <c r="AA515" s="4">
        <f>=ROUNDDOWN(8.17647058823529,0)</f>
      </c>
      <c r="AB515" s="5">
        <v>17</v>
      </c>
      <c r="AC515" s="2" t="s">
        <v>3411</v>
      </c>
      <c r="AD515" s="4">
        <v>150</v>
      </c>
      <c r="AE515" s="4">
        <v>360</v>
      </c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227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227</v>
      </c>
      <c r="AW515" s="8" t="s">
        <v>227</v>
      </c>
      <c r="AX515" s="4" t="s">
        <v>227</v>
      </c>
      <c r="AY515" s="8" t="s">
        <v>227</v>
      </c>
      <c r="AZ515" s="7" t="s">
        <v>227</v>
      </c>
      <c r="BA515" s="7" t="s">
        <v>227</v>
      </c>
      <c r="BB515" s="7"/>
      <c r="BC515" s="4" t="s">
        <v>227</v>
      </c>
      <c r="BD515" s="8" t="s">
        <v>227</v>
      </c>
      <c r="BE515" s="4" t="s">
        <v>227</v>
      </c>
      <c r="BF515" s="8" t="s">
        <v>227</v>
      </c>
      <c r="BG515" s="7" t="s">
        <v>227</v>
      </c>
      <c r="BH515" s="7" t="s">
        <v>227</v>
      </c>
      <c r="BI515" s="7"/>
      <c r="BJ515" s="4">
        <v>6</v>
      </c>
      <c r="BK515" s="8">
        <v>359.38</v>
      </c>
      <c r="BL515" s="2" t="s">
        <v>3412</v>
      </c>
      <c r="BM515" s="7"/>
      <c r="BN515" s="7"/>
      <c r="BO515" s="4"/>
      <c r="BP515" s="8"/>
      <c r="BQ515" s="4"/>
      <c r="BR515" s="8"/>
      <c r="BS515" s="7"/>
      <c r="BT515" s="7"/>
      <c r="BU515" s="2" t="s">
        <v>3413</v>
      </c>
      <c r="BV515" s="2" t="s">
        <v>227</v>
      </c>
      <c r="BW515" s="2" t="s">
        <v>227</v>
      </c>
      <c r="BX515" s="2" t="s">
        <v>235</v>
      </c>
      <c r="BY515" s="2" t="s">
        <v>236</v>
      </c>
      <c r="BZ515" s="2" t="s">
        <v>224</v>
      </c>
      <c r="CA515" s="2" t="s">
        <v>2810</v>
      </c>
      <c r="CB515" s="2" t="s">
        <v>3414</v>
      </c>
      <c r="CC515" s="2" t="s">
        <v>239</v>
      </c>
      <c r="CD515" s="2" t="s">
        <v>227</v>
      </c>
      <c r="CE515" s="4">
        <v>139</v>
      </c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>
        <v>150</v>
      </c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>
        <v>210</v>
      </c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/>
      <c r="FJ515" s="4"/>
      <c r="FK515" s="4"/>
      <c r="FL515" s="4"/>
      <c r="FM515" s="4"/>
      <c r="FN515" s="4"/>
      <c r="FO515" s="4"/>
      <c r="FP515" s="4"/>
      <c r="FQ515" s="4"/>
      <c r="FR515" s="4"/>
      <c r="FS515" s="4"/>
      <c r="FT515" s="4"/>
      <c r="FU515" s="4"/>
      <c r="FV515" s="4"/>
      <c r="FW515" s="4"/>
      <c r="FX515" s="4"/>
      <c r="FY515" s="4"/>
      <c r="FZ515" s="4"/>
      <c r="GA515" s="4"/>
      <c r="GB515" s="4"/>
      <c r="GC515" s="4"/>
      <c r="GD515" s="4"/>
      <c r="GE515" s="4"/>
      <c r="GF515" s="4"/>
      <c r="GG515" s="4"/>
      <c r="GH515" s="4"/>
      <c r="GI515" s="4"/>
      <c r="GJ515" s="4"/>
      <c r="GK515" s="4"/>
      <c r="GL515" s="4"/>
      <c r="GM515" s="4"/>
      <c r="GN515" s="4"/>
      <c r="GO515" s="4"/>
      <c r="GP515" s="4"/>
      <c r="GQ515" s="4"/>
      <c r="GR515" s="4"/>
      <c r="GS515" s="4"/>
      <c r="GT515" s="4"/>
      <c r="GU515" s="4"/>
      <c r="GV515" s="4"/>
      <c r="GW515" s="4"/>
      <c r="GX515" s="4"/>
    </row>
    <row r="516">
      <c r="A516" s="2" t="s">
        <v>3415</v>
      </c>
      <c r="B516" s="2" t="s">
        <v>697</v>
      </c>
      <c r="C516" s="2" t="s">
        <v>1962</v>
      </c>
      <c r="D516" s="2" t="s">
        <v>1982</v>
      </c>
      <c r="E516" s="2" t="s">
        <v>1983</v>
      </c>
      <c r="F516" s="2" t="s">
        <v>3409</v>
      </c>
      <c r="G516" s="2" t="s">
        <v>3409</v>
      </c>
      <c r="H516" s="2" t="s">
        <v>227</v>
      </c>
      <c r="I516" s="2" t="s">
        <v>1449</v>
      </c>
      <c r="J516" s="2" t="s">
        <v>257</v>
      </c>
      <c r="K516" s="2" t="s">
        <v>223</v>
      </c>
      <c r="L516" s="3">
        <v>89.41</v>
      </c>
      <c r="M516" s="3">
        <v>93.88</v>
      </c>
      <c r="N516" s="3">
        <v>174.99</v>
      </c>
      <c r="O516" s="2" t="s">
        <v>224</v>
      </c>
      <c r="P516" s="2" t="s">
        <v>485</v>
      </c>
      <c r="Q516" s="2" t="s">
        <v>226</v>
      </c>
      <c r="R516" s="2" t="s">
        <v>227</v>
      </c>
      <c r="S516" s="2" t="s">
        <v>3410</v>
      </c>
      <c r="T516" s="2" t="s">
        <v>704</v>
      </c>
      <c r="U516" s="2" t="s">
        <v>227</v>
      </c>
      <c r="V516" s="2" t="s">
        <v>230</v>
      </c>
      <c r="W516" s="2" t="s">
        <v>231</v>
      </c>
      <c r="X516" s="2" t="s">
        <v>227</v>
      </c>
      <c r="Y516" s="2" t="s">
        <v>3416</v>
      </c>
      <c r="Z516" s="4">
        <v>353</v>
      </c>
      <c r="AA516" s="4">
        <f>=ROUNDDOWN(18.5789473684211,0)</f>
      </c>
      <c r="AB516" s="5">
        <v>19</v>
      </c>
      <c r="AC516" s="2" t="s">
        <v>203</v>
      </c>
      <c r="AD516" s="4">
        <v>300</v>
      </c>
      <c r="AE516" s="4">
        <v>300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227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227</v>
      </c>
      <c r="AW516" s="8" t="s">
        <v>227</v>
      </c>
      <c r="AX516" s="4" t="s">
        <v>227</v>
      </c>
      <c r="AY516" s="8" t="s">
        <v>227</v>
      </c>
      <c r="AZ516" s="7" t="s">
        <v>227</v>
      </c>
      <c r="BA516" s="7" t="s">
        <v>227</v>
      </c>
      <c r="BB516" s="7"/>
      <c r="BC516" s="4" t="s">
        <v>227</v>
      </c>
      <c r="BD516" s="8" t="s">
        <v>227</v>
      </c>
      <c r="BE516" s="4" t="s">
        <v>227</v>
      </c>
      <c r="BF516" s="8" t="s">
        <v>227</v>
      </c>
      <c r="BG516" s="7" t="s">
        <v>227</v>
      </c>
      <c r="BH516" s="7" t="s">
        <v>227</v>
      </c>
      <c r="BI516" s="7"/>
      <c r="BJ516" s="4">
        <v>18</v>
      </c>
      <c r="BK516" s="8">
        <v>1873.85</v>
      </c>
      <c r="BL516" s="2" t="s">
        <v>3417</v>
      </c>
      <c r="BM516" s="7"/>
      <c r="BN516" s="7"/>
      <c r="BO516" s="4"/>
      <c r="BP516" s="8"/>
      <c r="BQ516" s="4"/>
      <c r="BR516" s="8"/>
      <c r="BS516" s="7"/>
      <c r="BT516" s="7"/>
      <c r="BU516" s="2" t="s">
        <v>3418</v>
      </c>
      <c r="BV516" s="2" t="s">
        <v>227</v>
      </c>
      <c r="BW516" s="2" t="s">
        <v>227</v>
      </c>
      <c r="BX516" s="2" t="s">
        <v>235</v>
      </c>
      <c r="BY516" s="2" t="s">
        <v>236</v>
      </c>
      <c r="BZ516" s="2" t="s">
        <v>224</v>
      </c>
      <c r="CA516" s="2" t="s">
        <v>2810</v>
      </c>
      <c r="CB516" s="2" t="s">
        <v>981</v>
      </c>
      <c r="CC516" s="2" t="s">
        <v>239</v>
      </c>
      <c r="CD516" s="2" t="s">
        <v>227</v>
      </c>
      <c r="CE516" s="4">
        <v>353</v>
      </c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/>
      <c r="FD516" s="4"/>
      <c r="FE516" s="4"/>
      <c r="FF516" s="4"/>
      <c r="FG516" s="4"/>
      <c r="FH516" s="4"/>
      <c r="FI516" s="4"/>
      <c r="FJ516" s="4"/>
      <c r="FK516" s="4"/>
      <c r="FL516" s="4"/>
      <c r="FM516" s="4"/>
      <c r="FN516" s="4"/>
      <c r="FO516" s="4"/>
      <c r="FP516" s="4"/>
      <c r="FQ516" s="4"/>
      <c r="FR516" s="4"/>
      <c r="FS516" s="4"/>
      <c r="FT516" s="4"/>
      <c r="FU516" s="4"/>
      <c r="FV516" s="4"/>
      <c r="FW516" s="4"/>
      <c r="FX516" s="4"/>
      <c r="FY516" s="4"/>
      <c r="FZ516" s="4"/>
      <c r="GA516" s="4"/>
      <c r="GB516" s="4"/>
      <c r="GC516" s="4"/>
      <c r="GD516" s="4"/>
      <c r="GE516" s="4"/>
      <c r="GF516" s="4"/>
      <c r="GG516" s="4"/>
      <c r="GH516" s="4"/>
      <c r="GI516" s="4"/>
      <c r="GJ516" s="4"/>
      <c r="GK516" s="4"/>
      <c r="GL516" s="4"/>
      <c r="GM516" s="4">
        <v>300</v>
      </c>
      <c r="GN516" s="4"/>
      <c r="GO516" s="4"/>
      <c r="GP516" s="4"/>
      <c r="GQ516" s="4"/>
      <c r="GR516" s="4"/>
      <c r="GS516" s="4"/>
      <c r="GT516" s="4"/>
      <c r="GU516" s="4"/>
      <c r="GV516" s="4"/>
      <c r="GW516" s="4"/>
      <c r="GX516" s="4"/>
    </row>
    <row r="517">
      <c r="A517" s="2" t="s">
        <v>3419</v>
      </c>
      <c r="B517" s="2" t="s">
        <v>697</v>
      </c>
      <c r="C517" s="2" t="s">
        <v>1962</v>
      </c>
      <c r="D517" s="2" t="s">
        <v>1982</v>
      </c>
      <c r="E517" s="2" t="s">
        <v>3093</v>
      </c>
      <c r="F517" s="2" t="s">
        <v>3409</v>
      </c>
      <c r="G517" s="2" t="s">
        <v>3409</v>
      </c>
      <c r="H517" s="2" t="s">
        <v>227</v>
      </c>
      <c r="I517" s="2" t="s">
        <v>1334</v>
      </c>
      <c r="J517" s="2" t="s">
        <v>2854</v>
      </c>
      <c r="K517" s="2" t="s">
        <v>223</v>
      </c>
      <c r="L517" s="3">
        <v>36.8</v>
      </c>
      <c r="M517" s="3">
        <v>38.64</v>
      </c>
      <c r="N517" s="3">
        <v>79.99</v>
      </c>
      <c r="O517" s="2" t="s">
        <v>224</v>
      </c>
      <c r="P517" s="2" t="s">
        <v>485</v>
      </c>
      <c r="Q517" s="2" t="s">
        <v>226</v>
      </c>
      <c r="R517" s="2" t="s">
        <v>227</v>
      </c>
      <c r="S517" s="2" t="s">
        <v>3420</v>
      </c>
      <c r="T517" s="2" t="s">
        <v>704</v>
      </c>
      <c r="U517" s="2" t="s">
        <v>227</v>
      </c>
      <c r="V517" s="2" t="s">
        <v>230</v>
      </c>
      <c r="W517" s="2" t="s">
        <v>231</v>
      </c>
      <c r="X517" s="2" t="s">
        <v>227</v>
      </c>
      <c r="Y517" s="2" t="s">
        <v>232</v>
      </c>
      <c r="Z517" s="4">
        <v>87</v>
      </c>
      <c r="AA517" s="4">
        <f>=ROUNDDOWN(5.4375,0)</f>
      </c>
      <c r="AB517" s="5">
        <v>16</v>
      </c>
      <c r="AC517" s="2" t="s">
        <v>583</v>
      </c>
      <c r="AD517" s="4">
        <v>250</v>
      </c>
      <c r="AE517" s="4">
        <v>1300</v>
      </c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227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227</v>
      </c>
      <c r="AW517" s="8" t="s">
        <v>227</v>
      </c>
      <c r="AX517" s="4" t="s">
        <v>227</v>
      </c>
      <c r="AY517" s="8" t="s">
        <v>227</v>
      </c>
      <c r="AZ517" s="7" t="s">
        <v>227</v>
      </c>
      <c r="BA517" s="7" t="s">
        <v>227</v>
      </c>
      <c r="BB517" s="7"/>
      <c r="BC517" s="4" t="s">
        <v>227</v>
      </c>
      <c r="BD517" s="8" t="s">
        <v>227</v>
      </c>
      <c r="BE517" s="4" t="s">
        <v>227</v>
      </c>
      <c r="BF517" s="8" t="s">
        <v>227</v>
      </c>
      <c r="BG517" s="7" t="s">
        <v>227</v>
      </c>
      <c r="BH517" s="7" t="s">
        <v>227</v>
      </c>
      <c r="BI517" s="7"/>
      <c r="BJ517" s="4">
        <v>4</v>
      </c>
      <c r="BK517" s="8">
        <v>150.82</v>
      </c>
      <c r="BL517" s="2" t="s">
        <v>3421</v>
      </c>
      <c r="BM517" s="7"/>
      <c r="BN517" s="7"/>
      <c r="BO517" s="4"/>
      <c r="BP517" s="8"/>
      <c r="BQ517" s="4"/>
      <c r="BR517" s="8"/>
      <c r="BS517" s="7"/>
      <c r="BT517" s="7"/>
      <c r="BU517" s="2" t="s">
        <v>3422</v>
      </c>
      <c r="BV517" s="2" t="s">
        <v>227</v>
      </c>
      <c r="BW517" s="2" t="s">
        <v>227</v>
      </c>
      <c r="BX517" s="2" t="s">
        <v>235</v>
      </c>
      <c r="BY517" s="2" t="s">
        <v>236</v>
      </c>
      <c r="BZ517" s="2" t="s">
        <v>224</v>
      </c>
      <c r="CA517" s="2" t="s">
        <v>2810</v>
      </c>
      <c r="CB517" s="2" t="s">
        <v>981</v>
      </c>
      <c r="CC517" s="2" t="s">
        <v>239</v>
      </c>
      <c r="CD517" s="2" t="s">
        <v>227</v>
      </c>
      <c r="CE517" s="4">
        <v>87</v>
      </c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>
        <v>250</v>
      </c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>
        <v>360</v>
      </c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/>
      <c r="FH517" s="4"/>
      <c r="FI517" s="4">
        <v>220</v>
      </c>
      <c r="FJ517" s="4"/>
      <c r="FK517" s="4"/>
      <c r="FL517" s="4"/>
      <c r="FM517" s="4"/>
      <c r="FN517" s="4"/>
      <c r="FO517" s="4"/>
      <c r="FP517" s="4"/>
      <c r="FQ517" s="4"/>
      <c r="FR517" s="4"/>
      <c r="FS517" s="4"/>
      <c r="FT517" s="4"/>
      <c r="FU517" s="4"/>
      <c r="FV517" s="4"/>
      <c r="FW517" s="4"/>
      <c r="FX517" s="4"/>
      <c r="FY517" s="4"/>
      <c r="FZ517" s="4"/>
      <c r="GA517" s="4"/>
      <c r="GB517" s="4"/>
      <c r="GC517" s="4"/>
      <c r="GD517" s="4"/>
      <c r="GE517" s="4"/>
      <c r="GF517" s="4"/>
      <c r="GG517" s="4"/>
      <c r="GH517" s="4"/>
      <c r="GI517" s="4"/>
      <c r="GJ517" s="4"/>
      <c r="GK517" s="4"/>
      <c r="GL517" s="4"/>
      <c r="GM517" s="4">
        <v>70</v>
      </c>
      <c r="GN517" s="4"/>
      <c r="GO517" s="4"/>
      <c r="GP517" s="4"/>
      <c r="GQ517" s="4"/>
      <c r="GR517" s="4"/>
      <c r="GS517" s="4">
        <v>400</v>
      </c>
      <c r="GT517" s="4"/>
      <c r="GU517" s="4"/>
      <c r="GV517" s="4"/>
      <c r="GW517" s="4"/>
      <c r="GX517" s="4"/>
    </row>
    <row r="518">
      <c r="A518" s="2" t="s">
        <v>3423</v>
      </c>
      <c r="B518" s="2" t="s">
        <v>697</v>
      </c>
      <c r="C518" s="2" t="s">
        <v>1962</v>
      </c>
      <c r="D518" s="2" t="s">
        <v>1982</v>
      </c>
      <c r="E518" s="2" t="s">
        <v>3093</v>
      </c>
      <c r="F518" s="2" t="s">
        <v>3409</v>
      </c>
      <c r="G518" s="2" t="s">
        <v>3409</v>
      </c>
      <c r="H518" s="2" t="s">
        <v>227</v>
      </c>
      <c r="I518" s="2" t="s">
        <v>1334</v>
      </c>
      <c r="J518" s="2" t="s">
        <v>2854</v>
      </c>
      <c r="K518" s="2" t="s">
        <v>1428</v>
      </c>
      <c r="L518" s="3">
        <v>36.8</v>
      </c>
      <c r="M518" s="3">
        <v>38.64</v>
      </c>
      <c r="N518" s="3">
        <v>79.99</v>
      </c>
      <c r="O518" s="2" t="s">
        <v>224</v>
      </c>
      <c r="P518" s="2" t="s">
        <v>225</v>
      </c>
      <c r="Q518" s="2" t="s">
        <v>226</v>
      </c>
      <c r="R518" s="2" t="s">
        <v>227</v>
      </c>
      <c r="S518" s="2" t="s">
        <v>3424</v>
      </c>
      <c r="T518" s="2" t="s">
        <v>704</v>
      </c>
      <c r="U518" s="2" t="s">
        <v>227</v>
      </c>
      <c r="V518" s="2" t="s">
        <v>230</v>
      </c>
      <c r="W518" s="2" t="s">
        <v>231</v>
      </c>
      <c r="X518" s="2" t="s">
        <v>227</v>
      </c>
      <c r="Y518" s="2" t="s">
        <v>232</v>
      </c>
      <c r="Z518" s="4">
        <v>755</v>
      </c>
      <c r="AA518" s="4">
        <f>=ROUNDDOWN(53.9285714285714,0)</f>
      </c>
      <c r="AB518" s="5">
        <v>14</v>
      </c>
      <c r="AC518" s="2" t="s">
        <v>227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227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 t="s">
        <v>227</v>
      </c>
      <c r="BD518" s="8" t="s">
        <v>227</v>
      </c>
      <c r="BE518" s="4" t="s">
        <v>227</v>
      </c>
      <c r="BF518" s="8" t="s">
        <v>227</v>
      </c>
      <c r="BG518" s="7" t="s">
        <v>227</v>
      </c>
      <c r="BH518" s="7" t="s">
        <v>227</v>
      </c>
      <c r="BI518" s="7"/>
      <c r="BJ518" s="4">
        <v>8</v>
      </c>
      <c r="BK518" s="8">
        <v>311.7</v>
      </c>
      <c r="BL518" s="2" t="s">
        <v>3425</v>
      </c>
      <c r="BM518" s="7"/>
      <c r="BN518" s="7"/>
      <c r="BO518" s="4"/>
      <c r="BP518" s="8"/>
      <c r="BQ518" s="4"/>
      <c r="BR518" s="8"/>
      <c r="BS518" s="7"/>
      <c r="BT518" s="7"/>
      <c r="BU518" s="2" t="s">
        <v>3426</v>
      </c>
      <c r="BV518" s="2" t="s">
        <v>227</v>
      </c>
      <c r="BW518" s="2" t="s">
        <v>227</v>
      </c>
      <c r="BX518" s="2" t="s">
        <v>235</v>
      </c>
      <c r="BY518" s="2" t="s">
        <v>236</v>
      </c>
      <c r="BZ518" s="2" t="s">
        <v>224</v>
      </c>
      <c r="CA518" s="2" t="s">
        <v>2810</v>
      </c>
      <c r="CB518" s="2" t="s">
        <v>3427</v>
      </c>
      <c r="CC518" s="2" t="s">
        <v>239</v>
      </c>
      <c r="CD518" s="2" t="s">
        <v>227</v>
      </c>
      <c r="CE518" s="4">
        <v>755</v>
      </c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/>
      <c r="FG518" s="4"/>
      <c r="FH518" s="4"/>
      <c r="FI518" s="4"/>
      <c r="FJ518" s="4"/>
      <c r="FK518" s="4"/>
      <c r="FL518" s="4"/>
      <c r="FM518" s="4"/>
      <c r="FN518" s="4"/>
      <c r="FO518" s="4"/>
      <c r="FP518" s="4"/>
      <c r="FQ518" s="4"/>
      <c r="FR518" s="4"/>
      <c r="FS518" s="4"/>
      <c r="FT518" s="4"/>
      <c r="FU518" s="4"/>
      <c r="FV518" s="4"/>
      <c r="FW518" s="4"/>
      <c r="FX518" s="4"/>
      <c r="FY518" s="4"/>
      <c r="FZ518" s="4"/>
      <c r="GA518" s="4"/>
      <c r="GB518" s="4"/>
      <c r="GC518" s="4"/>
      <c r="GD518" s="4"/>
      <c r="GE518" s="4"/>
      <c r="GF518" s="4"/>
      <c r="GG518" s="4"/>
      <c r="GH518" s="4"/>
      <c r="GI518" s="4"/>
      <c r="GJ518" s="4"/>
      <c r="GK518" s="4"/>
      <c r="GL518" s="4"/>
      <c r="GM518" s="4"/>
      <c r="GN518" s="4"/>
      <c r="GO518" s="4"/>
      <c r="GP518" s="4"/>
      <c r="GQ518" s="4"/>
      <c r="GR518" s="4"/>
      <c r="GS518" s="4"/>
      <c r="GT518" s="4"/>
      <c r="GU518" s="4"/>
      <c r="GV518" s="4"/>
      <c r="GW518" s="4"/>
      <c r="GX518" s="4"/>
    </row>
    <row r="519">
      <c r="A519" s="2" t="s">
        <v>3428</v>
      </c>
      <c r="B519" s="2" t="s">
        <v>697</v>
      </c>
      <c r="C519" s="2" t="s">
        <v>1962</v>
      </c>
      <c r="D519" s="2" t="s">
        <v>1982</v>
      </c>
      <c r="E519" s="2" t="s">
        <v>1983</v>
      </c>
      <c r="F519" s="2" t="s">
        <v>3409</v>
      </c>
      <c r="G519" s="2" t="s">
        <v>3409</v>
      </c>
      <c r="H519" s="2" t="s">
        <v>227</v>
      </c>
      <c r="I519" s="2" t="s">
        <v>1449</v>
      </c>
      <c r="J519" s="2" t="s">
        <v>252</v>
      </c>
      <c r="K519" s="2" t="s">
        <v>874</v>
      </c>
      <c r="L519" s="3">
        <v>79.48</v>
      </c>
      <c r="M519" s="3">
        <v>83.45</v>
      </c>
      <c r="N519" s="3">
        <v>154.99</v>
      </c>
      <c r="O519" s="2" t="s">
        <v>224</v>
      </c>
      <c r="P519" s="2" t="s">
        <v>225</v>
      </c>
      <c r="Q519" s="2" t="s">
        <v>226</v>
      </c>
      <c r="R519" s="2" t="s">
        <v>227</v>
      </c>
      <c r="S519" s="2" t="s">
        <v>3429</v>
      </c>
      <c r="T519" s="2" t="s">
        <v>704</v>
      </c>
      <c r="U519" s="2" t="s">
        <v>227</v>
      </c>
      <c r="V519" s="2" t="s">
        <v>230</v>
      </c>
      <c r="W519" s="2" t="s">
        <v>231</v>
      </c>
      <c r="X519" s="2" t="s">
        <v>227</v>
      </c>
      <c r="Y519" s="2" t="s">
        <v>232</v>
      </c>
      <c r="Z519" s="4">
        <v>267</v>
      </c>
      <c r="AA519" s="4">
        <f>=ROUNDDOWN(38.1428571428571,0)</f>
      </c>
      <c r="AB519" s="5">
        <v>7</v>
      </c>
      <c r="AC519" s="2" t="s">
        <v>227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227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227</v>
      </c>
      <c r="AW519" s="8" t="s">
        <v>227</v>
      </c>
      <c r="AX519" s="4" t="s">
        <v>227</v>
      </c>
      <c r="AY519" s="8" t="s">
        <v>227</v>
      </c>
      <c r="AZ519" s="7" t="s">
        <v>227</v>
      </c>
      <c r="BA519" s="7" t="s">
        <v>227</v>
      </c>
      <c r="BB519" s="7"/>
      <c r="BC519" s="4" t="s">
        <v>227</v>
      </c>
      <c r="BD519" s="8" t="s">
        <v>227</v>
      </c>
      <c r="BE519" s="4" t="s">
        <v>227</v>
      </c>
      <c r="BF519" s="8" t="s">
        <v>227</v>
      </c>
      <c r="BG519" s="7" t="s">
        <v>227</v>
      </c>
      <c r="BH519" s="7" t="s">
        <v>227</v>
      </c>
      <c r="BI519" s="7"/>
      <c r="BJ519" s="4">
        <v>1</v>
      </c>
      <c r="BK519" s="8">
        <v>75</v>
      </c>
      <c r="BL519" s="2" t="s">
        <v>3430</v>
      </c>
      <c r="BM519" s="7"/>
      <c r="BN519" s="7"/>
      <c r="BO519" s="4"/>
      <c r="BP519" s="8"/>
      <c r="BQ519" s="4"/>
      <c r="BR519" s="8"/>
      <c r="BS519" s="7"/>
      <c r="BT519" s="7"/>
      <c r="BU519" s="2" t="s">
        <v>3431</v>
      </c>
      <c r="BV519" s="2" t="s">
        <v>227</v>
      </c>
      <c r="BW519" s="2" t="s">
        <v>227</v>
      </c>
      <c r="BX519" s="2" t="s">
        <v>235</v>
      </c>
      <c r="BY519" s="2" t="s">
        <v>236</v>
      </c>
      <c r="BZ519" s="2" t="s">
        <v>224</v>
      </c>
      <c r="CA519" s="2" t="s">
        <v>2810</v>
      </c>
      <c r="CB519" s="2" t="s">
        <v>981</v>
      </c>
      <c r="CC519" s="2" t="s">
        <v>239</v>
      </c>
      <c r="CD519" s="2" t="s">
        <v>227</v>
      </c>
      <c r="CE519" s="4">
        <v>267</v>
      </c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/>
      <c r="FB519" s="4"/>
      <c r="FC519" s="4"/>
      <c r="FD519" s="4"/>
      <c r="FE519" s="4"/>
      <c r="FF519" s="4"/>
      <c r="FG519" s="4"/>
      <c r="FH519" s="4"/>
      <c r="FI519" s="4"/>
      <c r="FJ519" s="4"/>
      <c r="FK519" s="4"/>
      <c r="FL519" s="4"/>
      <c r="FM519" s="4"/>
      <c r="FN519" s="4"/>
      <c r="FO519" s="4"/>
      <c r="FP519" s="4"/>
      <c r="FQ519" s="4"/>
      <c r="FR519" s="4"/>
      <c r="FS519" s="4"/>
      <c r="FT519" s="4"/>
      <c r="FU519" s="4"/>
      <c r="FV519" s="4"/>
      <c r="FW519" s="4"/>
      <c r="FX519" s="4"/>
      <c r="FY519" s="4"/>
      <c r="FZ519" s="4"/>
      <c r="GA519" s="4"/>
      <c r="GB519" s="4"/>
      <c r="GC519" s="4"/>
      <c r="GD519" s="4"/>
      <c r="GE519" s="4"/>
      <c r="GF519" s="4"/>
      <c r="GG519" s="4"/>
      <c r="GH519" s="4"/>
      <c r="GI519" s="4"/>
      <c r="GJ519" s="4"/>
      <c r="GK519" s="4"/>
      <c r="GL519" s="4"/>
      <c r="GM519" s="4"/>
      <c r="GN519" s="4"/>
      <c r="GO519" s="4"/>
      <c r="GP519" s="4"/>
      <c r="GQ519" s="4"/>
      <c r="GR519" s="4"/>
      <c r="GS519" s="4"/>
      <c r="GT519" s="4"/>
      <c r="GU519" s="4"/>
      <c r="GV519" s="4"/>
      <c r="GW519" s="4"/>
      <c r="GX519" s="4"/>
    </row>
    <row r="520">
      <c r="A520" s="2" t="s">
        <v>3432</v>
      </c>
      <c r="B520" s="2" t="s">
        <v>697</v>
      </c>
      <c r="C520" s="2" t="s">
        <v>1962</v>
      </c>
      <c r="D520" s="2" t="s">
        <v>1982</v>
      </c>
      <c r="E520" s="2" t="s">
        <v>1983</v>
      </c>
      <c r="F520" s="2" t="s">
        <v>3409</v>
      </c>
      <c r="G520" s="2" t="s">
        <v>3409</v>
      </c>
      <c r="H520" s="2" t="s">
        <v>227</v>
      </c>
      <c r="I520" s="2" t="s">
        <v>1449</v>
      </c>
      <c r="J520" s="2" t="s">
        <v>257</v>
      </c>
      <c r="K520" s="2" t="s">
        <v>874</v>
      </c>
      <c r="L520" s="3">
        <v>89.41</v>
      </c>
      <c r="M520" s="3">
        <v>93.88</v>
      </c>
      <c r="N520" s="3">
        <v>174.99</v>
      </c>
      <c r="O520" s="2" t="s">
        <v>224</v>
      </c>
      <c r="P520" s="2" t="s">
        <v>225</v>
      </c>
      <c r="Q520" s="2" t="s">
        <v>226</v>
      </c>
      <c r="R520" s="2" t="s">
        <v>227</v>
      </c>
      <c r="S520" s="2" t="s">
        <v>3429</v>
      </c>
      <c r="T520" s="2" t="s">
        <v>704</v>
      </c>
      <c r="U520" s="2" t="s">
        <v>227</v>
      </c>
      <c r="V520" s="2" t="s">
        <v>230</v>
      </c>
      <c r="W520" s="2" t="s">
        <v>231</v>
      </c>
      <c r="X520" s="2" t="s">
        <v>227</v>
      </c>
      <c r="Y520" s="2" t="s">
        <v>3416</v>
      </c>
      <c r="Z520" s="4">
        <v>430</v>
      </c>
      <c r="AA520" s="4">
        <f>=ROUNDDOWN(35.8333333333333,0)</f>
      </c>
      <c r="AB520" s="5">
        <v>12</v>
      </c>
      <c r="AC520" s="2" t="s">
        <v>209</v>
      </c>
      <c r="AD520" s="4">
        <v>300</v>
      </c>
      <c r="AE520" s="4">
        <v>300</v>
      </c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227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227</v>
      </c>
      <c r="AW520" s="8" t="s">
        <v>227</v>
      </c>
      <c r="AX520" s="4" t="s">
        <v>227</v>
      </c>
      <c r="AY520" s="8" t="s">
        <v>227</v>
      </c>
      <c r="AZ520" s="7" t="s">
        <v>227</v>
      </c>
      <c r="BA520" s="7" t="s">
        <v>227</v>
      </c>
      <c r="BB520" s="7"/>
      <c r="BC520" s="4" t="s">
        <v>227</v>
      </c>
      <c r="BD520" s="8" t="s">
        <v>227</v>
      </c>
      <c r="BE520" s="4" t="s">
        <v>227</v>
      </c>
      <c r="BF520" s="8" t="s">
        <v>227</v>
      </c>
      <c r="BG520" s="7" t="s">
        <v>227</v>
      </c>
      <c r="BH520" s="7" t="s">
        <v>227</v>
      </c>
      <c r="BI520" s="7"/>
      <c r="BJ520" s="4">
        <v>7</v>
      </c>
      <c r="BK520" s="8">
        <v>689.14</v>
      </c>
      <c r="BL520" s="2" t="s">
        <v>3433</v>
      </c>
      <c r="BM520" s="7"/>
      <c r="BN520" s="7"/>
      <c r="BO520" s="4"/>
      <c r="BP520" s="8"/>
      <c r="BQ520" s="4"/>
      <c r="BR520" s="8"/>
      <c r="BS520" s="7"/>
      <c r="BT520" s="7"/>
      <c r="BU520" s="2" t="s">
        <v>3434</v>
      </c>
      <c r="BV520" s="2" t="s">
        <v>227</v>
      </c>
      <c r="BW520" s="2" t="s">
        <v>227</v>
      </c>
      <c r="BX520" s="2" t="s">
        <v>235</v>
      </c>
      <c r="BY520" s="2" t="s">
        <v>236</v>
      </c>
      <c r="BZ520" s="2" t="s">
        <v>224</v>
      </c>
      <c r="CA520" s="2" t="s">
        <v>2810</v>
      </c>
      <c r="CB520" s="2" t="s">
        <v>3435</v>
      </c>
      <c r="CC520" s="2" t="s">
        <v>239</v>
      </c>
      <c r="CD520" s="2" t="s">
        <v>227</v>
      </c>
      <c r="CE520" s="4">
        <v>430</v>
      </c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/>
      <c r="FB520" s="4"/>
      <c r="FC520" s="4"/>
      <c r="FD520" s="4"/>
      <c r="FE520" s="4"/>
      <c r="FF520" s="4"/>
      <c r="FG520" s="4"/>
      <c r="FH520" s="4"/>
      <c r="FI520" s="4"/>
      <c r="FJ520" s="4"/>
      <c r="FK520" s="4"/>
      <c r="FL520" s="4"/>
      <c r="FM520" s="4"/>
      <c r="FN520" s="4"/>
      <c r="FO520" s="4"/>
      <c r="FP520" s="4"/>
      <c r="FQ520" s="4"/>
      <c r="FR520" s="4"/>
      <c r="FS520" s="4"/>
      <c r="FT520" s="4"/>
      <c r="FU520" s="4"/>
      <c r="FV520" s="4"/>
      <c r="FW520" s="4"/>
      <c r="FX520" s="4"/>
      <c r="FY520" s="4"/>
      <c r="FZ520" s="4"/>
      <c r="GA520" s="4"/>
      <c r="GB520" s="4"/>
      <c r="GC520" s="4"/>
      <c r="GD520" s="4"/>
      <c r="GE520" s="4"/>
      <c r="GF520" s="4"/>
      <c r="GG520" s="4"/>
      <c r="GH520" s="4"/>
      <c r="GI520" s="4"/>
      <c r="GJ520" s="4"/>
      <c r="GK520" s="4"/>
      <c r="GL520" s="4"/>
      <c r="GM520" s="4"/>
      <c r="GN520" s="4"/>
      <c r="GO520" s="4"/>
      <c r="GP520" s="4"/>
      <c r="GQ520" s="4"/>
      <c r="GR520" s="4"/>
      <c r="GS520" s="4">
        <v>300</v>
      </c>
      <c r="GT520" s="4"/>
      <c r="GU520" s="4"/>
      <c r="GV520" s="4"/>
      <c r="GW520" s="4"/>
      <c r="GX520" s="4"/>
    </row>
    <row r="521">
      <c r="A521" s="2" t="s">
        <v>3436</v>
      </c>
      <c r="B521" s="2" t="s">
        <v>697</v>
      </c>
      <c r="C521" s="2" t="s">
        <v>1962</v>
      </c>
      <c r="D521" s="2" t="s">
        <v>1982</v>
      </c>
      <c r="E521" s="2" t="s">
        <v>1983</v>
      </c>
      <c r="F521" s="2" t="s">
        <v>3409</v>
      </c>
      <c r="G521" s="2" t="s">
        <v>3409</v>
      </c>
      <c r="H521" s="2" t="s">
        <v>227</v>
      </c>
      <c r="I521" s="2" t="s">
        <v>1449</v>
      </c>
      <c r="J521" s="2" t="s">
        <v>222</v>
      </c>
      <c r="K521" s="2" t="s">
        <v>410</v>
      </c>
      <c r="L521" s="3">
        <v>54.64</v>
      </c>
      <c r="M521" s="3">
        <v>57.37</v>
      </c>
      <c r="N521" s="3">
        <v>104.99</v>
      </c>
      <c r="O521" s="2" t="s">
        <v>224</v>
      </c>
      <c r="P521" s="2" t="s">
        <v>530</v>
      </c>
      <c r="Q521" s="2" t="s">
        <v>226</v>
      </c>
      <c r="R521" s="2" t="s">
        <v>227</v>
      </c>
      <c r="S521" s="2" t="s">
        <v>3437</v>
      </c>
      <c r="T521" s="2" t="s">
        <v>704</v>
      </c>
      <c r="U521" s="2" t="s">
        <v>227</v>
      </c>
      <c r="V521" s="2" t="s">
        <v>230</v>
      </c>
      <c r="W521" s="2" t="s">
        <v>231</v>
      </c>
      <c r="X521" s="2" t="s">
        <v>227</v>
      </c>
      <c r="Y521" s="2" t="s">
        <v>3416</v>
      </c>
      <c r="Z521" s="4">
        <v>175</v>
      </c>
      <c r="AA521" s="4">
        <f>=ROUNDDOWN(10.9375,0)</f>
      </c>
      <c r="AB521" s="5">
        <v>16</v>
      </c>
      <c r="AC521" s="2" t="s">
        <v>583</v>
      </c>
      <c r="AD521" s="4">
        <v>240</v>
      </c>
      <c r="AE521" s="4">
        <v>350</v>
      </c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227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 t="s">
        <v>227</v>
      </c>
      <c r="BD521" s="8" t="s">
        <v>227</v>
      </c>
      <c r="BE521" s="4" t="s">
        <v>227</v>
      </c>
      <c r="BF521" s="8" t="s">
        <v>227</v>
      </c>
      <c r="BG521" s="7" t="s">
        <v>227</v>
      </c>
      <c r="BH521" s="7" t="s">
        <v>227</v>
      </c>
      <c r="BI521" s="7"/>
      <c r="BJ521" s="4">
        <v>15</v>
      </c>
      <c r="BK521" s="8">
        <v>925.41</v>
      </c>
      <c r="BL521" s="2" t="s">
        <v>3438</v>
      </c>
      <c r="BM521" s="7"/>
      <c r="BN521" s="7"/>
      <c r="BO521" s="4"/>
      <c r="BP521" s="8"/>
      <c r="BQ521" s="4"/>
      <c r="BR521" s="8"/>
      <c r="BS521" s="7"/>
      <c r="BT521" s="7"/>
      <c r="BU521" s="2" t="s">
        <v>3439</v>
      </c>
      <c r="BV521" s="2" t="s">
        <v>227</v>
      </c>
      <c r="BW521" s="2" t="s">
        <v>227</v>
      </c>
      <c r="BX521" s="2" t="s">
        <v>235</v>
      </c>
      <c r="BY521" s="2" t="s">
        <v>236</v>
      </c>
      <c r="BZ521" s="2" t="s">
        <v>224</v>
      </c>
      <c r="CA521" s="2" t="s">
        <v>237</v>
      </c>
      <c r="CB521" s="2" t="s">
        <v>3440</v>
      </c>
      <c r="CC521" s="2" t="s">
        <v>239</v>
      </c>
      <c r="CD521" s="2" t="s">
        <v>227</v>
      </c>
      <c r="CE521" s="4">
        <v>175</v>
      </c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>
        <v>240</v>
      </c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4"/>
      <c r="FD521" s="4"/>
      <c r="FE521" s="4"/>
      <c r="FF521" s="4"/>
      <c r="FG521" s="4"/>
      <c r="FH521" s="4"/>
      <c r="FI521" s="4"/>
      <c r="FJ521" s="4"/>
      <c r="FK521" s="4"/>
      <c r="FL521" s="4"/>
      <c r="FM521" s="4"/>
      <c r="FN521" s="4"/>
      <c r="FO521" s="4"/>
      <c r="FP521" s="4"/>
      <c r="FQ521" s="4"/>
      <c r="FR521" s="4"/>
      <c r="FS521" s="4"/>
      <c r="FT521" s="4"/>
      <c r="FU521" s="4"/>
      <c r="FV521" s="4"/>
      <c r="FW521" s="4"/>
      <c r="FX521" s="4"/>
      <c r="FY521" s="4"/>
      <c r="FZ521" s="4"/>
      <c r="GA521" s="4"/>
      <c r="GB521" s="4"/>
      <c r="GC521" s="4"/>
      <c r="GD521" s="4"/>
      <c r="GE521" s="4"/>
      <c r="GF521" s="4"/>
      <c r="GG521" s="4"/>
      <c r="GH521" s="4"/>
      <c r="GI521" s="4"/>
      <c r="GJ521" s="4"/>
      <c r="GK521" s="4"/>
      <c r="GL521" s="4"/>
      <c r="GM521" s="4">
        <v>110</v>
      </c>
      <c r="GN521" s="4"/>
      <c r="GO521" s="4"/>
      <c r="GP521" s="4"/>
      <c r="GQ521" s="4"/>
      <c r="GR521" s="4"/>
      <c r="GS521" s="4"/>
      <c r="GT521" s="4"/>
      <c r="GU521" s="4"/>
      <c r="GV521" s="4"/>
      <c r="GW521" s="4"/>
      <c r="GX521" s="4"/>
    </row>
    <row r="522">
      <c r="A522" s="2" t="s">
        <v>3441</v>
      </c>
      <c r="B522" s="2" t="s">
        <v>697</v>
      </c>
      <c r="C522" s="2" t="s">
        <v>1962</v>
      </c>
      <c r="D522" s="2" t="s">
        <v>1982</v>
      </c>
      <c r="E522" s="2" t="s">
        <v>1983</v>
      </c>
      <c r="F522" s="2" t="s">
        <v>3409</v>
      </c>
      <c r="G522" s="2" t="s">
        <v>3409</v>
      </c>
      <c r="H522" s="2" t="s">
        <v>227</v>
      </c>
      <c r="I522" s="2" t="s">
        <v>1449</v>
      </c>
      <c r="J522" s="2" t="s">
        <v>222</v>
      </c>
      <c r="K522" s="2" t="s">
        <v>1264</v>
      </c>
      <c r="L522" s="3">
        <v>54.64</v>
      </c>
      <c r="M522" s="3">
        <v>57.37</v>
      </c>
      <c r="N522" s="3">
        <v>104.99</v>
      </c>
      <c r="O522" s="2" t="s">
        <v>224</v>
      </c>
      <c r="P522" s="2" t="s">
        <v>225</v>
      </c>
      <c r="Q522" s="2" t="s">
        <v>226</v>
      </c>
      <c r="R522" s="2" t="s">
        <v>227</v>
      </c>
      <c r="S522" s="2" t="s">
        <v>3442</v>
      </c>
      <c r="T522" s="2" t="s">
        <v>704</v>
      </c>
      <c r="U522" s="2" t="s">
        <v>227</v>
      </c>
      <c r="V522" s="2" t="s">
        <v>230</v>
      </c>
      <c r="W522" s="2" t="s">
        <v>231</v>
      </c>
      <c r="X522" s="2" t="s">
        <v>227</v>
      </c>
      <c r="Y522" s="2" t="s">
        <v>232</v>
      </c>
      <c r="Z522" s="4">
        <v>177</v>
      </c>
      <c r="AA522" s="4">
        <f>=ROUNDDOWN(22.125,0)</f>
      </c>
      <c r="AB522" s="5">
        <v>8</v>
      </c>
      <c r="AC522" s="2" t="s">
        <v>227</v>
      </c>
      <c r="AD522" s="4"/>
      <c r="AE522" s="4"/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227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227</v>
      </c>
      <c r="AW522" s="8" t="s">
        <v>227</v>
      </c>
      <c r="AX522" s="4" t="s">
        <v>227</v>
      </c>
      <c r="AY522" s="8" t="s">
        <v>227</v>
      </c>
      <c r="AZ522" s="7" t="s">
        <v>227</v>
      </c>
      <c r="BA522" s="7" t="s">
        <v>227</v>
      </c>
      <c r="BB522" s="7"/>
      <c r="BC522" s="4" t="s">
        <v>227</v>
      </c>
      <c r="BD522" s="8" t="s">
        <v>227</v>
      </c>
      <c r="BE522" s="4" t="s">
        <v>227</v>
      </c>
      <c r="BF522" s="8" t="s">
        <v>227</v>
      </c>
      <c r="BG522" s="7" t="s">
        <v>227</v>
      </c>
      <c r="BH522" s="7" t="s">
        <v>227</v>
      </c>
      <c r="BI522" s="7"/>
      <c r="BJ522" s="4">
        <v>13</v>
      </c>
      <c r="BK522" s="8">
        <v>769.8</v>
      </c>
      <c r="BL522" s="2" t="s">
        <v>3443</v>
      </c>
      <c r="BM522" s="7"/>
      <c r="BN522" s="7"/>
      <c r="BO522" s="4"/>
      <c r="BP522" s="8"/>
      <c r="BQ522" s="4"/>
      <c r="BR522" s="8"/>
      <c r="BS522" s="7"/>
      <c r="BT522" s="7"/>
      <c r="BU522" s="2" t="s">
        <v>3444</v>
      </c>
      <c r="BV522" s="2" t="s">
        <v>227</v>
      </c>
      <c r="BW522" s="2" t="s">
        <v>227</v>
      </c>
      <c r="BX522" s="2" t="s">
        <v>235</v>
      </c>
      <c r="BY522" s="2" t="s">
        <v>236</v>
      </c>
      <c r="BZ522" s="2" t="s">
        <v>224</v>
      </c>
      <c r="CA522" s="2" t="s">
        <v>2859</v>
      </c>
      <c r="CB522" s="2" t="s">
        <v>1089</v>
      </c>
      <c r="CC522" s="2" t="s">
        <v>239</v>
      </c>
      <c r="CD522" s="2" t="s">
        <v>227</v>
      </c>
      <c r="CE522" s="4">
        <v>52</v>
      </c>
      <c r="CF522" s="4"/>
      <c r="CG522" s="4"/>
      <c r="CH522" s="4">
        <v>125</v>
      </c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/>
      <c r="FH522" s="4"/>
      <c r="FI522" s="4"/>
      <c r="FJ522" s="4"/>
      <c r="FK522" s="4"/>
      <c r="FL522" s="4"/>
      <c r="FM522" s="4"/>
      <c r="FN522" s="4"/>
      <c r="FO522" s="4"/>
      <c r="FP522" s="4"/>
      <c r="FQ522" s="4"/>
      <c r="FR522" s="4"/>
      <c r="FS522" s="4"/>
      <c r="FT522" s="4"/>
      <c r="FU522" s="4"/>
      <c r="FV522" s="4"/>
      <c r="FW522" s="4"/>
      <c r="FX522" s="4"/>
      <c r="FY522" s="4"/>
      <c r="FZ522" s="4"/>
      <c r="GA522" s="4"/>
      <c r="GB522" s="4"/>
      <c r="GC522" s="4"/>
      <c r="GD522" s="4"/>
      <c r="GE522" s="4"/>
      <c r="GF522" s="4"/>
      <c r="GG522" s="4"/>
      <c r="GH522" s="4"/>
      <c r="GI522" s="4"/>
      <c r="GJ522" s="4"/>
      <c r="GK522" s="4"/>
      <c r="GL522" s="4"/>
      <c r="GM522" s="4"/>
      <c r="GN522" s="4"/>
      <c r="GO522" s="4"/>
      <c r="GP522" s="4"/>
      <c r="GQ522" s="4"/>
      <c r="GR522" s="4"/>
      <c r="GS522" s="4"/>
      <c r="GT522" s="4"/>
      <c r="GU522" s="4"/>
      <c r="GV522" s="4"/>
      <c r="GW522" s="4"/>
      <c r="GX522" s="4"/>
    </row>
    <row r="523">
      <c r="A523" s="2" t="s">
        <v>3445</v>
      </c>
      <c r="B523" s="2" t="s">
        <v>697</v>
      </c>
      <c r="C523" s="2" t="s">
        <v>1962</v>
      </c>
      <c r="D523" s="2" t="s">
        <v>1982</v>
      </c>
      <c r="E523" s="2" t="s">
        <v>1983</v>
      </c>
      <c r="F523" s="2" t="s">
        <v>3409</v>
      </c>
      <c r="G523" s="2" t="s">
        <v>3409</v>
      </c>
      <c r="H523" s="2" t="s">
        <v>227</v>
      </c>
      <c r="I523" s="2" t="s">
        <v>1449</v>
      </c>
      <c r="J523" s="2" t="s">
        <v>252</v>
      </c>
      <c r="K523" s="2" t="s">
        <v>1264</v>
      </c>
      <c r="L523" s="3">
        <v>79.48</v>
      </c>
      <c r="M523" s="3">
        <v>83.45</v>
      </c>
      <c r="N523" s="3">
        <v>154.99</v>
      </c>
      <c r="O523" s="2" t="s">
        <v>224</v>
      </c>
      <c r="P523" s="2" t="s">
        <v>225</v>
      </c>
      <c r="Q523" s="2" t="s">
        <v>226</v>
      </c>
      <c r="R523" s="2" t="s">
        <v>227</v>
      </c>
      <c r="S523" s="2" t="s">
        <v>3442</v>
      </c>
      <c r="T523" s="2" t="s">
        <v>704</v>
      </c>
      <c r="U523" s="2" t="s">
        <v>227</v>
      </c>
      <c r="V523" s="2" t="s">
        <v>230</v>
      </c>
      <c r="W523" s="2" t="s">
        <v>231</v>
      </c>
      <c r="X523" s="2" t="s">
        <v>227</v>
      </c>
      <c r="Y523" s="2" t="s">
        <v>232</v>
      </c>
      <c r="Z523" s="4">
        <v>120</v>
      </c>
      <c r="AA523" s="4">
        <f>=ROUNDDOWN(6.85714285714286,0)</f>
      </c>
      <c r="AB523" s="5">
        <v>17.5</v>
      </c>
      <c r="AC523" s="2" t="s">
        <v>583</v>
      </c>
      <c r="AD523" s="4">
        <v>170</v>
      </c>
      <c r="AE523" s="4">
        <v>350</v>
      </c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227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227</v>
      </c>
      <c r="AW523" s="8" t="s">
        <v>227</v>
      </c>
      <c r="AX523" s="4" t="s">
        <v>227</v>
      </c>
      <c r="AY523" s="8" t="s">
        <v>227</v>
      </c>
      <c r="AZ523" s="7" t="s">
        <v>227</v>
      </c>
      <c r="BA523" s="7" t="s">
        <v>227</v>
      </c>
      <c r="BB523" s="7"/>
      <c r="BC523" s="4" t="s">
        <v>227</v>
      </c>
      <c r="BD523" s="8" t="s">
        <v>227</v>
      </c>
      <c r="BE523" s="4" t="s">
        <v>227</v>
      </c>
      <c r="BF523" s="8" t="s">
        <v>227</v>
      </c>
      <c r="BG523" s="7" t="s">
        <v>227</v>
      </c>
      <c r="BH523" s="7" t="s">
        <v>227</v>
      </c>
      <c r="BI523" s="7"/>
      <c r="BJ523" s="4">
        <v>23</v>
      </c>
      <c r="BK523" s="8">
        <v>2009.44</v>
      </c>
      <c r="BL523" s="2" t="s">
        <v>3446</v>
      </c>
      <c r="BM523" s="7"/>
      <c r="BN523" s="7"/>
      <c r="BO523" s="4"/>
      <c r="BP523" s="8"/>
      <c r="BQ523" s="4"/>
      <c r="BR523" s="8"/>
      <c r="BS523" s="7"/>
      <c r="BT523" s="7"/>
      <c r="BU523" s="2" t="s">
        <v>3447</v>
      </c>
      <c r="BV523" s="2" t="s">
        <v>227</v>
      </c>
      <c r="BW523" s="2" t="s">
        <v>227</v>
      </c>
      <c r="BX523" s="2" t="s">
        <v>235</v>
      </c>
      <c r="BY523" s="2" t="s">
        <v>236</v>
      </c>
      <c r="BZ523" s="2" t="s">
        <v>224</v>
      </c>
      <c r="CA523" s="2" t="s">
        <v>2859</v>
      </c>
      <c r="CB523" s="2" t="s">
        <v>3448</v>
      </c>
      <c r="CC523" s="2" t="s">
        <v>239</v>
      </c>
      <c r="CD523" s="2" t="s">
        <v>227</v>
      </c>
      <c r="CE523" s="4">
        <v>120</v>
      </c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>
        <v>170</v>
      </c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>
        <v>100</v>
      </c>
      <c r="FE523" s="4"/>
      <c r="FF523" s="4"/>
      <c r="FG523" s="4"/>
      <c r="FH523" s="4"/>
      <c r="FI523" s="4"/>
      <c r="FJ523" s="4"/>
      <c r="FK523" s="4"/>
      <c r="FL523" s="4"/>
      <c r="FM523" s="4"/>
      <c r="FN523" s="4"/>
      <c r="FO523" s="4"/>
      <c r="FP523" s="4"/>
      <c r="FQ523" s="4"/>
      <c r="FR523" s="4"/>
      <c r="FS523" s="4"/>
      <c r="FT523" s="4"/>
      <c r="FU523" s="4"/>
      <c r="FV523" s="4"/>
      <c r="FW523" s="4"/>
      <c r="FX523" s="4"/>
      <c r="FY523" s="4"/>
      <c r="FZ523" s="4"/>
      <c r="GA523" s="4"/>
      <c r="GB523" s="4"/>
      <c r="GC523" s="4"/>
      <c r="GD523" s="4"/>
      <c r="GE523" s="4"/>
      <c r="GF523" s="4"/>
      <c r="GG523" s="4"/>
      <c r="GH523" s="4"/>
      <c r="GI523" s="4"/>
      <c r="GJ523" s="4"/>
      <c r="GK523" s="4"/>
      <c r="GL523" s="4"/>
      <c r="GM523" s="4">
        <v>80</v>
      </c>
      <c r="GN523" s="4"/>
      <c r="GO523" s="4"/>
      <c r="GP523" s="4"/>
      <c r="GQ523" s="4"/>
      <c r="GR523" s="4"/>
      <c r="GS523" s="4"/>
      <c r="GT523" s="4"/>
      <c r="GU523" s="4"/>
      <c r="GV523" s="4"/>
      <c r="GW523" s="4"/>
      <c r="GX523" s="4"/>
    </row>
    <row r="524">
      <c r="A524" s="2" t="s">
        <v>3449</v>
      </c>
      <c r="B524" s="2" t="s">
        <v>697</v>
      </c>
      <c r="C524" s="2" t="s">
        <v>1962</v>
      </c>
      <c r="D524" s="2" t="s">
        <v>1982</v>
      </c>
      <c r="E524" s="2" t="s">
        <v>1983</v>
      </c>
      <c r="F524" s="2" t="s">
        <v>3409</v>
      </c>
      <c r="G524" s="2" t="s">
        <v>3409</v>
      </c>
      <c r="H524" s="2" t="s">
        <v>227</v>
      </c>
      <c r="I524" s="2" t="s">
        <v>1449</v>
      </c>
      <c r="J524" s="2" t="s">
        <v>252</v>
      </c>
      <c r="K524" s="2" t="s">
        <v>2068</v>
      </c>
      <c r="L524" s="3">
        <v>79.48</v>
      </c>
      <c r="M524" s="3">
        <v>83.45</v>
      </c>
      <c r="N524" s="3">
        <v>154.99</v>
      </c>
      <c r="O524" s="2" t="s">
        <v>224</v>
      </c>
      <c r="P524" s="2" t="s">
        <v>225</v>
      </c>
      <c r="Q524" s="2" t="s">
        <v>226</v>
      </c>
      <c r="R524" s="2" t="s">
        <v>227</v>
      </c>
      <c r="S524" s="2" t="s">
        <v>3450</v>
      </c>
      <c r="T524" s="2" t="s">
        <v>1698</v>
      </c>
      <c r="U524" s="2" t="s">
        <v>552</v>
      </c>
      <c r="V524" s="2" t="s">
        <v>230</v>
      </c>
      <c r="W524" s="2" t="s">
        <v>231</v>
      </c>
      <c r="X524" s="2" t="s">
        <v>227</v>
      </c>
      <c r="Y524" s="2" t="s">
        <v>3451</v>
      </c>
      <c r="Z524" s="4">
        <v>104</v>
      </c>
      <c r="AA524" s="4">
        <f>=ROUNDDOWN(9.45454545454545,0)</f>
      </c>
      <c r="AB524" s="5">
        <v>11</v>
      </c>
      <c r="AC524" s="2" t="s">
        <v>3411</v>
      </c>
      <c r="AD524" s="4">
        <v>150</v>
      </c>
      <c r="AE524" s="4">
        <v>420</v>
      </c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227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227</v>
      </c>
      <c r="AW524" s="8" t="s">
        <v>227</v>
      </c>
      <c r="AX524" s="4" t="s">
        <v>227</v>
      </c>
      <c r="AY524" s="8" t="s">
        <v>227</v>
      </c>
      <c r="AZ524" s="7" t="s">
        <v>227</v>
      </c>
      <c r="BA524" s="7" t="s">
        <v>227</v>
      </c>
      <c r="BB524" s="7"/>
      <c r="BC524" s="4" t="s">
        <v>227</v>
      </c>
      <c r="BD524" s="8" t="s">
        <v>227</v>
      </c>
      <c r="BE524" s="4" t="s">
        <v>227</v>
      </c>
      <c r="BF524" s="8" t="s">
        <v>227</v>
      </c>
      <c r="BG524" s="7" t="s">
        <v>227</v>
      </c>
      <c r="BH524" s="7" t="s">
        <v>227</v>
      </c>
      <c r="BI524" s="7"/>
      <c r="BJ524" s="4">
        <v>41</v>
      </c>
      <c r="BK524" s="8">
        <v>3774.22</v>
      </c>
      <c r="BL524" s="2" t="s">
        <v>3452</v>
      </c>
      <c r="BM524" s="7"/>
      <c r="BN524" s="7"/>
      <c r="BO524" s="4"/>
      <c r="BP524" s="8"/>
      <c r="BQ524" s="4"/>
      <c r="BR524" s="8"/>
      <c r="BS524" s="7"/>
      <c r="BT524" s="7"/>
      <c r="BU524" s="2" t="s">
        <v>3453</v>
      </c>
      <c r="BV524" s="2" t="s">
        <v>227</v>
      </c>
      <c r="BW524" s="2" t="s">
        <v>227</v>
      </c>
      <c r="BX524" s="2" t="s">
        <v>235</v>
      </c>
      <c r="BY524" s="2" t="s">
        <v>236</v>
      </c>
      <c r="BZ524" s="2" t="s">
        <v>224</v>
      </c>
      <c r="CA524" s="2" t="s">
        <v>3451</v>
      </c>
      <c r="CB524" s="2" t="s">
        <v>3454</v>
      </c>
      <c r="CC524" s="2" t="s">
        <v>239</v>
      </c>
      <c r="CD524" s="2" t="s">
        <v>227</v>
      </c>
      <c r="CE524" s="4">
        <v>104</v>
      </c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>
        <v>150</v>
      </c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>
        <v>150</v>
      </c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>
        <v>120</v>
      </c>
      <c r="FE524" s="4"/>
      <c r="FF524" s="4"/>
      <c r="FG524" s="4"/>
      <c r="FH524" s="4"/>
      <c r="FI524" s="4"/>
      <c r="FJ524" s="4"/>
      <c r="FK524" s="4"/>
      <c r="FL524" s="4"/>
      <c r="FM524" s="4"/>
      <c r="FN524" s="4"/>
      <c r="FO524" s="4"/>
      <c r="FP524" s="4"/>
      <c r="FQ524" s="4"/>
      <c r="FR524" s="4"/>
      <c r="FS524" s="4"/>
      <c r="FT524" s="4"/>
      <c r="FU524" s="4"/>
      <c r="FV524" s="4"/>
      <c r="FW524" s="4"/>
      <c r="FX524" s="4"/>
      <c r="FY524" s="4"/>
      <c r="FZ524" s="4"/>
      <c r="GA524" s="4"/>
      <c r="GB524" s="4"/>
      <c r="GC524" s="4"/>
      <c r="GD524" s="4"/>
      <c r="GE524" s="4"/>
      <c r="GF524" s="4"/>
      <c r="GG524" s="4"/>
      <c r="GH524" s="4"/>
      <c r="GI524" s="4"/>
      <c r="GJ524" s="4"/>
      <c r="GK524" s="4"/>
      <c r="GL524" s="4"/>
      <c r="GM524" s="4"/>
      <c r="GN524" s="4"/>
      <c r="GO524" s="4"/>
      <c r="GP524" s="4"/>
      <c r="GQ524" s="4"/>
      <c r="GR524" s="4"/>
      <c r="GS524" s="4"/>
      <c r="GT524" s="4"/>
      <c r="GU524" s="4"/>
      <c r="GV524" s="4"/>
      <c r="GW524" s="4"/>
      <c r="GX524" s="4"/>
    </row>
    <row r="525">
      <c r="A525" s="2" t="s">
        <v>3455</v>
      </c>
      <c r="B525" s="2" t="s">
        <v>697</v>
      </c>
      <c r="C525" s="2" t="s">
        <v>1962</v>
      </c>
      <c r="D525" s="2" t="s">
        <v>1982</v>
      </c>
      <c r="E525" s="2" t="s">
        <v>3093</v>
      </c>
      <c r="F525" s="2" t="s">
        <v>3409</v>
      </c>
      <c r="G525" s="2" t="s">
        <v>3409</v>
      </c>
      <c r="H525" s="2" t="s">
        <v>227</v>
      </c>
      <c r="I525" s="2" t="s">
        <v>1334</v>
      </c>
      <c r="J525" s="2" t="s">
        <v>2854</v>
      </c>
      <c r="K525" s="2" t="s">
        <v>2068</v>
      </c>
      <c r="L525" s="3">
        <v>36.8</v>
      </c>
      <c r="M525" s="3">
        <v>38.64</v>
      </c>
      <c r="N525" s="3">
        <v>79.99</v>
      </c>
      <c r="O525" s="2" t="s">
        <v>224</v>
      </c>
      <c r="P525" s="2" t="s">
        <v>225</v>
      </c>
      <c r="Q525" s="2" t="s">
        <v>226</v>
      </c>
      <c r="R525" s="2" t="s">
        <v>227</v>
      </c>
      <c r="S525" s="2" t="s">
        <v>3450</v>
      </c>
      <c r="T525" s="2" t="s">
        <v>1698</v>
      </c>
      <c r="U525" s="2" t="s">
        <v>552</v>
      </c>
      <c r="V525" s="2" t="s">
        <v>230</v>
      </c>
      <c r="W525" s="2" t="s">
        <v>231</v>
      </c>
      <c r="X525" s="2" t="s">
        <v>227</v>
      </c>
      <c r="Y525" s="2" t="s">
        <v>1187</v>
      </c>
      <c r="Z525" s="4">
        <v>390</v>
      </c>
      <c r="AA525" s="4">
        <f>=ROUNDDOWN(20.5263157894737,0)</f>
      </c>
      <c r="AB525" s="5">
        <v>19</v>
      </c>
      <c r="AC525" s="2" t="s">
        <v>583</v>
      </c>
      <c r="AD525" s="4">
        <v>230</v>
      </c>
      <c r="AE525" s="4">
        <v>1000</v>
      </c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227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227</v>
      </c>
      <c r="AW525" s="8" t="s">
        <v>227</v>
      </c>
      <c r="AX525" s="4" t="s">
        <v>227</v>
      </c>
      <c r="AY525" s="8" t="s">
        <v>227</v>
      </c>
      <c r="AZ525" s="7" t="s">
        <v>227</v>
      </c>
      <c r="BA525" s="7" t="s">
        <v>227</v>
      </c>
      <c r="BB525" s="7"/>
      <c r="BC525" s="4" t="s">
        <v>227</v>
      </c>
      <c r="BD525" s="8" t="s">
        <v>227</v>
      </c>
      <c r="BE525" s="4" t="s">
        <v>227</v>
      </c>
      <c r="BF525" s="8" t="s">
        <v>227</v>
      </c>
      <c r="BG525" s="7" t="s">
        <v>227</v>
      </c>
      <c r="BH525" s="7" t="s">
        <v>227</v>
      </c>
      <c r="BI525" s="7"/>
      <c r="BJ525" s="4">
        <v>6</v>
      </c>
      <c r="BK525" s="8">
        <v>239.09</v>
      </c>
      <c r="BL525" s="2" t="s">
        <v>3456</v>
      </c>
      <c r="BM525" s="7"/>
      <c r="BN525" s="7"/>
      <c r="BO525" s="4"/>
      <c r="BP525" s="8"/>
      <c r="BQ525" s="4"/>
      <c r="BR525" s="8"/>
      <c r="BS525" s="7"/>
      <c r="BT525" s="7"/>
      <c r="BU525" s="2" t="s">
        <v>3457</v>
      </c>
      <c r="BV525" s="2" t="s">
        <v>227</v>
      </c>
      <c r="BW525" s="2" t="s">
        <v>227</v>
      </c>
      <c r="BX525" s="2" t="s">
        <v>235</v>
      </c>
      <c r="BY525" s="2" t="s">
        <v>236</v>
      </c>
      <c r="BZ525" s="2" t="s">
        <v>224</v>
      </c>
      <c r="CA525" s="2" t="s">
        <v>1187</v>
      </c>
      <c r="CB525" s="2" t="s">
        <v>3458</v>
      </c>
      <c r="CC525" s="2" t="s">
        <v>239</v>
      </c>
      <c r="CD525" s="2" t="s">
        <v>227</v>
      </c>
      <c r="CE525" s="4">
        <v>390</v>
      </c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>
        <v>230</v>
      </c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>
        <v>420</v>
      </c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/>
      <c r="FI525" s="4">
        <v>280</v>
      </c>
      <c r="FJ525" s="4"/>
      <c r="FK525" s="4"/>
      <c r="FL525" s="4"/>
      <c r="FM525" s="4"/>
      <c r="FN525" s="4"/>
      <c r="FO525" s="4"/>
      <c r="FP525" s="4"/>
      <c r="FQ525" s="4"/>
      <c r="FR525" s="4"/>
      <c r="FS525" s="4"/>
      <c r="FT525" s="4"/>
      <c r="FU525" s="4"/>
      <c r="FV525" s="4"/>
      <c r="FW525" s="4"/>
      <c r="FX525" s="4"/>
      <c r="FY525" s="4"/>
      <c r="FZ525" s="4"/>
      <c r="GA525" s="4"/>
      <c r="GB525" s="4"/>
      <c r="GC525" s="4"/>
      <c r="GD525" s="4"/>
      <c r="GE525" s="4"/>
      <c r="GF525" s="4"/>
      <c r="GG525" s="4"/>
      <c r="GH525" s="4"/>
      <c r="GI525" s="4"/>
      <c r="GJ525" s="4"/>
      <c r="GK525" s="4"/>
      <c r="GL525" s="4"/>
      <c r="GM525" s="4">
        <v>70</v>
      </c>
      <c r="GN525" s="4"/>
      <c r="GO525" s="4"/>
      <c r="GP525" s="4"/>
      <c r="GQ525" s="4"/>
      <c r="GR525" s="4"/>
      <c r="GS525" s="4"/>
      <c r="GT525" s="4"/>
      <c r="GU525" s="4"/>
      <c r="GV525" s="4"/>
      <c r="GW525" s="4"/>
      <c r="GX525" s="4"/>
    </row>
    <row r="526">
      <c r="A526" s="2" t="s">
        <v>3459</v>
      </c>
      <c r="B526" s="2" t="s">
        <v>697</v>
      </c>
      <c r="C526" s="2" t="s">
        <v>1962</v>
      </c>
      <c r="D526" s="2" t="s">
        <v>1982</v>
      </c>
      <c r="E526" s="2" t="s">
        <v>1983</v>
      </c>
      <c r="F526" s="2" t="s">
        <v>3409</v>
      </c>
      <c r="G526" s="2" t="s">
        <v>3409</v>
      </c>
      <c r="H526" s="2" t="s">
        <v>227</v>
      </c>
      <c r="I526" s="2" t="s">
        <v>1449</v>
      </c>
      <c r="J526" s="2" t="s">
        <v>247</v>
      </c>
      <c r="K526" s="2" t="s">
        <v>762</v>
      </c>
      <c r="L526" s="3">
        <v>59.61</v>
      </c>
      <c r="M526" s="3">
        <v>62.59</v>
      </c>
      <c r="N526" s="3">
        <v>114.99</v>
      </c>
      <c r="O526" s="2" t="s">
        <v>224</v>
      </c>
      <c r="P526" s="2" t="s">
        <v>225</v>
      </c>
      <c r="Q526" s="2" t="s">
        <v>226</v>
      </c>
      <c r="R526" s="2" t="s">
        <v>227</v>
      </c>
      <c r="S526" s="2" t="s">
        <v>3460</v>
      </c>
      <c r="T526" s="2" t="s">
        <v>704</v>
      </c>
      <c r="U526" s="2" t="s">
        <v>227</v>
      </c>
      <c r="V526" s="2" t="s">
        <v>230</v>
      </c>
      <c r="W526" s="2" t="s">
        <v>231</v>
      </c>
      <c r="X526" s="2" t="s">
        <v>227</v>
      </c>
      <c r="Y526" s="2" t="s">
        <v>3416</v>
      </c>
      <c r="Z526" s="4">
        <v>155</v>
      </c>
      <c r="AA526" s="4">
        <f>=ROUNDDOWN(10.3333333333333,0)</f>
      </c>
      <c r="AB526" s="5">
        <v>15</v>
      </c>
      <c r="AC526" s="2" t="s">
        <v>583</v>
      </c>
      <c r="AD526" s="4">
        <v>150</v>
      </c>
      <c r="AE526" s="4">
        <v>340</v>
      </c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227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227</v>
      </c>
      <c r="AW526" s="8" t="s">
        <v>227</v>
      </c>
      <c r="AX526" s="4" t="s">
        <v>227</v>
      </c>
      <c r="AY526" s="8" t="s">
        <v>227</v>
      </c>
      <c r="AZ526" s="7" t="s">
        <v>227</v>
      </c>
      <c r="BA526" s="7" t="s">
        <v>227</v>
      </c>
      <c r="BB526" s="7"/>
      <c r="BC526" s="4" t="s">
        <v>227</v>
      </c>
      <c r="BD526" s="8" t="s">
        <v>227</v>
      </c>
      <c r="BE526" s="4" t="s">
        <v>227</v>
      </c>
      <c r="BF526" s="8" t="s">
        <v>227</v>
      </c>
      <c r="BG526" s="7" t="s">
        <v>227</v>
      </c>
      <c r="BH526" s="7" t="s">
        <v>227</v>
      </c>
      <c r="BI526" s="7"/>
      <c r="BJ526" s="4">
        <v>2</v>
      </c>
      <c r="BK526" s="8">
        <v>140.56</v>
      </c>
      <c r="BL526" s="2" t="s">
        <v>3461</v>
      </c>
      <c r="BM526" s="7"/>
      <c r="BN526" s="7"/>
      <c r="BO526" s="4"/>
      <c r="BP526" s="8"/>
      <c r="BQ526" s="4"/>
      <c r="BR526" s="8"/>
      <c r="BS526" s="7"/>
      <c r="BT526" s="7"/>
      <c r="BU526" s="2" t="s">
        <v>3462</v>
      </c>
      <c r="BV526" s="2" t="s">
        <v>227</v>
      </c>
      <c r="BW526" s="2" t="s">
        <v>227</v>
      </c>
      <c r="BX526" s="2" t="s">
        <v>235</v>
      </c>
      <c r="BY526" s="2" t="s">
        <v>236</v>
      </c>
      <c r="BZ526" s="2" t="s">
        <v>224</v>
      </c>
      <c r="CA526" s="2" t="s">
        <v>2810</v>
      </c>
      <c r="CB526" s="2" t="s">
        <v>3463</v>
      </c>
      <c r="CC526" s="2" t="s">
        <v>239</v>
      </c>
      <c r="CD526" s="2" t="s">
        <v>227</v>
      </c>
      <c r="CE526" s="4">
        <v>155</v>
      </c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>
        <v>150</v>
      </c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/>
      <c r="FG526" s="4"/>
      <c r="FH526" s="4"/>
      <c r="FI526" s="4"/>
      <c r="FJ526" s="4"/>
      <c r="FK526" s="4"/>
      <c r="FL526" s="4"/>
      <c r="FM526" s="4"/>
      <c r="FN526" s="4"/>
      <c r="FO526" s="4"/>
      <c r="FP526" s="4"/>
      <c r="FQ526" s="4"/>
      <c r="FR526" s="4"/>
      <c r="FS526" s="4"/>
      <c r="FT526" s="4"/>
      <c r="FU526" s="4"/>
      <c r="FV526" s="4"/>
      <c r="FW526" s="4"/>
      <c r="FX526" s="4"/>
      <c r="FY526" s="4"/>
      <c r="FZ526" s="4"/>
      <c r="GA526" s="4"/>
      <c r="GB526" s="4"/>
      <c r="GC526" s="4"/>
      <c r="GD526" s="4"/>
      <c r="GE526" s="4"/>
      <c r="GF526" s="4"/>
      <c r="GG526" s="4"/>
      <c r="GH526" s="4"/>
      <c r="GI526" s="4"/>
      <c r="GJ526" s="4"/>
      <c r="GK526" s="4"/>
      <c r="GL526" s="4"/>
      <c r="GM526" s="4">
        <v>190</v>
      </c>
      <c r="GN526" s="4"/>
      <c r="GO526" s="4"/>
      <c r="GP526" s="4"/>
      <c r="GQ526" s="4"/>
      <c r="GR526" s="4"/>
      <c r="GS526" s="4"/>
      <c r="GT526" s="4"/>
      <c r="GU526" s="4"/>
      <c r="GV526" s="4"/>
      <c r="GW526" s="4"/>
      <c r="GX526" s="4"/>
    </row>
    <row r="527">
      <c r="A527" s="2" t="s">
        <v>3464</v>
      </c>
      <c r="B527" s="2" t="s">
        <v>697</v>
      </c>
      <c r="C527" s="2" t="s">
        <v>1962</v>
      </c>
      <c r="D527" s="2" t="s">
        <v>1982</v>
      </c>
      <c r="E527" s="2" t="s">
        <v>1983</v>
      </c>
      <c r="F527" s="2" t="s">
        <v>3409</v>
      </c>
      <c r="G527" s="2" t="s">
        <v>3409</v>
      </c>
      <c r="H527" s="2" t="s">
        <v>227</v>
      </c>
      <c r="I527" s="2" t="s">
        <v>1449</v>
      </c>
      <c r="J527" s="2" t="s">
        <v>257</v>
      </c>
      <c r="K527" s="2" t="s">
        <v>762</v>
      </c>
      <c r="L527" s="3">
        <v>89.41</v>
      </c>
      <c r="M527" s="3">
        <v>93.88</v>
      </c>
      <c r="N527" s="3">
        <v>174.99</v>
      </c>
      <c r="O527" s="2" t="s">
        <v>224</v>
      </c>
      <c r="P527" s="2" t="s">
        <v>225</v>
      </c>
      <c r="Q527" s="2" t="s">
        <v>226</v>
      </c>
      <c r="R527" s="2" t="s">
        <v>227</v>
      </c>
      <c r="S527" s="2" t="s">
        <v>3460</v>
      </c>
      <c r="T527" s="2" t="s">
        <v>704</v>
      </c>
      <c r="U527" s="2" t="s">
        <v>227</v>
      </c>
      <c r="V527" s="2" t="s">
        <v>230</v>
      </c>
      <c r="W527" s="2" t="s">
        <v>231</v>
      </c>
      <c r="X527" s="2" t="s">
        <v>227</v>
      </c>
      <c r="Y527" s="2" t="s">
        <v>3465</v>
      </c>
      <c r="Z527" s="4">
        <v>268</v>
      </c>
      <c r="AA527" s="4">
        <f>=ROUNDDOWN(19.1428571428571,0)</f>
      </c>
      <c r="AB527" s="5">
        <v>14</v>
      </c>
      <c r="AC527" s="2" t="s">
        <v>209</v>
      </c>
      <c r="AD527" s="4">
        <v>300</v>
      </c>
      <c r="AE527" s="4">
        <v>300</v>
      </c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227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227</v>
      </c>
      <c r="AW527" s="8" t="s">
        <v>227</v>
      </c>
      <c r="AX527" s="4" t="s">
        <v>227</v>
      </c>
      <c r="AY527" s="8" t="s">
        <v>227</v>
      </c>
      <c r="AZ527" s="7" t="s">
        <v>227</v>
      </c>
      <c r="BA527" s="7" t="s">
        <v>227</v>
      </c>
      <c r="BB527" s="7"/>
      <c r="BC527" s="4" t="s">
        <v>227</v>
      </c>
      <c r="BD527" s="8" t="s">
        <v>227</v>
      </c>
      <c r="BE527" s="4" t="s">
        <v>227</v>
      </c>
      <c r="BF527" s="8" t="s">
        <v>227</v>
      </c>
      <c r="BG527" s="7" t="s">
        <v>227</v>
      </c>
      <c r="BH527" s="7" t="s">
        <v>227</v>
      </c>
      <c r="BI527" s="7"/>
      <c r="BJ527" s="4">
        <v>3</v>
      </c>
      <c r="BK527" s="8">
        <v>274.69</v>
      </c>
      <c r="BL527" s="2" t="s">
        <v>3466</v>
      </c>
      <c r="BM527" s="7"/>
      <c r="BN527" s="7"/>
      <c r="BO527" s="4"/>
      <c r="BP527" s="8"/>
      <c r="BQ527" s="4"/>
      <c r="BR527" s="8"/>
      <c r="BS527" s="7"/>
      <c r="BT527" s="7"/>
      <c r="BU527" s="2" t="s">
        <v>3467</v>
      </c>
      <c r="BV527" s="2" t="s">
        <v>227</v>
      </c>
      <c r="BW527" s="2" t="s">
        <v>227</v>
      </c>
      <c r="BX527" s="2" t="s">
        <v>235</v>
      </c>
      <c r="BY527" s="2" t="s">
        <v>236</v>
      </c>
      <c r="BZ527" s="2" t="s">
        <v>224</v>
      </c>
      <c r="CA527" s="2" t="s">
        <v>2810</v>
      </c>
      <c r="CB527" s="2" t="s">
        <v>981</v>
      </c>
      <c r="CC527" s="2" t="s">
        <v>239</v>
      </c>
      <c r="CD527" s="2" t="s">
        <v>227</v>
      </c>
      <c r="CE527" s="4">
        <v>268</v>
      </c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/>
      <c r="FH527" s="4"/>
      <c r="FI527" s="4"/>
      <c r="FJ527" s="4"/>
      <c r="FK527" s="4"/>
      <c r="FL527" s="4"/>
      <c r="FM527" s="4"/>
      <c r="FN527" s="4"/>
      <c r="FO527" s="4"/>
      <c r="FP527" s="4"/>
      <c r="FQ527" s="4"/>
      <c r="FR527" s="4"/>
      <c r="FS527" s="4"/>
      <c r="FT527" s="4"/>
      <c r="FU527" s="4"/>
      <c r="FV527" s="4"/>
      <c r="FW527" s="4"/>
      <c r="FX527" s="4"/>
      <c r="FY527" s="4"/>
      <c r="FZ527" s="4"/>
      <c r="GA527" s="4"/>
      <c r="GB527" s="4"/>
      <c r="GC527" s="4"/>
      <c r="GD527" s="4"/>
      <c r="GE527" s="4"/>
      <c r="GF527" s="4"/>
      <c r="GG527" s="4"/>
      <c r="GH527" s="4"/>
      <c r="GI527" s="4"/>
      <c r="GJ527" s="4"/>
      <c r="GK527" s="4"/>
      <c r="GL527" s="4"/>
      <c r="GM527" s="4"/>
      <c r="GN527" s="4"/>
      <c r="GO527" s="4"/>
      <c r="GP527" s="4"/>
      <c r="GQ527" s="4"/>
      <c r="GR527" s="4"/>
      <c r="GS527" s="4">
        <v>300</v>
      </c>
      <c r="GT527" s="4"/>
      <c r="GU527" s="4"/>
      <c r="GV527" s="4"/>
      <c r="GW527" s="4"/>
      <c r="GX527" s="4"/>
    </row>
    <row r="528">
      <c r="A528" s="2" t="s">
        <v>3468</v>
      </c>
      <c r="B528" s="2" t="s">
        <v>697</v>
      </c>
      <c r="C528" s="2" t="s">
        <v>1962</v>
      </c>
      <c r="D528" s="2" t="s">
        <v>1982</v>
      </c>
      <c r="E528" s="2" t="s">
        <v>1983</v>
      </c>
      <c r="F528" s="2" t="s">
        <v>3409</v>
      </c>
      <c r="G528" s="2" t="s">
        <v>3409</v>
      </c>
      <c r="H528" s="2" t="s">
        <v>227</v>
      </c>
      <c r="I528" s="2" t="s">
        <v>1449</v>
      </c>
      <c r="J528" s="2" t="s">
        <v>252</v>
      </c>
      <c r="K528" s="2" t="s">
        <v>827</v>
      </c>
      <c r="L528" s="3">
        <v>79.48</v>
      </c>
      <c r="M528" s="3">
        <v>83.45</v>
      </c>
      <c r="N528" s="3">
        <v>154.99</v>
      </c>
      <c r="O528" s="2" t="s">
        <v>224</v>
      </c>
      <c r="P528" s="2" t="s">
        <v>485</v>
      </c>
      <c r="Q528" s="2" t="s">
        <v>226</v>
      </c>
      <c r="R528" s="2" t="s">
        <v>227</v>
      </c>
      <c r="S528" s="2" t="s">
        <v>3469</v>
      </c>
      <c r="T528" s="2" t="s">
        <v>704</v>
      </c>
      <c r="U528" s="2" t="s">
        <v>227</v>
      </c>
      <c r="V528" s="2" t="s">
        <v>230</v>
      </c>
      <c r="W528" s="2" t="s">
        <v>231</v>
      </c>
      <c r="X528" s="2" t="s">
        <v>227</v>
      </c>
      <c r="Y528" s="2" t="s">
        <v>232</v>
      </c>
      <c r="Z528" s="4">
        <v>353</v>
      </c>
      <c r="AA528" s="4">
        <f>=ROUNDDOWN(15.3478260869565,0)</f>
      </c>
      <c r="AB528" s="5">
        <v>23</v>
      </c>
      <c r="AC528" s="2" t="s">
        <v>583</v>
      </c>
      <c r="AD528" s="4">
        <v>150</v>
      </c>
      <c r="AE528" s="4">
        <v>500</v>
      </c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227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 t="s">
        <v>227</v>
      </c>
      <c r="BD528" s="8" t="s">
        <v>227</v>
      </c>
      <c r="BE528" s="4" t="s">
        <v>227</v>
      </c>
      <c r="BF528" s="8" t="s">
        <v>227</v>
      </c>
      <c r="BG528" s="7" t="s">
        <v>227</v>
      </c>
      <c r="BH528" s="7" t="s">
        <v>227</v>
      </c>
      <c r="BI528" s="7"/>
      <c r="BJ528" s="4">
        <v>9</v>
      </c>
      <c r="BK528" s="8">
        <v>776.6</v>
      </c>
      <c r="BL528" s="2" t="s">
        <v>3226</v>
      </c>
      <c r="BM528" s="7"/>
      <c r="BN528" s="7"/>
      <c r="BO528" s="4"/>
      <c r="BP528" s="8"/>
      <c r="BQ528" s="4"/>
      <c r="BR528" s="8"/>
      <c r="BS528" s="7"/>
      <c r="BT528" s="7"/>
      <c r="BU528" s="2" t="s">
        <v>3470</v>
      </c>
      <c r="BV528" s="2" t="s">
        <v>227</v>
      </c>
      <c r="BW528" s="2" t="s">
        <v>227</v>
      </c>
      <c r="BX528" s="2" t="s">
        <v>235</v>
      </c>
      <c r="BY528" s="2" t="s">
        <v>236</v>
      </c>
      <c r="BZ528" s="2" t="s">
        <v>224</v>
      </c>
      <c r="CA528" s="2" t="s">
        <v>2810</v>
      </c>
      <c r="CB528" s="2" t="s">
        <v>3471</v>
      </c>
      <c r="CC528" s="2" t="s">
        <v>239</v>
      </c>
      <c r="CD528" s="2" t="s">
        <v>227</v>
      </c>
      <c r="CE528" s="4">
        <v>353</v>
      </c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>
        <v>150</v>
      </c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>
        <v>150</v>
      </c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>
        <v>200</v>
      </c>
      <c r="GN528" s="4"/>
      <c r="GO528" s="4"/>
      <c r="GP528" s="4"/>
      <c r="GQ528" s="4"/>
      <c r="GR528" s="4"/>
      <c r="GS528" s="4"/>
      <c r="GT528" s="4"/>
      <c r="GU528" s="4"/>
      <c r="GV528" s="4"/>
      <c r="GW528" s="4"/>
      <c r="GX528" s="4"/>
    </row>
    <row r="529">
      <c r="A529" s="2" t="s">
        <v>3472</v>
      </c>
      <c r="B529" s="2" t="s">
        <v>697</v>
      </c>
      <c r="C529" s="2" t="s">
        <v>1962</v>
      </c>
      <c r="D529" s="2" t="s">
        <v>1982</v>
      </c>
      <c r="E529" s="2" t="s">
        <v>3093</v>
      </c>
      <c r="F529" s="2" t="s">
        <v>3409</v>
      </c>
      <c r="G529" s="2" t="s">
        <v>3409</v>
      </c>
      <c r="H529" s="2" t="s">
        <v>227</v>
      </c>
      <c r="I529" s="2" t="s">
        <v>1334</v>
      </c>
      <c r="J529" s="2" t="s">
        <v>2854</v>
      </c>
      <c r="K529" s="2" t="s">
        <v>610</v>
      </c>
      <c r="L529" s="3">
        <v>36.8</v>
      </c>
      <c r="M529" s="3">
        <v>38.64</v>
      </c>
      <c r="N529" s="3">
        <v>79.99</v>
      </c>
      <c r="O529" s="2" t="s">
        <v>224</v>
      </c>
      <c r="P529" s="2" t="s">
        <v>225</v>
      </c>
      <c r="Q529" s="2" t="s">
        <v>226</v>
      </c>
      <c r="R529" s="2" t="s">
        <v>227</v>
      </c>
      <c r="S529" s="2" t="s">
        <v>3473</v>
      </c>
      <c r="T529" s="2" t="s">
        <v>1698</v>
      </c>
      <c r="U529" s="2" t="s">
        <v>552</v>
      </c>
      <c r="V529" s="2" t="s">
        <v>230</v>
      </c>
      <c r="W529" s="2" t="s">
        <v>231</v>
      </c>
      <c r="X529" s="2" t="s">
        <v>227</v>
      </c>
      <c r="Y529" s="2" t="s">
        <v>1187</v>
      </c>
      <c r="Z529" s="4">
        <v>358</v>
      </c>
      <c r="AA529" s="4">
        <f>=ROUNDDOWN(18.8421052631579,0)</f>
      </c>
      <c r="AB529" s="5">
        <v>19</v>
      </c>
      <c r="AC529" s="2" t="s">
        <v>583</v>
      </c>
      <c r="AD529" s="4">
        <v>240</v>
      </c>
      <c r="AE529" s="4">
        <v>850</v>
      </c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227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/>
      <c r="AW529" s="8"/>
      <c r="AX529" s="4"/>
      <c r="AY529" s="8"/>
      <c r="AZ529" s="7"/>
      <c r="BA529" s="7"/>
      <c r="BB529" s="7"/>
      <c r="BC529" s="4" t="s">
        <v>227</v>
      </c>
      <c r="BD529" s="8" t="s">
        <v>227</v>
      </c>
      <c r="BE529" s="4" t="s">
        <v>227</v>
      </c>
      <c r="BF529" s="8" t="s">
        <v>227</v>
      </c>
      <c r="BG529" s="7" t="s">
        <v>227</v>
      </c>
      <c r="BH529" s="7" t="s">
        <v>227</v>
      </c>
      <c r="BI529" s="7"/>
      <c r="BJ529" s="4">
        <v>5</v>
      </c>
      <c r="BK529" s="8">
        <v>189.62</v>
      </c>
      <c r="BL529" s="2" t="s">
        <v>3474</v>
      </c>
      <c r="BM529" s="7"/>
      <c r="BN529" s="7"/>
      <c r="BO529" s="4"/>
      <c r="BP529" s="8"/>
      <c r="BQ529" s="4"/>
      <c r="BR529" s="8"/>
      <c r="BS529" s="7"/>
      <c r="BT529" s="7"/>
      <c r="BU529" s="2" t="s">
        <v>3475</v>
      </c>
      <c r="BV529" s="2" t="s">
        <v>227</v>
      </c>
      <c r="BW529" s="2" t="s">
        <v>227</v>
      </c>
      <c r="BX529" s="2" t="s">
        <v>235</v>
      </c>
      <c r="BY529" s="2" t="s">
        <v>236</v>
      </c>
      <c r="BZ529" s="2" t="s">
        <v>224</v>
      </c>
      <c r="CA529" s="2" t="s">
        <v>1187</v>
      </c>
      <c r="CB529" s="2" t="s">
        <v>3458</v>
      </c>
      <c r="CC529" s="2" t="s">
        <v>239</v>
      </c>
      <c r="CD529" s="2" t="s">
        <v>227</v>
      </c>
      <c r="CE529" s="4">
        <v>358</v>
      </c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>
        <v>240</v>
      </c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>
        <v>350</v>
      </c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/>
      <c r="FH529" s="4"/>
      <c r="FI529" s="4">
        <v>260</v>
      </c>
      <c r="FJ529" s="4"/>
      <c r="FK529" s="4"/>
      <c r="FL529" s="4"/>
      <c r="FM529" s="4"/>
      <c r="FN529" s="4"/>
      <c r="FO529" s="4"/>
      <c r="FP529" s="4"/>
      <c r="FQ529" s="4"/>
      <c r="FR529" s="4"/>
      <c r="FS529" s="4"/>
      <c r="FT529" s="4"/>
      <c r="FU529" s="4"/>
      <c r="FV529" s="4"/>
      <c r="FW529" s="4"/>
      <c r="FX529" s="4"/>
      <c r="FY529" s="4"/>
      <c r="FZ529" s="4"/>
      <c r="GA529" s="4"/>
      <c r="GB529" s="4"/>
      <c r="GC529" s="4"/>
      <c r="GD529" s="4"/>
      <c r="GE529" s="4"/>
      <c r="GF529" s="4"/>
      <c r="GG529" s="4"/>
      <c r="GH529" s="4"/>
      <c r="GI529" s="4"/>
      <c r="GJ529" s="4"/>
      <c r="GK529" s="4"/>
      <c r="GL529" s="4"/>
      <c r="GM529" s="4"/>
      <c r="GN529" s="4"/>
      <c r="GO529" s="4"/>
      <c r="GP529" s="4"/>
      <c r="GQ529" s="4"/>
      <c r="GR529" s="4"/>
      <c r="GS529" s="4"/>
      <c r="GT529" s="4"/>
      <c r="GU529" s="4"/>
      <c r="GV529" s="4"/>
      <c r="GW529" s="4"/>
      <c r="GX529" s="4"/>
    </row>
    <row r="530">
      <c r="A530" s="2" t="s">
        <v>3476</v>
      </c>
      <c r="B530" s="2" t="s">
        <v>697</v>
      </c>
      <c r="C530" s="2" t="s">
        <v>1962</v>
      </c>
      <c r="D530" s="2" t="s">
        <v>1982</v>
      </c>
      <c r="E530" s="2" t="s">
        <v>3093</v>
      </c>
      <c r="F530" s="2" t="s">
        <v>3477</v>
      </c>
      <c r="G530" s="2" t="s">
        <v>3477</v>
      </c>
      <c r="H530" s="2" t="s">
        <v>3477</v>
      </c>
      <c r="I530" s="2" t="s">
        <v>1334</v>
      </c>
      <c r="J530" s="2" t="s">
        <v>2854</v>
      </c>
      <c r="K530" s="2" t="s">
        <v>672</v>
      </c>
      <c r="L530" s="3">
        <v>38.4</v>
      </c>
      <c r="M530" s="3">
        <v>40.32</v>
      </c>
      <c r="N530" s="3">
        <v>79.99</v>
      </c>
      <c r="O530" s="2" t="s">
        <v>224</v>
      </c>
      <c r="P530" s="2" t="s">
        <v>2038</v>
      </c>
      <c r="Q530" s="2" t="s">
        <v>226</v>
      </c>
      <c r="R530" s="2" t="s">
        <v>227</v>
      </c>
      <c r="S530" s="2" t="s">
        <v>3478</v>
      </c>
      <c r="T530" s="2" t="s">
        <v>1698</v>
      </c>
      <c r="U530" s="2" t="s">
        <v>227</v>
      </c>
      <c r="V530" s="2" t="s">
        <v>877</v>
      </c>
      <c r="W530" s="2" t="s">
        <v>231</v>
      </c>
      <c r="X530" s="2" t="s">
        <v>581</v>
      </c>
      <c r="Y530" s="2" t="s">
        <v>232</v>
      </c>
      <c r="Z530" s="4">
        <v>420</v>
      </c>
      <c r="AA530" s="4">
        <f>=ROUNDDOWN(3.88888888888889,0)</f>
      </c>
      <c r="AB530" s="5">
        <v>108</v>
      </c>
      <c r="AC530" s="2" t="s">
        <v>583</v>
      </c>
      <c r="AD530" s="4">
        <v>1000</v>
      </c>
      <c r="AE530" s="4">
        <v>3380</v>
      </c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227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/>
      <c r="AW530" s="8"/>
      <c r="AX530" s="4"/>
      <c r="AY530" s="8"/>
      <c r="AZ530" s="7"/>
      <c r="BA530" s="7"/>
      <c r="BB530" s="7"/>
      <c r="BC530" s="4" t="s">
        <v>227</v>
      </c>
      <c r="BD530" s="8" t="s">
        <v>227</v>
      </c>
      <c r="BE530" s="4" t="s">
        <v>227</v>
      </c>
      <c r="BF530" s="8" t="s">
        <v>227</v>
      </c>
      <c r="BG530" s="7" t="s">
        <v>227</v>
      </c>
      <c r="BH530" s="7" t="s">
        <v>227</v>
      </c>
      <c r="BI530" s="7"/>
      <c r="BJ530" s="4">
        <v>263</v>
      </c>
      <c r="BK530" s="8">
        <v>10390.93</v>
      </c>
      <c r="BL530" s="2" t="s">
        <v>3479</v>
      </c>
      <c r="BM530" s="7"/>
      <c r="BN530" s="7"/>
      <c r="BO530" s="4"/>
      <c r="BP530" s="8"/>
      <c r="BQ530" s="4"/>
      <c r="BR530" s="8"/>
      <c r="BS530" s="7"/>
      <c r="BT530" s="7"/>
      <c r="BU530" s="2" t="s">
        <v>3480</v>
      </c>
      <c r="BV530" s="2" t="s">
        <v>227</v>
      </c>
      <c r="BW530" s="2" t="s">
        <v>227</v>
      </c>
      <c r="BX530" s="2" t="s">
        <v>235</v>
      </c>
      <c r="BY530" s="2" t="s">
        <v>236</v>
      </c>
      <c r="BZ530" s="2" t="s">
        <v>224</v>
      </c>
      <c r="CA530" s="2" t="s">
        <v>2810</v>
      </c>
      <c r="CB530" s="2" t="s">
        <v>3481</v>
      </c>
      <c r="CC530" s="2" t="s">
        <v>239</v>
      </c>
      <c r="CD530" s="2" t="s">
        <v>227</v>
      </c>
      <c r="CE530" s="4">
        <v>420</v>
      </c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>
        <v>1000</v>
      </c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>
        <v>1470</v>
      </c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/>
      <c r="FI530" s="4"/>
      <c r="FJ530" s="4"/>
      <c r="FK530" s="4"/>
      <c r="FL530" s="4"/>
      <c r="FM530" s="4"/>
      <c r="FN530" s="4"/>
      <c r="FO530" s="4"/>
      <c r="FP530" s="4"/>
      <c r="FQ530" s="4"/>
      <c r="FR530" s="4"/>
      <c r="FS530" s="4"/>
      <c r="FT530" s="4"/>
      <c r="FU530" s="4"/>
      <c r="FV530" s="4"/>
      <c r="FW530" s="4">
        <v>640</v>
      </c>
      <c r="FX530" s="4"/>
      <c r="FY530" s="4"/>
      <c r="FZ530" s="4"/>
      <c r="GA530" s="4"/>
      <c r="GB530" s="4"/>
      <c r="GC530" s="4"/>
      <c r="GD530" s="4"/>
      <c r="GE530" s="4"/>
      <c r="GF530" s="4"/>
      <c r="GG530" s="4"/>
      <c r="GH530" s="4"/>
      <c r="GI530" s="4"/>
      <c r="GJ530" s="4"/>
      <c r="GK530" s="4"/>
      <c r="GL530" s="4"/>
      <c r="GM530" s="4">
        <v>270</v>
      </c>
      <c r="GN530" s="4"/>
      <c r="GO530" s="4"/>
      <c r="GP530" s="4"/>
      <c r="GQ530" s="4"/>
      <c r="GR530" s="4"/>
      <c r="GS530" s="4"/>
      <c r="GT530" s="4"/>
      <c r="GU530" s="4"/>
      <c r="GV530" s="4"/>
      <c r="GW530" s="4"/>
      <c r="GX530" s="4"/>
    </row>
    <row r="531">
      <c r="A531" s="2" t="s">
        <v>3482</v>
      </c>
      <c r="B531" s="2" t="s">
        <v>697</v>
      </c>
      <c r="C531" s="2" t="s">
        <v>1962</v>
      </c>
      <c r="D531" s="2" t="s">
        <v>1982</v>
      </c>
      <c r="E531" s="2" t="s">
        <v>3093</v>
      </c>
      <c r="F531" s="2" t="s">
        <v>3477</v>
      </c>
      <c r="G531" s="2" t="s">
        <v>3477</v>
      </c>
      <c r="H531" s="2" t="s">
        <v>3477</v>
      </c>
      <c r="I531" s="2" t="s">
        <v>1334</v>
      </c>
      <c r="J531" s="2" t="s">
        <v>2854</v>
      </c>
      <c r="K531" s="2" t="s">
        <v>1264</v>
      </c>
      <c r="L531" s="3">
        <v>38.4</v>
      </c>
      <c r="M531" s="3">
        <v>40.32</v>
      </c>
      <c r="N531" s="3">
        <v>79.99</v>
      </c>
      <c r="O531" s="2" t="s">
        <v>224</v>
      </c>
      <c r="P531" s="2" t="s">
        <v>530</v>
      </c>
      <c r="Q531" s="2" t="s">
        <v>226</v>
      </c>
      <c r="R531" s="2" t="s">
        <v>227</v>
      </c>
      <c r="S531" s="2" t="s">
        <v>3483</v>
      </c>
      <c r="T531" s="2" t="s">
        <v>1698</v>
      </c>
      <c r="U531" s="2" t="s">
        <v>227</v>
      </c>
      <c r="V531" s="2" t="s">
        <v>877</v>
      </c>
      <c r="W531" s="2" t="s">
        <v>231</v>
      </c>
      <c r="X531" s="2" t="s">
        <v>581</v>
      </c>
      <c r="Y531" s="2" t="s">
        <v>3484</v>
      </c>
      <c r="Z531" s="4">
        <v>595</v>
      </c>
      <c r="AA531" s="4">
        <f>=ROUNDDOWN(8.75,0)</f>
      </c>
      <c r="AB531" s="5">
        <v>68</v>
      </c>
      <c r="AC531" s="2" t="s">
        <v>583</v>
      </c>
      <c r="AD531" s="4">
        <v>620</v>
      </c>
      <c r="AE531" s="4">
        <v>2090</v>
      </c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227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 t="s">
        <v>227</v>
      </c>
      <c r="BD531" s="8" t="s">
        <v>227</v>
      </c>
      <c r="BE531" s="4" t="s">
        <v>227</v>
      </c>
      <c r="BF531" s="8" t="s">
        <v>227</v>
      </c>
      <c r="BG531" s="7" t="s">
        <v>227</v>
      </c>
      <c r="BH531" s="7" t="s">
        <v>227</v>
      </c>
      <c r="BI531" s="7"/>
      <c r="BJ531" s="4">
        <v>20</v>
      </c>
      <c r="BK531" s="8">
        <v>794.35</v>
      </c>
      <c r="BL531" s="2" t="s">
        <v>3485</v>
      </c>
      <c r="BM531" s="7"/>
      <c r="BN531" s="7"/>
      <c r="BO531" s="4"/>
      <c r="BP531" s="8"/>
      <c r="BQ531" s="4"/>
      <c r="BR531" s="8"/>
      <c r="BS531" s="7"/>
      <c r="BT531" s="7"/>
      <c r="BU531" s="2" t="s">
        <v>3486</v>
      </c>
      <c r="BV531" s="2" t="s">
        <v>227</v>
      </c>
      <c r="BW531" s="2" t="s">
        <v>227</v>
      </c>
      <c r="BX531" s="2" t="s">
        <v>235</v>
      </c>
      <c r="BY531" s="2" t="s">
        <v>236</v>
      </c>
      <c r="BZ531" s="2" t="s">
        <v>224</v>
      </c>
      <c r="CA531" s="2" t="s">
        <v>2810</v>
      </c>
      <c r="CB531" s="2" t="s">
        <v>3487</v>
      </c>
      <c r="CC531" s="2" t="s">
        <v>239</v>
      </c>
      <c r="CD531" s="2" t="s">
        <v>227</v>
      </c>
      <c r="CE531" s="4">
        <v>595</v>
      </c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>
        <v>620</v>
      </c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>
        <v>880</v>
      </c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  <c r="FM531" s="4"/>
      <c r="FN531" s="4"/>
      <c r="FO531" s="4"/>
      <c r="FP531" s="4"/>
      <c r="FQ531" s="4"/>
      <c r="FR531" s="4"/>
      <c r="FS531" s="4"/>
      <c r="FT531" s="4"/>
      <c r="FU531" s="4"/>
      <c r="FV531" s="4"/>
      <c r="FW531" s="4">
        <v>380</v>
      </c>
      <c r="FX531" s="4"/>
      <c r="FY531" s="4"/>
      <c r="FZ531" s="4"/>
      <c r="GA531" s="4"/>
      <c r="GB531" s="4"/>
      <c r="GC531" s="4"/>
      <c r="GD531" s="4"/>
      <c r="GE531" s="4"/>
      <c r="GF531" s="4"/>
      <c r="GG531" s="4"/>
      <c r="GH531" s="4"/>
      <c r="GI531" s="4"/>
      <c r="GJ531" s="4"/>
      <c r="GK531" s="4"/>
      <c r="GL531" s="4"/>
      <c r="GM531" s="4">
        <v>210</v>
      </c>
      <c r="GN531" s="4"/>
      <c r="GO531" s="4"/>
      <c r="GP531" s="4"/>
      <c r="GQ531" s="4"/>
      <c r="GR531" s="4"/>
      <c r="GS531" s="4"/>
      <c r="GT531" s="4"/>
      <c r="GU531" s="4"/>
      <c r="GV531" s="4"/>
      <c r="GW531" s="4"/>
      <c r="GX531" s="4"/>
    </row>
    <row r="532">
      <c r="A532" s="2" t="s">
        <v>3488</v>
      </c>
      <c r="B532" s="2" t="s">
        <v>697</v>
      </c>
      <c r="C532" s="2" t="s">
        <v>1962</v>
      </c>
      <c r="D532" s="2" t="s">
        <v>1982</v>
      </c>
      <c r="E532" s="2" t="s">
        <v>1983</v>
      </c>
      <c r="F532" s="2" t="s">
        <v>3489</v>
      </c>
      <c r="G532" s="2" t="s">
        <v>3489</v>
      </c>
      <c r="H532" s="2" t="s">
        <v>3489</v>
      </c>
      <c r="I532" s="2" t="s">
        <v>1449</v>
      </c>
      <c r="J532" s="2" t="s">
        <v>222</v>
      </c>
      <c r="K532" s="2" t="s">
        <v>976</v>
      </c>
      <c r="L532" s="3">
        <v>47</v>
      </c>
      <c r="M532" s="3">
        <v>49.35</v>
      </c>
      <c r="N532" s="3">
        <v>99.99</v>
      </c>
      <c r="O532" s="2" t="s">
        <v>224</v>
      </c>
      <c r="P532" s="2" t="s">
        <v>485</v>
      </c>
      <c r="Q532" s="2" t="s">
        <v>226</v>
      </c>
      <c r="R532" s="2" t="s">
        <v>227</v>
      </c>
      <c r="S532" s="2" t="s">
        <v>3490</v>
      </c>
      <c r="T532" s="2" t="s">
        <v>1698</v>
      </c>
      <c r="U532" s="2" t="s">
        <v>552</v>
      </c>
      <c r="V532" s="2" t="s">
        <v>230</v>
      </c>
      <c r="W532" s="2" t="s">
        <v>231</v>
      </c>
      <c r="X532" s="2" t="s">
        <v>227</v>
      </c>
      <c r="Y532" s="2" t="s">
        <v>3491</v>
      </c>
      <c r="Z532" s="4">
        <v>29</v>
      </c>
      <c r="AA532" s="4">
        <f>=ROUNDDOWN(3.22222222222222,0)</f>
      </c>
      <c r="AB532" s="5">
        <v>9</v>
      </c>
      <c r="AC532" s="2" t="s">
        <v>3411</v>
      </c>
      <c r="AD532" s="4">
        <v>150</v>
      </c>
      <c r="AE532" s="4">
        <v>300</v>
      </c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227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/>
      <c r="AW532" s="8"/>
      <c r="AX532" s="4"/>
      <c r="AY532" s="8"/>
      <c r="AZ532" s="7"/>
      <c r="BA532" s="7"/>
      <c r="BB532" s="7"/>
      <c r="BC532" s="4" t="s">
        <v>227</v>
      </c>
      <c r="BD532" s="8" t="s">
        <v>227</v>
      </c>
      <c r="BE532" s="4" t="s">
        <v>227</v>
      </c>
      <c r="BF532" s="8" t="s">
        <v>227</v>
      </c>
      <c r="BG532" s="7" t="s">
        <v>227</v>
      </c>
      <c r="BH532" s="7" t="s">
        <v>227</v>
      </c>
      <c r="BI532" s="7"/>
      <c r="BJ532" s="4">
        <v>2</v>
      </c>
      <c r="BK532" s="8">
        <v>103.16</v>
      </c>
      <c r="BL532" s="2" t="s">
        <v>3492</v>
      </c>
      <c r="BM532" s="7"/>
      <c r="BN532" s="7"/>
      <c r="BO532" s="4"/>
      <c r="BP532" s="8"/>
      <c r="BQ532" s="4"/>
      <c r="BR532" s="8"/>
      <c r="BS532" s="7"/>
      <c r="BT532" s="7"/>
      <c r="BU532" s="2" t="s">
        <v>3493</v>
      </c>
      <c r="BV532" s="2" t="s">
        <v>227</v>
      </c>
      <c r="BW532" s="2" t="s">
        <v>227</v>
      </c>
      <c r="BX532" s="2" t="s">
        <v>235</v>
      </c>
      <c r="BY532" s="2" t="s">
        <v>236</v>
      </c>
      <c r="BZ532" s="2" t="s">
        <v>224</v>
      </c>
      <c r="CA532" s="2" t="s">
        <v>3494</v>
      </c>
      <c r="CB532" s="2" t="s">
        <v>3495</v>
      </c>
      <c r="CC532" s="2" t="s">
        <v>239</v>
      </c>
      <c r="CD532" s="2" t="s">
        <v>227</v>
      </c>
      <c r="CE532" s="4">
        <v>29</v>
      </c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>
        <v>150</v>
      </c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>
        <v>150</v>
      </c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  <c r="FM532" s="4"/>
      <c r="FN532" s="4"/>
      <c r="FO532" s="4"/>
      <c r="FP532" s="4"/>
      <c r="FQ532" s="4"/>
      <c r="FR532" s="4"/>
      <c r="FS532" s="4"/>
      <c r="FT532" s="4"/>
      <c r="FU532" s="4"/>
      <c r="FV532" s="4"/>
      <c r="FW532" s="4"/>
      <c r="FX532" s="4"/>
      <c r="FY532" s="4"/>
      <c r="FZ532" s="4"/>
      <c r="GA532" s="4"/>
      <c r="GB532" s="4"/>
      <c r="GC532" s="4"/>
      <c r="GD532" s="4"/>
      <c r="GE532" s="4"/>
      <c r="GF532" s="4"/>
      <c r="GG532" s="4"/>
      <c r="GH532" s="4"/>
      <c r="GI532" s="4"/>
      <c r="GJ532" s="4"/>
      <c r="GK532" s="4"/>
      <c r="GL532" s="4"/>
      <c r="GM532" s="4"/>
      <c r="GN532" s="4"/>
      <c r="GO532" s="4"/>
      <c r="GP532" s="4"/>
      <c r="GQ532" s="4"/>
      <c r="GR532" s="4"/>
      <c r="GS532" s="4"/>
      <c r="GT532" s="4"/>
      <c r="GU532" s="4"/>
      <c r="GV532" s="4"/>
      <c r="GW532" s="4"/>
      <c r="GX532" s="4"/>
    </row>
    <row r="533">
      <c r="A533" s="2" t="s">
        <v>3496</v>
      </c>
      <c r="B533" s="2" t="s">
        <v>697</v>
      </c>
      <c r="C533" s="2" t="s">
        <v>1962</v>
      </c>
      <c r="D533" s="2" t="s">
        <v>1982</v>
      </c>
      <c r="E533" s="2" t="s">
        <v>1983</v>
      </c>
      <c r="F533" s="2" t="s">
        <v>3489</v>
      </c>
      <c r="G533" s="2" t="s">
        <v>3489</v>
      </c>
      <c r="H533" s="2" t="s">
        <v>3489</v>
      </c>
      <c r="I533" s="2" t="s">
        <v>1449</v>
      </c>
      <c r="J533" s="2" t="s">
        <v>222</v>
      </c>
      <c r="K533" s="2" t="s">
        <v>1761</v>
      </c>
      <c r="L533" s="3">
        <v>47</v>
      </c>
      <c r="M533" s="3">
        <v>49.35</v>
      </c>
      <c r="N533" s="3">
        <v>99.99</v>
      </c>
      <c r="O533" s="2" t="s">
        <v>224</v>
      </c>
      <c r="P533" s="2" t="s">
        <v>485</v>
      </c>
      <c r="Q533" s="2" t="s">
        <v>226</v>
      </c>
      <c r="R533" s="2" t="s">
        <v>227</v>
      </c>
      <c r="S533" s="2" t="s">
        <v>3497</v>
      </c>
      <c r="T533" s="2" t="s">
        <v>1698</v>
      </c>
      <c r="U533" s="2" t="s">
        <v>227</v>
      </c>
      <c r="V533" s="2" t="s">
        <v>230</v>
      </c>
      <c r="W533" s="2" t="s">
        <v>231</v>
      </c>
      <c r="X533" s="2" t="s">
        <v>227</v>
      </c>
      <c r="Y533" s="2" t="s">
        <v>232</v>
      </c>
      <c r="Z533" s="4">
        <v>115</v>
      </c>
      <c r="AA533" s="4">
        <f>=ROUNDDOWN(6.38888888888889,0)</f>
      </c>
      <c r="AB533" s="5">
        <v>18</v>
      </c>
      <c r="AC533" s="2" t="s">
        <v>3411</v>
      </c>
      <c r="AD533" s="4">
        <v>150</v>
      </c>
      <c r="AE533" s="4">
        <v>450</v>
      </c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227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 t="s">
        <v>227</v>
      </c>
      <c r="BD533" s="8" t="s">
        <v>227</v>
      </c>
      <c r="BE533" s="4" t="s">
        <v>227</v>
      </c>
      <c r="BF533" s="8" t="s">
        <v>227</v>
      </c>
      <c r="BG533" s="7" t="s">
        <v>227</v>
      </c>
      <c r="BH533" s="7" t="s">
        <v>227</v>
      </c>
      <c r="BI533" s="7"/>
      <c r="BJ533" s="4">
        <v>15</v>
      </c>
      <c r="BK533" s="8">
        <v>690.69</v>
      </c>
      <c r="BL533" s="2" t="s">
        <v>3498</v>
      </c>
      <c r="BM533" s="7"/>
      <c r="BN533" s="7"/>
      <c r="BO533" s="4"/>
      <c r="BP533" s="8"/>
      <c r="BQ533" s="4"/>
      <c r="BR533" s="8"/>
      <c r="BS533" s="7"/>
      <c r="BT533" s="7"/>
      <c r="BU533" s="2" t="s">
        <v>3499</v>
      </c>
      <c r="BV533" s="2" t="s">
        <v>227</v>
      </c>
      <c r="BW533" s="2" t="s">
        <v>227</v>
      </c>
      <c r="BX533" s="2" t="s">
        <v>235</v>
      </c>
      <c r="BY533" s="2" t="s">
        <v>236</v>
      </c>
      <c r="BZ533" s="2" t="s">
        <v>224</v>
      </c>
      <c r="CA533" s="2" t="s">
        <v>2859</v>
      </c>
      <c r="CB533" s="2" t="s">
        <v>3500</v>
      </c>
      <c r="CC533" s="2" t="s">
        <v>239</v>
      </c>
      <c r="CD533" s="2" t="s">
        <v>227</v>
      </c>
      <c r="CE533" s="4">
        <v>115</v>
      </c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>
        <v>150</v>
      </c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>
        <v>150</v>
      </c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  <c r="FM533" s="4"/>
      <c r="FN533" s="4"/>
      <c r="FO533" s="4"/>
      <c r="FP533" s="4"/>
      <c r="FQ533" s="4"/>
      <c r="FR533" s="4"/>
      <c r="FS533" s="4">
        <v>150</v>
      </c>
      <c r="FT533" s="4"/>
      <c r="FU533" s="4"/>
      <c r="FV533" s="4"/>
      <c r="FW533" s="4"/>
      <c r="FX533" s="4"/>
      <c r="FY533" s="4"/>
      <c r="FZ533" s="4"/>
      <c r="GA533" s="4"/>
      <c r="GB533" s="4"/>
      <c r="GC533" s="4"/>
      <c r="GD533" s="4"/>
      <c r="GE533" s="4"/>
      <c r="GF533" s="4"/>
      <c r="GG533" s="4"/>
      <c r="GH533" s="4"/>
      <c r="GI533" s="4"/>
      <c r="GJ533" s="4"/>
      <c r="GK533" s="4"/>
      <c r="GL533" s="4"/>
      <c r="GM533" s="4"/>
      <c r="GN533" s="4"/>
      <c r="GO533" s="4"/>
      <c r="GP533" s="4"/>
      <c r="GQ533" s="4"/>
      <c r="GR533" s="4"/>
      <c r="GS533" s="4"/>
      <c r="GT533" s="4"/>
      <c r="GU533" s="4"/>
      <c r="GV533" s="4"/>
      <c r="GW533" s="4"/>
      <c r="GX533" s="4"/>
    </row>
    <row r="534">
      <c r="A534" s="2" t="s">
        <v>3501</v>
      </c>
      <c r="B534" s="2" t="s">
        <v>697</v>
      </c>
      <c r="C534" s="2" t="s">
        <v>1962</v>
      </c>
      <c r="D534" s="2" t="s">
        <v>1982</v>
      </c>
      <c r="E534" s="2" t="s">
        <v>1983</v>
      </c>
      <c r="F534" s="2" t="s">
        <v>3489</v>
      </c>
      <c r="G534" s="2" t="s">
        <v>3489</v>
      </c>
      <c r="H534" s="2" t="s">
        <v>3489</v>
      </c>
      <c r="I534" s="2" t="s">
        <v>1449</v>
      </c>
      <c r="J534" s="2" t="s">
        <v>222</v>
      </c>
      <c r="K534" s="2" t="s">
        <v>762</v>
      </c>
      <c r="L534" s="3">
        <v>47</v>
      </c>
      <c r="M534" s="3">
        <v>49.35</v>
      </c>
      <c r="N534" s="3">
        <v>99.99</v>
      </c>
      <c r="O534" s="2" t="s">
        <v>224</v>
      </c>
      <c r="P534" s="2" t="s">
        <v>225</v>
      </c>
      <c r="Q534" s="2" t="s">
        <v>226</v>
      </c>
      <c r="R534" s="2" t="s">
        <v>227</v>
      </c>
      <c r="S534" s="2" t="s">
        <v>3502</v>
      </c>
      <c r="T534" s="2" t="s">
        <v>1698</v>
      </c>
      <c r="U534" s="2" t="s">
        <v>227</v>
      </c>
      <c r="V534" s="2" t="s">
        <v>230</v>
      </c>
      <c r="W534" s="2" t="s">
        <v>231</v>
      </c>
      <c r="X534" s="2" t="s">
        <v>227</v>
      </c>
      <c r="Y534" s="2" t="s">
        <v>232</v>
      </c>
      <c r="Z534" s="4">
        <v>122</v>
      </c>
      <c r="AA534" s="4">
        <f>=ROUNDDOWN(5.08333333333333,0)</f>
      </c>
      <c r="AB534" s="5">
        <v>24</v>
      </c>
      <c r="AC534" s="2" t="s">
        <v>156</v>
      </c>
      <c r="AD534" s="4">
        <v>160</v>
      </c>
      <c r="AE534" s="4">
        <v>160</v>
      </c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227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227</v>
      </c>
      <c r="AW534" s="8" t="s">
        <v>227</v>
      </c>
      <c r="AX534" s="4" t="s">
        <v>227</v>
      </c>
      <c r="AY534" s="8" t="s">
        <v>227</v>
      </c>
      <c r="AZ534" s="7" t="s">
        <v>227</v>
      </c>
      <c r="BA534" s="7" t="s">
        <v>227</v>
      </c>
      <c r="BB534" s="7"/>
      <c r="BC534" s="4" t="s">
        <v>227</v>
      </c>
      <c r="BD534" s="8" t="s">
        <v>227</v>
      </c>
      <c r="BE534" s="4" t="s">
        <v>227</v>
      </c>
      <c r="BF534" s="8" t="s">
        <v>227</v>
      </c>
      <c r="BG534" s="7" t="s">
        <v>227</v>
      </c>
      <c r="BH534" s="7" t="s">
        <v>227</v>
      </c>
      <c r="BI534" s="7"/>
      <c r="BJ534" s="4">
        <v>18</v>
      </c>
      <c r="BK534" s="8">
        <v>811.27</v>
      </c>
      <c r="BL534" s="2" t="s">
        <v>3503</v>
      </c>
      <c r="BM534" s="7"/>
      <c r="BN534" s="7"/>
      <c r="BO534" s="4"/>
      <c r="BP534" s="8"/>
      <c r="BQ534" s="4"/>
      <c r="BR534" s="8"/>
      <c r="BS534" s="7"/>
      <c r="BT534" s="7"/>
      <c r="BU534" s="2" t="s">
        <v>3504</v>
      </c>
      <c r="BV534" s="2" t="s">
        <v>227</v>
      </c>
      <c r="BW534" s="2" t="s">
        <v>227</v>
      </c>
      <c r="BX534" s="2" t="s">
        <v>235</v>
      </c>
      <c r="BY534" s="2" t="s">
        <v>236</v>
      </c>
      <c r="BZ534" s="2" t="s">
        <v>224</v>
      </c>
      <c r="CA534" s="2" t="s">
        <v>2810</v>
      </c>
      <c r="CB534" s="2" t="s">
        <v>3505</v>
      </c>
      <c r="CC534" s="2" t="s">
        <v>239</v>
      </c>
      <c r="CD534" s="2" t="s">
        <v>227</v>
      </c>
      <c r="CE534" s="4">
        <v>122</v>
      </c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>
        <v>160</v>
      </c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  <c r="FM534" s="4"/>
      <c r="FN534" s="4"/>
      <c r="FO534" s="4"/>
      <c r="FP534" s="4"/>
      <c r="FQ534" s="4"/>
      <c r="FR534" s="4"/>
      <c r="FS534" s="4"/>
      <c r="FT534" s="4"/>
      <c r="FU534" s="4"/>
      <c r="FV534" s="4"/>
      <c r="FW534" s="4"/>
      <c r="FX534" s="4"/>
      <c r="FY534" s="4"/>
      <c r="FZ534" s="4"/>
      <c r="GA534" s="4"/>
      <c r="GB534" s="4"/>
      <c r="GC534" s="4"/>
      <c r="GD534" s="4"/>
      <c r="GE534" s="4"/>
      <c r="GF534" s="4"/>
      <c r="GG534" s="4"/>
      <c r="GH534" s="4"/>
      <c r="GI534" s="4"/>
      <c r="GJ534" s="4"/>
      <c r="GK534" s="4"/>
      <c r="GL534" s="4"/>
      <c r="GM534" s="4"/>
      <c r="GN534" s="4"/>
      <c r="GO534" s="4"/>
      <c r="GP534" s="4"/>
      <c r="GQ534" s="4"/>
      <c r="GR534" s="4"/>
      <c r="GS534" s="4"/>
      <c r="GT534" s="4"/>
      <c r="GU534" s="4"/>
      <c r="GV534" s="4"/>
      <c r="GW534" s="4"/>
      <c r="GX534" s="4"/>
    </row>
    <row r="535">
      <c r="A535" s="2" t="s">
        <v>3506</v>
      </c>
      <c r="B535" s="2" t="s">
        <v>697</v>
      </c>
      <c r="C535" s="2" t="s">
        <v>1962</v>
      </c>
      <c r="D535" s="2" t="s">
        <v>1982</v>
      </c>
      <c r="E535" s="2" t="s">
        <v>1983</v>
      </c>
      <c r="F535" s="2" t="s">
        <v>3489</v>
      </c>
      <c r="G535" s="2" t="s">
        <v>3489</v>
      </c>
      <c r="H535" s="2" t="s">
        <v>3489</v>
      </c>
      <c r="I535" s="2" t="s">
        <v>1449</v>
      </c>
      <c r="J535" s="2" t="s">
        <v>247</v>
      </c>
      <c r="K535" s="2" t="s">
        <v>762</v>
      </c>
      <c r="L535" s="3">
        <v>52.8</v>
      </c>
      <c r="M535" s="3">
        <v>55.44</v>
      </c>
      <c r="N535" s="3">
        <v>109.99</v>
      </c>
      <c r="O535" s="2" t="s">
        <v>224</v>
      </c>
      <c r="P535" s="2" t="s">
        <v>225</v>
      </c>
      <c r="Q535" s="2" t="s">
        <v>226</v>
      </c>
      <c r="R535" s="2" t="s">
        <v>227</v>
      </c>
      <c r="S535" s="2" t="s">
        <v>3502</v>
      </c>
      <c r="T535" s="2" t="s">
        <v>1698</v>
      </c>
      <c r="U535" s="2" t="s">
        <v>227</v>
      </c>
      <c r="V535" s="2" t="s">
        <v>230</v>
      </c>
      <c r="W535" s="2" t="s">
        <v>231</v>
      </c>
      <c r="X535" s="2" t="s">
        <v>227</v>
      </c>
      <c r="Y535" s="2" t="s">
        <v>2175</v>
      </c>
      <c r="Z535" s="4">
        <v>213</v>
      </c>
      <c r="AA535" s="4">
        <f>=ROUNDDOWN(12.5294117647059,0)</f>
      </c>
      <c r="AB535" s="5">
        <v>17</v>
      </c>
      <c r="AC535" s="2" t="s">
        <v>156</v>
      </c>
      <c r="AD535" s="4">
        <v>177</v>
      </c>
      <c r="AE535" s="4">
        <v>200</v>
      </c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227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227</v>
      </c>
      <c r="AW535" s="8" t="s">
        <v>227</v>
      </c>
      <c r="AX535" s="4" t="s">
        <v>227</v>
      </c>
      <c r="AY535" s="8" t="s">
        <v>227</v>
      </c>
      <c r="AZ535" s="7" t="s">
        <v>227</v>
      </c>
      <c r="BA535" s="7" t="s">
        <v>227</v>
      </c>
      <c r="BB535" s="7"/>
      <c r="BC535" s="4" t="s">
        <v>227</v>
      </c>
      <c r="BD535" s="8" t="s">
        <v>227</v>
      </c>
      <c r="BE535" s="4" t="s">
        <v>227</v>
      </c>
      <c r="BF535" s="8" t="s">
        <v>227</v>
      </c>
      <c r="BG535" s="7" t="s">
        <v>227</v>
      </c>
      <c r="BH535" s="7" t="s">
        <v>227</v>
      </c>
      <c r="BI535" s="7"/>
      <c r="BJ535" s="4">
        <v>11</v>
      </c>
      <c r="BK535" s="8">
        <v>582.11</v>
      </c>
      <c r="BL535" s="2" t="s">
        <v>3507</v>
      </c>
      <c r="BM535" s="7"/>
      <c r="BN535" s="7"/>
      <c r="BO535" s="4"/>
      <c r="BP535" s="8"/>
      <c r="BQ535" s="4"/>
      <c r="BR535" s="8"/>
      <c r="BS535" s="7"/>
      <c r="BT535" s="7"/>
      <c r="BU535" s="2" t="s">
        <v>3508</v>
      </c>
      <c r="BV535" s="2" t="s">
        <v>227</v>
      </c>
      <c r="BW535" s="2" t="s">
        <v>227</v>
      </c>
      <c r="BX535" s="2" t="s">
        <v>235</v>
      </c>
      <c r="BY535" s="2" t="s">
        <v>236</v>
      </c>
      <c r="BZ535" s="2" t="s">
        <v>224</v>
      </c>
      <c r="CA535" s="2" t="s">
        <v>2810</v>
      </c>
      <c r="CB535" s="2" t="s">
        <v>3509</v>
      </c>
      <c r="CC535" s="2" t="s">
        <v>239</v>
      </c>
      <c r="CD535" s="2" t="s">
        <v>227</v>
      </c>
      <c r="CE535" s="4">
        <v>213</v>
      </c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>
        <v>177</v>
      </c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/>
      <c r="FH535" s="4"/>
      <c r="FI535" s="4"/>
      <c r="FJ535" s="4"/>
      <c r="FK535" s="4"/>
      <c r="FL535" s="4"/>
      <c r="FM535" s="4"/>
      <c r="FN535" s="4"/>
      <c r="FO535" s="4"/>
      <c r="FP535" s="4"/>
      <c r="FQ535" s="4"/>
      <c r="FR535" s="4"/>
      <c r="FS535" s="4"/>
      <c r="FT535" s="4"/>
      <c r="FU535" s="4"/>
      <c r="FV535" s="4"/>
      <c r="FW535" s="4">
        <v>23</v>
      </c>
      <c r="FX535" s="4"/>
      <c r="FY535" s="4"/>
      <c r="FZ535" s="4"/>
      <c r="GA535" s="4"/>
      <c r="GB535" s="4"/>
      <c r="GC535" s="4"/>
      <c r="GD535" s="4"/>
      <c r="GE535" s="4"/>
      <c r="GF535" s="4"/>
      <c r="GG535" s="4"/>
      <c r="GH535" s="4"/>
      <c r="GI535" s="4"/>
      <c r="GJ535" s="4"/>
      <c r="GK535" s="4"/>
      <c r="GL535" s="4"/>
      <c r="GM535" s="4"/>
      <c r="GN535" s="4"/>
      <c r="GO535" s="4"/>
      <c r="GP535" s="4"/>
      <c r="GQ535" s="4"/>
      <c r="GR535" s="4"/>
      <c r="GS535" s="4"/>
      <c r="GT535" s="4"/>
      <c r="GU535" s="4"/>
      <c r="GV535" s="4"/>
      <c r="GW535" s="4"/>
      <c r="GX535" s="4"/>
    </row>
    <row r="536">
      <c r="A536" s="2" t="s">
        <v>3510</v>
      </c>
      <c r="B536" s="2" t="s">
        <v>697</v>
      </c>
      <c r="C536" s="2" t="s">
        <v>1962</v>
      </c>
      <c r="D536" s="2" t="s">
        <v>1982</v>
      </c>
      <c r="E536" s="2" t="s">
        <v>1983</v>
      </c>
      <c r="F536" s="2" t="s">
        <v>3489</v>
      </c>
      <c r="G536" s="2" t="s">
        <v>3489</v>
      </c>
      <c r="H536" s="2" t="s">
        <v>3489</v>
      </c>
      <c r="I536" s="2" t="s">
        <v>1449</v>
      </c>
      <c r="J536" s="2" t="s">
        <v>252</v>
      </c>
      <c r="K536" s="2" t="s">
        <v>762</v>
      </c>
      <c r="L536" s="3">
        <v>73.5</v>
      </c>
      <c r="M536" s="3">
        <v>77.18</v>
      </c>
      <c r="N536" s="3">
        <v>149.99</v>
      </c>
      <c r="O536" s="2" t="s">
        <v>224</v>
      </c>
      <c r="P536" s="2" t="s">
        <v>225</v>
      </c>
      <c r="Q536" s="2" t="s">
        <v>226</v>
      </c>
      <c r="R536" s="2" t="s">
        <v>227</v>
      </c>
      <c r="S536" s="2" t="s">
        <v>3502</v>
      </c>
      <c r="T536" s="2" t="s">
        <v>1698</v>
      </c>
      <c r="U536" s="2" t="s">
        <v>227</v>
      </c>
      <c r="V536" s="2" t="s">
        <v>230</v>
      </c>
      <c r="W536" s="2" t="s">
        <v>231</v>
      </c>
      <c r="X536" s="2" t="s">
        <v>227</v>
      </c>
      <c r="Y536" s="2" t="s">
        <v>232</v>
      </c>
      <c r="Z536" s="4">
        <v>203</v>
      </c>
      <c r="AA536" s="4">
        <f>=ROUNDDOWN(7.80769230769231,0)</f>
      </c>
      <c r="AB536" s="5">
        <v>26</v>
      </c>
      <c r="AC536" s="2" t="s">
        <v>3411</v>
      </c>
      <c r="AD536" s="4">
        <v>150</v>
      </c>
      <c r="AE536" s="4">
        <v>450</v>
      </c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227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227</v>
      </c>
      <c r="AW536" s="8" t="s">
        <v>227</v>
      </c>
      <c r="AX536" s="4" t="s">
        <v>227</v>
      </c>
      <c r="AY536" s="8" t="s">
        <v>227</v>
      </c>
      <c r="AZ536" s="7" t="s">
        <v>227</v>
      </c>
      <c r="BA536" s="7" t="s">
        <v>227</v>
      </c>
      <c r="BB536" s="7"/>
      <c r="BC536" s="4" t="s">
        <v>227</v>
      </c>
      <c r="BD536" s="8" t="s">
        <v>227</v>
      </c>
      <c r="BE536" s="4" t="s">
        <v>227</v>
      </c>
      <c r="BF536" s="8" t="s">
        <v>227</v>
      </c>
      <c r="BG536" s="7" t="s">
        <v>227</v>
      </c>
      <c r="BH536" s="7" t="s">
        <v>227</v>
      </c>
      <c r="BI536" s="7"/>
      <c r="BJ536" s="4">
        <v>18</v>
      </c>
      <c r="BK536" s="8">
        <v>1353.29</v>
      </c>
      <c r="BL536" s="2" t="s">
        <v>3511</v>
      </c>
      <c r="BM536" s="7"/>
      <c r="BN536" s="7"/>
      <c r="BO536" s="4"/>
      <c r="BP536" s="8"/>
      <c r="BQ536" s="4"/>
      <c r="BR536" s="8"/>
      <c r="BS536" s="7"/>
      <c r="BT536" s="7"/>
      <c r="BU536" s="2" t="s">
        <v>3512</v>
      </c>
      <c r="BV536" s="2" t="s">
        <v>227</v>
      </c>
      <c r="BW536" s="2" t="s">
        <v>227</v>
      </c>
      <c r="BX536" s="2" t="s">
        <v>235</v>
      </c>
      <c r="BY536" s="2" t="s">
        <v>236</v>
      </c>
      <c r="BZ536" s="2" t="s">
        <v>224</v>
      </c>
      <c r="CA536" s="2" t="s">
        <v>2810</v>
      </c>
      <c r="CB536" s="2" t="s">
        <v>3440</v>
      </c>
      <c r="CC536" s="2" t="s">
        <v>239</v>
      </c>
      <c r="CD536" s="2" t="s">
        <v>227</v>
      </c>
      <c r="CE536" s="4">
        <v>203</v>
      </c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>
        <v>150</v>
      </c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>
        <v>150</v>
      </c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/>
      <c r="FI536" s="4"/>
      <c r="FJ536" s="4"/>
      <c r="FK536" s="4"/>
      <c r="FL536" s="4"/>
      <c r="FM536" s="4"/>
      <c r="FN536" s="4"/>
      <c r="FO536" s="4"/>
      <c r="FP536" s="4"/>
      <c r="FQ536" s="4"/>
      <c r="FR536" s="4"/>
      <c r="FS536" s="4">
        <v>150</v>
      </c>
      <c r="FT536" s="4"/>
      <c r="FU536" s="4"/>
      <c r="FV536" s="4"/>
      <c r="FW536" s="4"/>
      <c r="FX536" s="4"/>
      <c r="FY536" s="4"/>
      <c r="FZ536" s="4"/>
      <c r="GA536" s="4"/>
      <c r="GB536" s="4"/>
      <c r="GC536" s="4"/>
      <c r="GD536" s="4"/>
      <c r="GE536" s="4"/>
      <c r="GF536" s="4"/>
      <c r="GG536" s="4"/>
      <c r="GH536" s="4"/>
      <c r="GI536" s="4"/>
      <c r="GJ536" s="4"/>
      <c r="GK536" s="4"/>
      <c r="GL536" s="4"/>
      <c r="GM536" s="4"/>
      <c r="GN536" s="4"/>
      <c r="GO536" s="4"/>
      <c r="GP536" s="4"/>
      <c r="GQ536" s="4"/>
      <c r="GR536" s="4"/>
      <c r="GS536" s="4"/>
      <c r="GT536" s="4"/>
      <c r="GU536" s="4"/>
      <c r="GV536" s="4"/>
      <c r="GW536" s="4"/>
      <c r="GX536" s="4"/>
    </row>
    <row r="537">
      <c r="A537" s="2" t="s">
        <v>3513</v>
      </c>
      <c r="B537" s="2" t="s">
        <v>697</v>
      </c>
      <c r="C537" s="2" t="s">
        <v>1962</v>
      </c>
      <c r="D537" s="2" t="s">
        <v>1982</v>
      </c>
      <c r="E537" s="2" t="s">
        <v>1983</v>
      </c>
      <c r="F537" s="2" t="s">
        <v>3489</v>
      </c>
      <c r="G537" s="2" t="s">
        <v>3489</v>
      </c>
      <c r="H537" s="2" t="s">
        <v>3489</v>
      </c>
      <c r="I537" s="2" t="s">
        <v>1449</v>
      </c>
      <c r="J537" s="2" t="s">
        <v>247</v>
      </c>
      <c r="K537" s="2" t="s">
        <v>3514</v>
      </c>
      <c r="L537" s="3">
        <v>52.8</v>
      </c>
      <c r="M537" s="3">
        <v>55.44</v>
      </c>
      <c r="N537" s="3">
        <v>109.99</v>
      </c>
      <c r="O537" s="2" t="s">
        <v>224</v>
      </c>
      <c r="P537" s="2" t="s">
        <v>550</v>
      </c>
      <c r="Q537" s="2" t="s">
        <v>226</v>
      </c>
      <c r="R537" s="2" t="s">
        <v>227</v>
      </c>
      <c r="S537" s="2" t="s">
        <v>3515</v>
      </c>
      <c r="T537" s="2" t="s">
        <v>1698</v>
      </c>
      <c r="U537" s="2" t="s">
        <v>227</v>
      </c>
      <c r="V537" s="2" t="s">
        <v>230</v>
      </c>
      <c r="W537" s="2" t="s">
        <v>231</v>
      </c>
      <c r="X537" s="2" t="s">
        <v>227</v>
      </c>
      <c r="Y537" s="2" t="s">
        <v>232</v>
      </c>
      <c r="Z537" s="4">
        <v>135</v>
      </c>
      <c r="AA537" s="4">
        <f>=ROUNDDOWN(5,0)</f>
      </c>
      <c r="AB537" s="5">
        <v>27</v>
      </c>
      <c r="AC537" s="2" t="s">
        <v>3411</v>
      </c>
      <c r="AD537" s="4">
        <v>250</v>
      </c>
      <c r="AE537" s="4">
        <v>670</v>
      </c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227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/>
      <c r="AW537" s="8"/>
      <c r="AX537" s="4"/>
      <c r="AY537" s="8"/>
      <c r="AZ537" s="7"/>
      <c r="BA537" s="7"/>
      <c r="BB537" s="7"/>
      <c r="BC537" s="4" t="s">
        <v>227</v>
      </c>
      <c r="BD537" s="8" t="s">
        <v>227</v>
      </c>
      <c r="BE537" s="4" t="s">
        <v>227</v>
      </c>
      <c r="BF537" s="8" t="s">
        <v>227</v>
      </c>
      <c r="BG537" s="7" t="s">
        <v>227</v>
      </c>
      <c r="BH537" s="7" t="s">
        <v>227</v>
      </c>
      <c r="BI537" s="7"/>
      <c r="BJ537" s="4">
        <v>10</v>
      </c>
      <c r="BK537" s="8">
        <v>527.62</v>
      </c>
      <c r="BL537" s="2" t="s">
        <v>3516</v>
      </c>
      <c r="BM537" s="7"/>
      <c r="BN537" s="7"/>
      <c r="BO537" s="4"/>
      <c r="BP537" s="8"/>
      <c r="BQ537" s="4"/>
      <c r="BR537" s="8"/>
      <c r="BS537" s="7"/>
      <c r="BT537" s="7"/>
      <c r="BU537" s="2" t="s">
        <v>3517</v>
      </c>
      <c r="BV537" s="2" t="s">
        <v>227</v>
      </c>
      <c r="BW537" s="2" t="s">
        <v>227</v>
      </c>
      <c r="BX537" s="2" t="s">
        <v>235</v>
      </c>
      <c r="BY537" s="2" t="s">
        <v>236</v>
      </c>
      <c r="BZ537" s="2" t="s">
        <v>224</v>
      </c>
      <c r="CA537" s="2" t="s">
        <v>2859</v>
      </c>
      <c r="CB537" s="2" t="s">
        <v>330</v>
      </c>
      <c r="CC537" s="2" t="s">
        <v>239</v>
      </c>
      <c r="CD537" s="2" t="s">
        <v>227</v>
      </c>
      <c r="CE537" s="4">
        <v>135</v>
      </c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>
        <v>250</v>
      </c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>
        <v>210</v>
      </c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/>
      <c r="FH537" s="4"/>
      <c r="FI537" s="4"/>
      <c r="FJ537" s="4"/>
      <c r="FK537" s="4"/>
      <c r="FL537" s="4"/>
      <c r="FM537" s="4"/>
      <c r="FN537" s="4"/>
      <c r="FO537" s="4"/>
      <c r="FP537" s="4"/>
      <c r="FQ537" s="4"/>
      <c r="FR537" s="4"/>
      <c r="FS537" s="4">
        <v>210</v>
      </c>
      <c r="FT537" s="4"/>
      <c r="FU537" s="4"/>
      <c r="FV537" s="4"/>
      <c r="FW537" s="4"/>
      <c r="FX537" s="4"/>
      <c r="FY537" s="4"/>
      <c r="FZ537" s="4"/>
      <c r="GA537" s="4"/>
      <c r="GB537" s="4"/>
      <c r="GC537" s="4"/>
      <c r="GD537" s="4"/>
      <c r="GE537" s="4"/>
      <c r="GF537" s="4"/>
      <c r="GG537" s="4"/>
      <c r="GH537" s="4"/>
      <c r="GI537" s="4"/>
      <c r="GJ537" s="4"/>
      <c r="GK537" s="4"/>
      <c r="GL537" s="4"/>
      <c r="GM537" s="4"/>
      <c r="GN537" s="4"/>
      <c r="GO537" s="4"/>
      <c r="GP537" s="4"/>
      <c r="GQ537" s="4"/>
      <c r="GR537" s="4"/>
      <c r="GS537" s="4"/>
      <c r="GT537" s="4"/>
      <c r="GU537" s="4"/>
      <c r="GV537" s="4"/>
      <c r="GW537" s="4"/>
      <c r="GX537" s="4"/>
    </row>
    <row r="538">
      <c r="A538" s="2" t="s">
        <v>3518</v>
      </c>
      <c r="B538" s="2" t="s">
        <v>697</v>
      </c>
      <c r="C538" s="2" t="s">
        <v>698</v>
      </c>
      <c r="D538" s="2" t="s">
        <v>1982</v>
      </c>
      <c r="E538" s="2" t="s">
        <v>1983</v>
      </c>
      <c r="F538" s="2" t="s">
        <v>3519</v>
      </c>
      <c r="G538" s="2" t="s">
        <v>3519</v>
      </c>
      <c r="H538" s="2" t="s">
        <v>227</v>
      </c>
      <c r="I538" s="2" t="s">
        <v>1449</v>
      </c>
      <c r="J538" s="2" t="s">
        <v>257</v>
      </c>
      <c r="K538" s="2" t="s">
        <v>3520</v>
      </c>
      <c r="L538" s="3">
        <v>89.42</v>
      </c>
      <c r="M538" s="3">
        <v>93.89</v>
      </c>
      <c r="N538" s="3">
        <v>179.99</v>
      </c>
      <c r="O538" s="2" t="s">
        <v>224</v>
      </c>
      <c r="P538" s="2" t="s">
        <v>225</v>
      </c>
      <c r="Q538" s="2" t="s">
        <v>226</v>
      </c>
      <c r="R538" s="2" t="s">
        <v>227</v>
      </c>
      <c r="S538" s="2" t="s">
        <v>3521</v>
      </c>
      <c r="T538" s="2" t="s">
        <v>704</v>
      </c>
      <c r="U538" s="2" t="s">
        <v>227</v>
      </c>
      <c r="V538" s="2" t="s">
        <v>230</v>
      </c>
      <c r="W538" s="2" t="s">
        <v>231</v>
      </c>
      <c r="X538" s="2" t="s">
        <v>227</v>
      </c>
      <c r="Y538" s="2" t="s">
        <v>232</v>
      </c>
      <c r="Z538" s="4">
        <v>236</v>
      </c>
      <c r="AA538" s="4">
        <f>=ROUNDDOWN(59,0)</f>
      </c>
      <c r="AB538" s="5">
        <v>4</v>
      </c>
      <c r="AC538" s="2" t="s">
        <v>227</v>
      </c>
      <c r="AD538" s="4"/>
      <c r="AE538" s="4"/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227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/>
      <c r="AW538" s="8"/>
      <c r="AX538" s="4"/>
      <c r="AY538" s="8"/>
      <c r="AZ538" s="7"/>
      <c r="BA538" s="7"/>
      <c r="BB538" s="7"/>
      <c r="BC538" s="4" t="s">
        <v>227</v>
      </c>
      <c r="BD538" s="8" t="s">
        <v>227</v>
      </c>
      <c r="BE538" s="4" t="s">
        <v>227</v>
      </c>
      <c r="BF538" s="8" t="s">
        <v>227</v>
      </c>
      <c r="BG538" s="7" t="s">
        <v>227</v>
      </c>
      <c r="BH538" s="7" t="s">
        <v>227</v>
      </c>
      <c r="BI538" s="7"/>
      <c r="BJ538" s="4">
        <v>2</v>
      </c>
      <c r="BK538" s="8">
        <v>198.58</v>
      </c>
      <c r="BL538" s="2" t="s">
        <v>3522</v>
      </c>
      <c r="BM538" s="7"/>
      <c r="BN538" s="7"/>
      <c r="BO538" s="4"/>
      <c r="BP538" s="8"/>
      <c r="BQ538" s="4"/>
      <c r="BR538" s="8"/>
      <c r="BS538" s="7"/>
      <c r="BT538" s="7"/>
      <c r="BU538" s="2" t="s">
        <v>3523</v>
      </c>
      <c r="BV538" s="2" t="s">
        <v>227</v>
      </c>
      <c r="BW538" s="2" t="s">
        <v>227</v>
      </c>
      <c r="BX538" s="2" t="s">
        <v>2104</v>
      </c>
      <c r="BY538" s="2" t="s">
        <v>236</v>
      </c>
      <c r="BZ538" s="2" t="s">
        <v>224</v>
      </c>
      <c r="CA538" s="2" t="s">
        <v>887</v>
      </c>
      <c r="CB538" s="2" t="s">
        <v>3524</v>
      </c>
      <c r="CC538" s="2" t="s">
        <v>239</v>
      </c>
      <c r="CD538" s="2" t="s">
        <v>227</v>
      </c>
      <c r="CE538" s="4">
        <v>236</v>
      </c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/>
      <c r="FH538" s="4"/>
      <c r="FI538" s="4"/>
      <c r="FJ538" s="4"/>
      <c r="FK538" s="4"/>
      <c r="FL538" s="4"/>
      <c r="FM538" s="4"/>
      <c r="FN538" s="4"/>
      <c r="FO538" s="4"/>
      <c r="FP538" s="4"/>
      <c r="FQ538" s="4"/>
      <c r="FR538" s="4"/>
      <c r="FS538" s="4"/>
      <c r="FT538" s="4"/>
      <c r="FU538" s="4"/>
      <c r="FV538" s="4"/>
      <c r="FW538" s="4"/>
      <c r="FX538" s="4"/>
      <c r="FY538" s="4"/>
      <c r="FZ538" s="4"/>
      <c r="GA538" s="4"/>
      <c r="GB538" s="4"/>
      <c r="GC538" s="4"/>
      <c r="GD538" s="4"/>
      <c r="GE538" s="4"/>
      <c r="GF538" s="4"/>
      <c r="GG538" s="4"/>
      <c r="GH538" s="4"/>
      <c r="GI538" s="4"/>
      <c r="GJ538" s="4"/>
      <c r="GK538" s="4"/>
      <c r="GL538" s="4"/>
      <c r="GM538" s="4"/>
      <c r="GN538" s="4"/>
      <c r="GO538" s="4"/>
      <c r="GP538" s="4"/>
      <c r="GQ538" s="4"/>
      <c r="GR538" s="4"/>
      <c r="GS538" s="4"/>
      <c r="GT538" s="4"/>
      <c r="GU538" s="4"/>
      <c r="GV538" s="4"/>
      <c r="GW538" s="4"/>
      <c r="GX538" s="4"/>
    </row>
    <row r="539">
      <c r="A539" s="2" t="s">
        <v>3525</v>
      </c>
      <c r="B539" s="2" t="s">
        <v>697</v>
      </c>
      <c r="C539" s="2" t="s">
        <v>698</v>
      </c>
      <c r="D539" s="2" t="s">
        <v>1982</v>
      </c>
      <c r="E539" s="2" t="s">
        <v>3093</v>
      </c>
      <c r="F539" s="2" t="s">
        <v>3519</v>
      </c>
      <c r="G539" s="2" t="s">
        <v>3519</v>
      </c>
      <c r="H539" s="2" t="s">
        <v>227</v>
      </c>
      <c r="I539" s="2" t="s">
        <v>1334</v>
      </c>
      <c r="J539" s="2" t="s">
        <v>2854</v>
      </c>
      <c r="K539" s="2" t="s">
        <v>410</v>
      </c>
      <c r="L539" s="3">
        <v>37.72</v>
      </c>
      <c r="M539" s="3">
        <v>39.61</v>
      </c>
      <c r="N539" s="3">
        <v>81.99</v>
      </c>
      <c r="O539" s="2" t="s">
        <v>224</v>
      </c>
      <c r="P539" s="2" t="s">
        <v>225</v>
      </c>
      <c r="Q539" s="2" t="s">
        <v>226</v>
      </c>
      <c r="R539" s="2" t="s">
        <v>227</v>
      </c>
      <c r="S539" s="2" t="s">
        <v>3526</v>
      </c>
      <c r="T539" s="2" t="s">
        <v>704</v>
      </c>
      <c r="U539" s="2" t="s">
        <v>227</v>
      </c>
      <c r="V539" s="2" t="s">
        <v>230</v>
      </c>
      <c r="W539" s="2" t="s">
        <v>231</v>
      </c>
      <c r="X539" s="2" t="s">
        <v>227</v>
      </c>
      <c r="Y539" s="2" t="s">
        <v>232</v>
      </c>
      <c r="Z539" s="4">
        <v>275</v>
      </c>
      <c r="AA539" s="4">
        <f>=ROUNDDOWN(5.72916666666667,0)</f>
      </c>
      <c r="AB539" s="5">
        <v>48</v>
      </c>
      <c r="AC539" s="2" t="s">
        <v>583</v>
      </c>
      <c r="AD539" s="4">
        <v>510</v>
      </c>
      <c r="AE539" s="4">
        <v>1660</v>
      </c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227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/>
      <c r="AW539" s="8"/>
      <c r="AX539" s="4"/>
      <c r="AY539" s="8"/>
      <c r="AZ539" s="7"/>
      <c r="BA539" s="7"/>
      <c r="BB539" s="7"/>
      <c r="BC539" s="4" t="s">
        <v>227</v>
      </c>
      <c r="BD539" s="8" t="s">
        <v>227</v>
      </c>
      <c r="BE539" s="4" t="s">
        <v>227</v>
      </c>
      <c r="BF539" s="8" t="s">
        <v>227</v>
      </c>
      <c r="BG539" s="7" t="s">
        <v>227</v>
      </c>
      <c r="BH539" s="7" t="s">
        <v>227</v>
      </c>
      <c r="BI539" s="7"/>
      <c r="BJ539" s="4">
        <v>9</v>
      </c>
      <c r="BK539" s="8">
        <v>363.04</v>
      </c>
      <c r="BL539" s="2" t="s">
        <v>2107</v>
      </c>
      <c r="BM539" s="7"/>
      <c r="BN539" s="7"/>
      <c r="BO539" s="4"/>
      <c r="BP539" s="8"/>
      <c r="BQ539" s="4"/>
      <c r="BR539" s="8"/>
      <c r="BS539" s="7"/>
      <c r="BT539" s="7"/>
      <c r="BU539" s="2" t="s">
        <v>3527</v>
      </c>
      <c r="BV539" s="2" t="s">
        <v>227</v>
      </c>
      <c r="BW539" s="2" t="s">
        <v>227</v>
      </c>
      <c r="BX539" s="2" t="s">
        <v>235</v>
      </c>
      <c r="BY539" s="2" t="s">
        <v>236</v>
      </c>
      <c r="BZ539" s="2" t="s">
        <v>224</v>
      </c>
      <c r="CA539" s="2" t="s">
        <v>887</v>
      </c>
      <c r="CB539" s="2" t="s">
        <v>3448</v>
      </c>
      <c r="CC539" s="2" t="s">
        <v>239</v>
      </c>
      <c r="CD539" s="2" t="s">
        <v>227</v>
      </c>
      <c r="CE539" s="4">
        <v>275</v>
      </c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>
        <v>510</v>
      </c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>
        <v>660</v>
      </c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  <c r="FM539" s="4"/>
      <c r="FN539" s="4"/>
      <c r="FO539" s="4"/>
      <c r="FP539" s="4"/>
      <c r="FQ539" s="4"/>
      <c r="FR539" s="4"/>
      <c r="FS539" s="4">
        <v>310</v>
      </c>
      <c r="FT539" s="4"/>
      <c r="FU539" s="4"/>
      <c r="FV539" s="4"/>
      <c r="FW539" s="4"/>
      <c r="FX539" s="4"/>
      <c r="FY539" s="4"/>
      <c r="FZ539" s="4"/>
      <c r="GA539" s="4"/>
      <c r="GB539" s="4"/>
      <c r="GC539" s="4"/>
      <c r="GD539" s="4"/>
      <c r="GE539" s="4"/>
      <c r="GF539" s="4"/>
      <c r="GG539" s="4"/>
      <c r="GH539" s="4"/>
      <c r="GI539" s="4"/>
      <c r="GJ539" s="4"/>
      <c r="GK539" s="4"/>
      <c r="GL539" s="4"/>
      <c r="GM539" s="4">
        <v>180</v>
      </c>
      <c r="GN539" s="4"/>
      <c r="GO539" s="4"/>
      <c r="GP539" s="4"/>
      <c r="GQ539" s="4"/>
      <c r="GR539" s="4"/>
      <c r="GS539" s="4"/>
      <c r="GT539" s="4"/>
      <c r="GU539" s="4"/>
      <c r="GV539" s="4"/>
      <c r="GW539" s="4"/>
      <c r="GX539" s="4"/>
    </row>
    <row r="540">
      <c r="A540" s="2" t="s">
        <v>3528</v>
      </c>
      <c r="B540" s="2" t="s">
        <v>697</v>
      </c>
      <c r="C540" s="2" t="s">
        <v>698</v>
      </c>
      <c r="D540" s="2" t="s">
        <v>1982</v>
      </c>
      <c r="E540" s="2" t="s">
        <v>1983</v>
      </c>
      <c r="F540" s="2" t="s">
        <v>3519</v>
      </c>
      <c r="G540" s="2" t="s">
        <v>3519</v>
      </c>
      <c r="H540" s="2" t="s">
        <v>227</v>
      </c>
      <c r="I540" s="2" t="s">
        <v>1449</v>
      </c>
      <c r="J540" s="2" t="s">
        <v>247</v>
      </c>
      <c r="K540" s="2" t="s">
        <v>827</v>
      </c>
      <c r="L540" s="3">
        <v>59.61</v>
      </c>
      <c r="M540" s="3">
        <v>62.59</v>
      </c>
      <c r="N540" s="3">
        <v>119.99</v>
      </c>
      <c r="O540" s="2" t="s">
        <v>224</v>
      </c>
      <c r="P540" s="2" t="s">
        <v>225</v>
      </c>
      <c r="Q540" s="2" t="s">
        <v>226</v>
      </c>
      <c r="R540" s="2" t="s">
        <v>227</v>
      </c>
      <c r="S540" s="2" t="s">
        <v>3529</v>
      </c>
      <c r="T540" s="2" t="s">
        <v>704</v>
      </c>
      <c r="U540" s="2" t="s">
        <v>227</v>
      </c>
      <c r="V540" s="2" t="s">
        <v>230</v>
      </c>
      <c r="W540" s="2" t="s">
        <v>231</v>
      </c>
      <c r="X540" s="2" t="s">
        <v>227</v>
      </c>
      <c r="Y540" s="2" t="s">
        <v>232</v>
      </c>
      <c r="Z540" s="4">
        <v>289</v>
      </c>
      <c r="AA540" s="4">
        <f>=ROUNDDOWN(96.3333333333333,0)</f>
      </c>
      <c r="AB540" s="5">
        <v>3</v>
      </c>
      <c r="AC540" s="2" t="s">
        <v>227</v>
      </c>
      <c r="AD540" s="4"/>
      <c r="AE540" s="4"/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227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227</v>
      </c>
      <c r="AW540" s="8" t="s">
        <v>227</v>
      </c>
      <c r="AX540" s="4" t="s">
        <v>227</v>
      </c>
      <c r="AY540" s="8" t="s">
        <v>227</v>
      </c>
      <c r="AZ540" s="7" t="s">
        <v>227</v>
      </c>
      <c r="BA540" s="7" t="s">
        <v>227</v>
      </c>
      <c r="BB540" s="7"/>
      <c r="BC540" s="4" t="s">
        <v>227</v>
      </c>
      <c r="BD540" s="8" t="s">
        <v>227</v>
      </c>
      <c r="BE540" s="4" t="s">
        <v>227</v>
      </c>
      <c r="BF540" s="8" t="s">
        <v>227</v>
      </c>
      <c r="BG540" s="7" t="s">
        <v>227</v>
      </c>
      <c r="BH540" s="7" t="s">
        <v>227</v>
      </c>
      <c r="BI540" s="7"/>
      <c r="BJ540" s="4">
        <v>1</v>
      </c>
      <c r="BK540" s="8">
        <v>65.72</v>
      </c>
      <c r="BL540" s="2" t="s">
        <v>3530</v>
      </c>
      <c r="BM540" s="7"/>
      <c r="BN540" s="7"/>
      <c r="BO540" s="4"/>
      <c r="BP540" s="8"/>
      <c r="BQ540" s="4"/>
      <c r="BR540" s="8"/>
      <c r="BS540" s="7"/>
      <c r="BT540" s="7"/>
      <c r="BU540" s="2" t="s">
        <v>3531</v>
      </c>
      <c r="BV540" s="2" t="s">
        <v>227</v>
      </c>
      <c r="BW540" s="2" t="s">
        <v>227</v>
      </c>
      <c r="BX540" s="2" t="s">
        <v>2104</v>
      </c>
      <c r="BY540" s="2" t="s">
        <v>236</v>
      </c>
      <c r="BZ540" s="2" t="s">
        <v>224</v>
      </c>
      <c r="CA540" s="2" t="s">
        <v>887</v>
      </c>
      <c r="CB540" s="2" t="s">
        <v>3281</v>
      </c>
      <c r="CC540" s="2" t="s">
        <v>239</v>
      </c>
      <c r="CD540" s="2" t="s">
        <v>227</v>
      </c>
      <c r="CE540" s="4">
        <v>289</v>
      </c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/>
      <c r="FH540" s="4"/>
      <c r="FI540" s="4"/>
      <c r="FJ540" s="4"/>
      <c r="FK540" s="4"/>
      <c r="FL540" s="4"/>
      <c r="FM540" s="4"/>
      <c r="FN540" s="4"/>
      <c r="FO540" s="4"/>
      <c r="FP540" s="4"/>
      <c r="FQ540" s="4"/>
      <c r="FR540" s="4"/>
      <c r="FS540" s="4"/>
      <c r="FT540" s="4"/>
      <c r="FU540" s="4"/>
      <c r="FV540" s="4"/>
      <c r="FW540" s="4"/>
      <c r="FX540" s="4"/>
      <c r="FY540" s="4"/>
      <c r="FZ540" s="4"/>
      <c r="GA540" s="4"/>
      <c r="GB540" s="4"/>
      <c r="GC540" s="4"/>
      <c r="GD540" s="4"/>
      <c r="GE540" s="4"/>
      <c r="GF540" s="4"/>
      <c r="GG540" s="4"/>
      <c r="GH540" s="4"/>
      <c r="GI540" s="4"/>
      <c r="GJ540" s="4"/>
      <c r="GK540" s="4"/>
      <c r="GL540" s="4"/>
      <c r="GM540" s="4"/>
      <c r="GN540" s="4"/>
      <c r="GO540" s="4"/>
      <c r="GP540" s="4"/>
      <c r="GQ540" s="4"/>
      <c r="GR540" s="4"/>
      <c r="GS540" s="4"/>
      <c r="GT540" s="4"/>
      <c r="GU540" s="4"/>
      <c r="GV540" s="4"/>
      <c r="GW540" s="4"/>
      <c r="GX540" s="4"/>
    </row>
    <row r="541">
      <c r="A541" s="2" t="s">
        <v>3532</v>
      </c>
      <c r="B541" s="2" t="s">
        <v>697</v>
      </c>
      <c r="C541" s="2" t="s">
        <v>698</v>
      </c>
      <c r="D541" s="2" t="s">
        <v>1982</v>
      </c>
      <c r="E541" s="2" t="s">
        <v>1983</v>
      </c>
      <c r="F541" s="2" t="s">
        <v>3519</v>
      </c>
      <c r="G541" s="2" t="s">
        <v>3519</v>
      </c>
      <c r="H541" s="2" t="s">
        <v>227</v>
      </c>
      <c r="I541" s="2" t="s">
        <v>1449</v>
      </c>
      <c r="J541" s="2" t="s">
        <v>252</v>
      </c>
      <c r="K541" s="2" t="s">
        <v>827</v>
      </c>
      <c r="L541" s="3">
        <v>79.48</v>
      </c>
      <c r="M541" s="3">
        <v>83.45</v>
      </c>
      <c r="N541" s="3">
        <v>159.99</v>
      </c>
      <c r="O541" s="2" t="s">
        <v>224</v>
      </c>
      <c r="P541" s="2" t="s">
        <v>225</v>
      </c>
      <c r="Q541" s="2" t="s">
        <v>226</v>
      </c>
      <c r="R541" s="2" t="s">
        <v>227</v>
      </c>
      <c r="S541" s="2" t="s">
        <v>3529</v>
      </c>
      <c r="T541" s="2" t="s">
        <v>704</v>
      </c>
      <c r="U541" s="2" t="s">
        <v>227</v>
      </c>
      <c r="V541" s="2" t="s">
        <v>230</v>
      </c>
      <c r="W541" s="2" t="s">
        <v>231</v>
      </c>
      <c r="X541" s="2" t="s">
        <v>227</v>
      </c>
      <c r="Y541" s="2" t="s">
        <v>232</v>
      </c>
      <c r="Z541" s="4">
        <v>487</v>
      </c>
      <c r="AA541" s="4">
        <f>=ROUNDDOWN(69.5714285714286,0)</f>
      </c>
      <c r="AB541" s="5">
        <v>7</v>
      </c>
      <c r="AC541" s="2" t="s">
        <v>227</v>
      </c>
      <c r="AD541" s="4"/>
      <c r="AE541" s="4"/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227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227</v>
      </c>
      <c r="AW541" s="8" t="s">
        <v>227</v>
      </c>
      <c r="AX541" s="4" t="s">
        <v>227</v>
      </c>
      <c r="AY541" s="8" t="s">
        <v>227</v>
      </c>
      <c r="AZ541" s="7" t="s">
        <v>227</v>
      </c>
      <c r="BA541" s="7" t="s">
        <v>227</v>
      </c>
      <c r="BB541" s="7"/>
      <c r="BC541" s="4" t="s">
        <v>227</v>
      </c>
      <c r="BD541" s="8" t="s">
        <v>227</v>
      </c>
      <c r="BE541" s="4" t="s">
        <v>227</v>
      </c>
      <c r="BF541" s="8" t="s">
        <v>227</v>
      </c>
      <c r="BG541" s="7" t="s">
        <v>227</v>
      </c>
      <c r="BH541" s="7" t="s">
        <v>227</v>
      </c>
      <c r="BI541" s="7"/>
      <c r="BJ541" s="4">
        <v>4</v>
      </c>
      <c r="BK541" s="8">
        <v>358.6</v>
      </c>
      <c r="BL541" s="2" t="s">
        <v>3533</v>
      </c>
      <c r="BM541" s="7"/>
      <c r="BN541" s="7"/>
      <c r="BO541" s="4"/>
      <c r="BP541" s="8"/>
      <c r="BQ541" s="4"/>
      <c r="BR541" s="8"/>
      <c r="BS541" s="7"/>
      <c r="BT541" s="7"/>
      <c r="BU541" s="2" t="s">
        <v>3534</v>
      </c>
      <c r="BV541" s="2" t="s">
        <v>227</v>
      </c>
      <c r="BW541" s="2" t="s">
        <v>227</v>
      </c>
      <c r="BX541" s="2" t="s">
        <v>2104</v>
      </c>
      <c r="BY541" s="2" t="s">
        <v>236</v>
      </c>
      <c r="BZ541" s="2" t="s">
        <v>224</v>
      </c>
      <c r="CA541" s="2" t="s">
        <v>887</v>
      </c>
      <c r="CB541" s="2" t="s">
        <v>910</v>
      </c>
      <c r="CC541" s="2" t="s">
        <v>239</v>
      </c>
      <c r="CD541" s="2" t="s">
        <v>227</v>
      </c>
      <c r="CE541" s="4">
        <v>431</v>
      </c>
      <c r="CF541" s="4">
        <v>56</v>
      </c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  <c r="FM541" s="4"/>
      <c r="FN541" s="4"/>
      <c r="FO541" s="4"/>
      <c r="FP541" s="4"/>
      <c r="FQ541" s="4"/>
      <c r="FR541" s="4"/>
      <c r="FS541" s="4"/>
      <c r="FT541" s="4"/>
      <c r="FU541" s="4"/>
      <c r="FV541" s="4"/>
      <c r="FW541" s="4"/>
      <c r="FX541" s="4"/>
      <c r="FY541" s="4"/>
      <c r="FZ541" s="4"/>
      <c r="GA541" s="4"/>
      <c r="GB541" s="4"/>
      <c r="GC541" s="4"/>
      <c r="GD541" s="4"/>
      <c r="GE541" s="4"/>
      <c r="GF541" s="4"/>
      <c r="GG541" s="4"/>
      <c r="GH541" s="4"/>
      <c r="GI541" s="4"/>
      <c r="GJ541" s="4"/>
      <c r="GK541" s="4"/>
      <c r="GL541" s="4"/>
      <c r="GM541" s="4"/>
      <c r="GN541" s="4"/>
      <c r="GO541" s="4"/>
      <c r="GP541" s="4"/>
      <c r="GQ541" s="4"/>
      <c r="GR541" s="4"/>
      <c r="GS541" s="4"/>
      <c r="GT541" s="4"/>
      <c r="GU541" s="4"/>
      <c r="GV541" s="4"/>
      <c r="GW541" s="4"/>
      <c r="GX541" s="4"/>
    </row>
    <row r="542">
      <c r="A542" s="2" t="s">
        <v>3535</v>
      </c>
      <c r="B542" s="2" t="s">
        <v>216</v>
      </c>
      <c r="C542" s="2" t="s">
        <v>2227</v>
      </c>
      <c r="D542" s="2" t="s">
        <v>687</v>
      </c>
      <c r="E542" s="2" t="s">
        <v>3536</v>
      </c>
      <c r="F542" s="2" t="s">
        <v>3537</v>
      </c>
      <c r="G542" s="2" t="s">
        <v>3537</v>
      </c>
      <c r="H542" s="2" t="s">
        <v>3537</v>
      </c>
      <c r="I542" s="2" t="s">
        <v>3538</v>
      </c>
      <c r="J542" s="2" t="s">
        <v>1304</v>
      </c>
      <c r="K542" s="2" t="s">
        <v>1509</v>
      </c>
      <c r="L542" s="3">
        <v>35.71</v>
      </c>
      <c r="M542" s="3">
        <v>37.5</v>
      </c>
      <c r="N542" s="3">
        <v>74.99</v>
      </c>
      <c r="O542" s="2" t="s">
        <v>224</v>
      </c>
      <c r="P542" s="2" t="s">
        <v>225</v>
      </c>
      <c r="Q542" s="2" t="s">
        <v>226</v>
      </c>
      <c r="R542" s="2" t="s">
        <v>227</v>
      </c>
      <c r="S542" s="2" t="s">
        <v>3539</v>
      </c>
      <c r="T542" s="2" t="s">
        <v>375</v>
      </c>
      <c r="U542" s="2" t="s">
        <v>552</v>
      </c>
      <c r="V542" s="2" t="s">
        <v>230</v>
      </c>
      <c r="W542" s="2" t="s">
        <v>231</v>
      </c>
      <c r="X542" s="2" t="s">
        <v>227</v>
      </c>
      <c r="Y542" s="2" t="s">
        <v>1446</v>
      </c>
      <c r="Z542" s="4">
        <v>303</v>
      </c>
      <c r="AA542" s="4">
        <f>=ROUNDDOWN(75.75,0)</f>
      </c>
      <c r="AB542" s="5">
        <v>4</v>
      </c>
      <c r="AC542" s="2" t="s">
        <v>227</v>
      </c>
      <c r="AD542" s="4"/>
      <c r="AE542" s="4"/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227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227</v>
      </c>
      <c r="AW542" s="8" t="s">
        <v>227</v>
      </c>
      <c r="AX542" s="4" t="s">
        <v>227</v>
      </c>
      <c r="AY542" s="8" t="s">
        <v>227</v>
      </c>
      <c r="AZ542" s="7" t="s">
        <v>227</v>
      </c>
      <c r="BA542" s="7" t="s">
        <v>227</v>
      </c>
      <c r="BB542" s="7"/>
      <c r="BC542" s="4" t="s">
        <v>227</v>
      </c>
      <c r="BD542" s="8" t="s">
        <v>227</v>
      </c>
      <c r="BE542" s="4" t="s">
        <v>227</v>
      </c>
      <c r="BF542" s="8" t="s">
        <v>227</v>
      </c>
      <c r="BG542" s="7" t="s">
        <v>227</v>
      </c>
      <c r="BH542" s="7" t="s">
        <v>227</v>
      </c>
      <c r="BI542" s="7"/>
      <c r="BJ542" s="4">
        <v>9</v>
      </c>
      <c r="BK542" s="8">
        <v>353.62</v>
      </c>
      <c r="BL542" s="2" t="s">
        <v>3540</v>
      </c>
      <c r="BM542" s="7"/>
      <c r="BN542" s="7"/>
      <c r="BO542" s="4"/>
      <c r="BP542" s="8"/>
      <c r="BQ542" s="4"/>
      <c r="BR542" s="8"/>
      <c r="BS542" s="7"/>
      <c r="BT542" s="7"/>
      <c r="BU542" s="2" t="s">
        <v>3541</v>
      </c>
      <c r="BV542" s="2" t="s">
        <v>227</v>
      </c>
      <c r="BW542" s="2" t="s">
        <v>227</v>
      </c>
      <c r="BX542" s="2" t="s">
        <v>235</v>
      </c>
      <c r="BY542" s="2" t="s">
        <v>236</v>
      </c>
      <c r="BZ542" s="2" t="s">
        <v>224</v>
      </c>
      <c r="CA542" s="2" t="s">
        <v>1919</v>
      </c>
      <c r="CB542" s="2" t="s">
        <v>3542</v>
      </c>
      <c r="CC542" s="2" t="s">
        <v>239</v>
      </c>
      <c r="CD542" s="2" t="s">
        <v>227</v>
      </c>
      <c r="CE542" s="4">
        <v>303</v>
      </c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/>
      <c r="FH542" s="4"/>
      <c r="FI542" s="4"/>
      <c r="FJ542" s="4"/>
      <c r="FK542" s="4"/>
      <c r="FL542" s="4"/>
      <c r="FM542" s="4"/>
      <c r="FN542" s="4"/>
      <c r="FO542" s="4"/>
      <c r="FP542" s="4"/>
      <c r="FQ542" s="4"/>
      <c r="FR542" s="4"/>
      <c r="FS542" s="4"/>
      <c r="FT542" s="4"/>
      <c r="FU542" s="4"/>
      <c r="FV542" s="4"/>
      <c r="FW542" s="4"/>
      <c r="FX542" s="4"/>
      <c r="FY542" s="4"/>
      <c r="FZ542" s="4"/>
      <c r="GA542" s="4"/>
      <c r="GB542" s="4"/>
      <c r="GC542" s="4"/>
      <c r="GD542" s="4"/>
      <c r="GE542" s="4"/>
      <c r="GF542" s="4"/>
      <c r="GG542" s="4"/>
      <c r="GH542" s="4"/>
      <c r="GI542" s="4"/>
      <c r="GJ542" s="4"/>
      <c r="GK542" s="4"/>
      <c r="GL542" s="4"/>
      <c r="GM542" s="4"/>
      <c r="GN542" s="4"/>
      <c r="GO542" s="4"/>
      <c r="GP542" s="4"/>
      <c r="GQ542" s="4"/>
      <c r="GR542" s="4"/>
      <c r="GS542" s="4"/>
      <c r="GT542" s="4"/>
      <c r="GU542" s="4"/>
      <c r="GV542" s="4"/>
      <c r="GW542" s="4"/>
      <c r="GX542" s="4"/>
    </row>
    <row r="543">
      <c r="A543" s="2" t="s">
        <v>3543</v>
      </c>
      <c r="B543" s="2" t="s">
        <v>216</v>
      </c>
      <c r="C543" s="2" t="s">
        <v>2227</v>
      </c>
      <c r="D543" s="2" t="s">
        <v>687</v>
      </c>
      <c r="E543" s="2" t="s">
        <v>3536</v>
      </c>
      <c r="F543" s="2" t="s">
        <v>3537</v>
      </c>
      <c r="G543" s="2" t="s">
        <v>3537</v>
      </c>
      <c r="H543" s="2" t="s">
        <v>3537</v>
      </c>
      <c r="I543" s="2" t="s">
        <v>3538</v>
      </c>
      <c r="J543" s="2" t="s">
        <v>626</v>
      </c>
      <c r="K543" s="2" t="s">
        <v>1509</v>
      </c>
      <c r="L543" s="3">
        <v>45.23</v>
      </c>
      <c r="M543" s="3">
        <v>47.49</v>
      </c>
      <c r="N543" s="3">
        <v>94.99</v>
      </c>
      <c r="O543" s="2" t="s">
        <v>224</v>
      </c>
      <c r="P543" s="2" t="s">
        <v>225</v>
      </c>
      <c r="Q543" s="2" t="s">
        <v>226</v>
      </c>
      <c r="R543" s="2" t="s">
        <v>227</v>
      </c>
      <c r="S543" s="2" t="s">
        <v>3539</v>
      </c>
      <c r="T543" s="2" t="s">
        <v>375</v>
      </c>
      <c r="U543" s="2" t="s">
        <v>552</v>
      </c>
      <c r="V543" s="2" t="s">
        <v>230</v>
      </c>
      <c r="W543" s="2" t="s">
        <v>231</v>
      </c>
      <c r="X543" s="2" t="s">
        <v>227</v>
      </c>
      <c r="Y543" s="2" t="s">
        <v>1446</v>
      </c>
      <c r="Z543" s="4">
        <v>368</v>
      </c>
      <c r="AA543" s="4">
        <f>=ROUNDDOWN(92,0)</f>
      </c>
      <c r="AB543" s="5">
        <v>4</v>
      </c>
      <c r="AC543" s="2" t="s">
        <v>227</v>
      </c>
      <c r="AD543" s="4"/>
      <c r="AE543" s="4"/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227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227</v>
      </c>
      <c r="AW543" s="8" t="s">
        <v>227</v>
      </c>
      <c r="AX543" s="4" t="s">
        <v>227</v>
      </c>
      <c r="AY543" s="8" t="s">
        <v>227</v>
      </c>
      <c r="AZ543" s="7" t="s">
        <v>227</v>
      </c>
      <c r="BA543" s="7" t="s">
        <v>227</v>
      </c>
      <c r="BB543" s="7"/>
      <c r="BC543" s="4" t="s">
        <v>227</v>
      </c>
      <c r="BD543" s="8" t="s">
        <v>227</v>
      </c>
      <c r="BE543" s="4" t="s">
        <v>227</v>
      </c>
      <c r="BF543" s="8" t="s">
        <v>227</v>
      </c>
      <c r="BG543" s="7" t="s">
        <v>227</v>
      </c>
      <c r="BH543" s="7" t="s">
        <v>227</v>
      </c>
      <c r="BI543" s="7"/>
      <c r="BJ543" s="4">
        <v>14</v>
      </c>
      <c r="BK543" s="8">
        <v>687.92</v>
      </c>
      <c r="BL543" s="2" t="s">
        <v>631</v>
      </c>
      <c r="BM543" s="7"/>
      <c r="BN543" s="7"/>
      <c r="BO543" s="4"/>
      <c r="BP543" s="8"/>
      <c r="BQ543" s="4"/>
      <c r="BR543" s="8"/>
      <c r="BS543" s="7"/>
      <c r="BT543" s="7"/>
      <c r="BU543" s="2" t="s">
        <v>3544</v>
      </c>
      <c r="BV543" s="2" t="s">
        <v>227</v>
      </c>
      <c r="BW543" s="2" t="s">
        <v>227</v>
      </c>
      <c r="BX543" s="2" t="s">
        <v>235</v>
      </c>
      <c r="BY543" s="2" t="s">
        <v>236</v>
      </c>
      <c r="BZ543" s="2" t="s">
        <v>224</v>
      </c>
      <c r="CA543" s="2" t="s">
        <v>1919</v>
      </c>
      <c r="CB543" s="2" t="s">
        <v>998</v>
      </c>
      <c r="CC543" s="2" t="s">
        <v>239</v>
      </c>
      <c r="CD543" s="2" t="s">
        <v>227</v>
      </c>
      <c r="CE543" s="4">
        <v>368</v>
      </c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  <c r="FM543" s="4"/>
      <c r="FN543" s="4"/>
      <c r="FO543" s="4"/>
      <c r="FP543" s="4"/>
      <c r="FQ543" s="4"/>
      <c r="FR543" s="4"/>
      <c r="FS543" s="4"/>
      <c r="FT543" s="4"/>
      <c r="FU543" s="4"/>
      <c r="FV543" s="4"/>
      <c r="FW543" s="4"/>
      <c r="FX543" s="4"/>
      <c r="FY543" s="4"/>
      <c r="FZ543" s="4"/>
      <c r="GA543" s="4"/>
      <c r="GB543" s="4"/>
      <c r="GC543" s="4"/>
      <c r="GD543" s="4"/>
      <c r="GE543" s="4"/>
      <c r="GF543" s="4"/>
      <c r="GG543" s="4"/>
      <c r="GH543" s="4"/>
      <c r="GI543" s="4"/>
      <c r="GJ543" s="4"/>
      <c r="GK543" s="4"/>
      <c r="GL543" s="4"/>
      <c r="GM543" s="4"/>
      <c r="GN543" s="4"/>
      <c r="GO543" s="4"/>
      <c r="GP543" s="4"/>
      <c r="GQ543" s="4"/>
      <c r="GR543" s="4"/>
      <c r="GS543" s="4"/>
      <c r="GT543" s="4"/>
      <c r="GU543" s="4"/>
      <c r="GV543" s="4"/>
      <c r="GW543" s="4"/>
      <c r="GX543" s="4"/>
    </row>
    <row r="544">
      <c r="A544" s="2" t="s">
        <v>3545</v>
      </c>
      <c r="B544" s="2" t="s">
        <v>216</v>
      </c>
      <c r="C544" s="2" t="s">
        <v>2227</v>
      </c>
      <c r="D544" s="2" t="s">
        <v>687</v>
      </c>
      <c r="E544" s="2" t="s">
        <v>3536</v>
      </c>
      <c r="F544" s="2" t="s">
        <v>3537</v>
      </c>
      <c r="G544" s="2" t="s">
        <v>3537</v>
      </c>
      <c r="H544" s="2" t="s">
        <v>3537</v>
      </c>
      <c r="I544" s="2" t="s">
        <v>3538</v>
      </c>
      <c r="J544" s="2" t="s">
        <v>682</v>
      </c>
      <c r="K544" s="2" t="s">
        <v>1509</v>
      </c>
      <c r="L544" s="3">
        <v>52.38</v>
      </c>
      <c r="M544" s="3">
        <v>55</v>
      </c>
      <c r="N544" s="3">
        <v>109.99</v>
      </c>
      <c r="O544" s="2" t="s">
        <v>224</v>
      </c>
      <c r="P544" s="2" t="s">
        <v>225</v>
      </c>
      <c r="Q544" s="2" t="s">
        <v>226</v>
      </c>
      <c r="R544" s="2" t="s">
        <v>227</v>
      </c>
      <c r="S544" s="2" t="s">
        <v>3539</v>
      </c>
      <c r="T544" s="2" t="s">
        <v>375</v>
      </c>
      <c r="U544" s="2" t="s">
        <v>552</v>
      </c>
      <c r="V544" s="2" t="s">
        <v>230</v>
      </c>
      <c r="W544" s="2" t="s">
        <v>231</v>
      </c>
      <c r="X544" s="2" t="s">
        <v>227</v>
      </c>
      <c r="Y544" s="2" t="s">
        <v>1446</v>
      </c>
      <c r="Z544" s="4">
        <v>320</v>
      </c>
      <c r="AA544" s="4">
        <f>=ROUNDDOWN(40,0)</f>
      </c>
      <c r="AB544" s="5">
        <v>8</v>
      </c>
      <c r="AC544" s="2" t="s">
        <v>227</v>
      </c>
      <c r="AD544" s="4"/>
      <c r="AE544" s="4"/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227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227</v>
      </c>
      <c r="AW544" s="8" t="s">
        <v>227</v>
      </c>
      <c r="AX544" s="4" t="s">
        <v>227</v>
      </c>
      <c r="AY544" s="8" t="s">
        <v>227</v>
      </c>
      <c r="AZ544" s="7" t="s">
        <v>227</v>
      </c>
      <c r="BA544" s="7" t="s">
        <v>227</v>
      </c>
      <c r="BB544" s="7"/>
      <c r="BC544" s="4" t="s">
        <v>227</v>
      </c>
      <c r="BD544" s="8" t="s">
        <v>227</v>
      </c>
      <c r="BE544" s="4" t="s">
        <v>227</v>
      </c>
      <c r="BF544" s="8" t="s">
        <v>227</v>
      </c>
      <c r="BG544" s="7" t="s">
        <v>227</v>
      </c>
      <c r="BH544" s="7" t="s">
        <v>227</v>
      </c>
      <c r="BI544" s="7"/>
      <c r="BJ544" s="4">
        <v>11</v>
      </c>
      <c r="BK544" s="8">
        <v>672.27</v>
      </c>
      <c r="BL544" s="2" t="s">
        <v>3546</v>
      </c>
      <c r="BM544" s="7"/>
      <c r="BN544" s="7"/>
      <c r="BO544" s="4"/>
      <c r="BP544" s="8"/>
      <c r="BQ544" s="4"/>
      <c r="BR544" s="8"/>
      <c r="BS544" s="7"/>
      <c r="BT544" s="7"/>
      <c r="BU544" s="2" t="s">
        <v>3547</v>
      </c>
      <c r="BV544" s="2" t="s">
        <v>227</v>
      </c>
      <c r="BW544" s="2" t="s">
        <v>227</v>
      </c>
      <c r="BX544" s="2" t="s">
        <v>235</v>
      </c>
      <c r="BY544" s="2" t="s">
        <v>236</v>
      </c>
      <c r="BZ544" s="2" t="s">
        <v>224</v>
      </c>
      <c r="CA544" s="2" t="s">
        <v>1919</v>
      </c>
      <c r="CB544" s="2" t="s">
        <v>3548</v>
      </c>
      <c r="CC544" s="2" t="s">
        <v>239</v>
      </c>
      <c r="CD544" s="2" t="s">
        <v>227</v>
      </c>
      <c r="CE544" s="4">
        <v>320</v>
      </c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  <c r="FM544" s="4"/>
      <c r="FN544" s="4"/>
      <c r="FO544" s="4"/>
      <c r="FP544" s="4"/>
      <c r="FQ544" s="4"/>
      <c r="FR544" s="4"/>
      <c r="FS544" s="4"/>
      <c r="FT544" s="4"/>
      <c r="FU544" s="4"/>
      <c r="FV544" s="4"/>
      <c r="FW544" s="4"/>
      <c r="FX544" s="4"/>
      <c r="FY544" s="4"/>
      <c r="FZ544" s="4"/>
      <c r="GA544" s="4"/>
      <c r="GB544" s="4"/>
      <c r="GC544" s="4"/>
      <c r="GD544" s="4"/>
      <c r="GE544" s="4"/>
      <c r="GF544" s="4"/>
      <c r="GG544" s="4"/>
      <c r="GH544" s="4"/>
      <c r="GI544" s="4"/>
      <c r="GJ544" s="4"/>
      <c r="GK544" s="4"/>
      <c r="GL544" s="4"/>
      <c r="GM544" s="4"/>
      <c r="GN544" s="4"/>
      <c r="GO544" s="4"/>
      <c r="GP544" s="4"/>
      <c r="GQ544" s="4"/>
      <c r="GR544" s="4"/>
      <c r="GS544" s="4"/>
      <c r="GT544" s="4"/>
      <c r="GU544" s="4"/>
      <c r="GV544" s="4"/>
      <c r="GW544" s="4"/>
      <c r="GX544" s="4"/>
    </row>
    <row r="545">
      <c r="A545" s="2" t="s">
        <v>3549</v>
      </c>
      <c r="B545" s="2" t="s">
        <v>216</v>
      </c>
      <c r="C545" s="2" t="s">
        <v>2227</v>
      </c>
      <c r="D545" s="2" t="s">
        <v>687</v>
      </c>
      <c r="E545" s="2" t="s">
        <v>3536</v>
      </c>
      <c r="F545" s="2" t="s">
        <v>3537</v>
      </c>
      <c r="G545" s="2" t="s">
        <v>3537</v>
      </c>
      <c r="H545" s="2" t="s">
        <v>3537</v>
      </c>
      <c r="I545" s="2" t="s">
        <v>3538</v>
      </c>
      <c r="J545" s="2" t="s">
        <v>626</v>
      </c>
      <c r="K545" s="2" t="s">
        <v>1780</v>
      </c>
      <c r="L545" s="3">
        <v>45.23</v>
      </c>
      <c r="M545" s="3">
        <v>47.49</v>
      </c>
      <c r="N545" s="3">
        <v>94.99</v>
      </c>
      <c r="O545" s="2" t="s">
        <v>224</v>
      </c>
      <c r="P545" s="2" t="s">
        <v>225</v>
      </c>
      <c r="Q545" s="2" t="s">
        <v>226</v>
      </c>
      <c r="R545" s="2" t="s">
        <v>227</v>
      </c>
      <c r="S545" s="2" t="s">
        <v>3550</v>
      </c>
      <c r="T545" s="2" t="s">
        <v>375</v>
      </c>
      <c r="U545" s="2" t="s">
        <v>552</v>
      </c>
      <c r="V545" s="2" t="s">
        <v>230</v>
      </c>
      <c r="W545" s="2" t="s">
        <v>231</v>
      </c>
      <c r="X545" s="2" t="s">
        <v>227</v>
      </c>
      <c r="Y545" s="2" t="s">
        <v>1446</v>
      </c>
      <c r="Z545" s="4">
        <v>351</v>
      </c>
      <c r="AA545" s="4">
        <f>=ROUNDDOWN(58.5,0)</f>
      </c>
      <c r="AB545" s="5">
        <v>6</v>
      </c>
      <c r="AC545" s="2" t="s">
        <v>227</v>
      </c>
      <c r="AD545" s="4"/>
      <c r="AE545" s="4"/>
      <c r="AF545" s="6">
        <v>65</v>
      </c>
      <c r="AG545" s="6"/>
      <c r="AH545" s="7">
        <v>1</v>
      </c>
      <c r="AI545" s="4"/>
      <c r="AJ545" s="4">
        <f>=ROUNDDOWN({0},0)</f>
      </c>
      <c r="AK545" s="5"/>
      <c r="AL545" s="2" t="s">
        <v>227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227</v>
      </c>
      <c r="AW545" s="8" t="s">
        <v>227</v>
      </c>
      <c r="AX545" s="4" t="s">
        <v>227</v>
      </c>
      <c r="AY545" s="8" t="s">
        <v>227</v>
      </c>
      <c r="AZ545" s="7" t="s">
        <v>227</v>
      </c>
      <c r="BA545" s="7" t="s">
        <v>227</v>
      </c>
      <c r="BB545" s="7"/>
      <c r="BC545" s="4" t="s">
        <v>227</v>
      </c>
      <c r="BD545" s="8" t="s">
        <v>227</v>
      </c>
      <c r="BE545" s="4" t="s">
        <v>227</v>
      </c>
      <c r="BF545" s="8" t="s">
        <v>227</v>
      </c>
      <c r="BG545" s="7" t="s">
        <v>227</v>
      </c>
      <c r="BH545" s="7" t="s">
        <v>227</v>
      </c>
      <c r="BI545" s="7"/>
      <c r="BJ545" s="4">
        <v>20</v>
      </c>
      <c r="BK545" s="8">
        <v>996.36</v>
      </c>
      <c r="BL545" s="2" t="s">
        <v>3551</v>
      </c>
      <c r="BM545" s="7"/>
      <c r="BN545" s="7"/>
      <c r="BO545" s="4"/>
      <c r="BP545" s="8"/>
      <c r="BQ545" s="4"/>
      <c r="BR545" s="8"/>
      <c r="BS545" s="7"/>
      <c r="BT545" s="7"/>
      <c r="BU545" s="2" t="s">
        <v>3552</v>
      </c>
      <c r="BV545" s="2" t="s">
        <v>227</v>
      </c>
      <c r="BW545" s="2" t="s">
        <v>227</v>
      </c>
      <c r="BX545" s="2" t="s">
        <v>235</v>
      </c>
      <c r="BY545" s="2" t="s">
        <v>236</v>
      </c>
      <c r="BZ545" s="2" t="s">
        <v>224</v>
      </c>
      <c r="CA545" s="2" t="s">
        <v>1919</v>
      </c>
      <c r="CB545" s="2" t="s">
        <v>3553</v>
      </c>
      <c r="CC545" s="2" t="s">
        <v>239</v>
      </c>
      <c r="CD545" s="2" t="s">
        <v>227</v>
      </c>
      <c r="CE545" s="4">
        <v>351</v>
      </c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  <c r="FM545" s="4"/>
      <c r="FN545" s="4"/>
      <c r="FO545" s="4"/>
      <c r="FP545" s="4"/>
      <c r="FQ545" s="4"/>
      <c r="FR545" s="4"/>
      <c r="FS545" s="4"/>
      <c r="FT545" s="4"/>
      <c r="FU545" s="4"/>
      <c r="FV545" s="4"/>
      <c r="FW545" s="4"/>
      <c r="FX545" s="4"/>
      <c r="FY545" s="4"/>
      <c r="FZ545" s="4"/>
      <c r="GA545" s="4"/>
      <c r="GB545" s="4"/>
      <c r="GC545" s="4"/>
      <c r="GD545" s="4"/>
      <c r="GE545" s="4"/>
      <c r="GF545" s="4"/>
      <c r="GG545" s="4"/>
      <c r="GH545" s="4"/>
      <c r="GI545" s="4"/>
      <c r="GJ545" s="4"/>
      <c r="GK545" s="4"/>
      <c r="GL545" s="4"/>
      <c r="GM545" s="4"/>
      <c r="GN545" s="4"/>
      <c r="GO545" s="4"/>
      <c r="GP545" s="4"/>
      <c r="GQ545" s="4"/>
      <c r="GR545" s="4"/>
      <c r="GS545" s="4"/>
      <c r="GT545" s="4"/>
      <c r="GU545" s="4"/>
      <c r="GV545" s="4"/>
      <c r="GW545" s="4"/>
      <c r="GX545" s="4"/>
    </row>
    <row r="546">
      <c r="A546" s="2" t="s">
        <v>3554</v>
      </c>
      <c r="B546" s="2" t="s">
        <v>216</v>
      </c>
      <c r="C546" s="2" t="s">
        <v>2227</v>
      </c>
      <c r="D546" s="2" t="s">
        <v>687</v>
      </c>
      <c r="E546" s="2" t="s">
        <v>3536</v>
      </c>
      <c r="F546" s="2" t="s">
        <v>3537</v>
      </c>
      <c r="G546" s="2" t="s">
        <v>3537</v>
      </c>
      <c r="H546" s="2" t="s">
        <v>3537</v>
      </c>
      <c r="I546" s="2" t="s">
        <v>3538</v>
      </c>
      <c r="J546" s="2" t="s">
        <v>682</v>
      </c>
      <c r="K546" s="2" t="s">
        <v>1780</v>
      </c>
      <c r="L546" s="3">
        <v>52.38</v>
      </c>
      <c r="M546" s="3">
        <v>55</v>
      </c>
      <c r="N546" s="3">
        <v>109.99</v>
      </c>
      <c r="O546" s="2" t="s">
        <v>224</v>
      </c>
      <c r="P546" s="2" t="s">
        <v>225</v>
      </c>
      <c r="Q546" s="2" t="s">
        <v>226</v>
      </c>
      <c r="R546" s="2" t="s">
        <v>227</v>
      </c>
      <c r="S546" s="2" t="s">
        <v>3550</v>
      </c>
      <c r="T546" s="2" t="s">
        <v>375</v>
      </c>
      <c r="U546" s="2" t="s">
        <v>552</v>
      </c>
      <c r="V546" s="2" t="s">
        <v>230</v>
      </c>
      <c r="W546" s="2" t="s">
        <v>231</v>
      </c>
      <c r="X546" s="2" t="s">
        <v>227</v>
      </c>
      <c r="Y546" s="2" t="s">
        <v>1446</v>
      </c>
      <c r="Z546" s="4">
        <v>372</v>
      </c>
      <c r="AA546" s="4">
        <f>=ROUNDDOWN(41.3333333333333,0)</f>
      </c>
      <c r="AB546" s="5">
        <v>9</v>
      </c>
      <c r="AC546" s="2" t="s">
        <v>227</v>
      </c>
      <c r="AD546" s="4"/>
      <c r="AE546" s="4"/>
      <c r="AF546" s="6">
        <v>65</v>
      </c>
      <c r="AG546" s="6"/>
      <c r="AH546" s="7">
        <v>1</v>
      </c>
      <c r="AI546" s="4"/>
      <c r="AJ546" s="4">
        <f>=ROUNDDOWN({0},0)</f>
      </c>
      <c r="AK546" s="5"/>
      <c r="AL546" s="2" t="s">
        <v>227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227</v>
      </c>
      <c r="AW546" s="8" t="s">
        <v>227</v>
      </c>
      <c r="AX546" s="4" t="s">
        <v>227</v>
      </c>
      <c r="AY546" s="8" t="s">
        <v>227</v>
      </c>
      <c r="AZ546" s="7" t="s">
        <v>227</v>
      </c>
      <c r="BA546" s="7" t="s">
        <v>227</v>
      </c>
      <c r="BB546" s="7"/>
      <c r="BC546" s="4" t="s">
        <v>227</v>
      </c>
      <c r="BD546" s="8" t="s">
        <v>227</v>
      </c>
      <c r="BE546" s="4" t="s">
        <v>227</v>
      </c>
      <c r="BF546" s="8" t="s">
        <v>227</v>
      </c>
      <c r="BG546" s="7" t="s">
        <v>227</v>
      </c>
      <c r="BH546" s="7" t="s">
        <v>227</v>
      </c>
      <c r="BI546" s="7"/>
      <c r="BJ546" s="4">
        <v>13</v>
      </c>
      <c r="BK546" s="8">
        <v>768.9</v>
      </c>
      <c r="BL546" s="2" t="s">
        <v>1735</v>
      </c>
      <c r="BM546" s="7"/>
      <c r="BN546" s="7"/>
      <c r="BO546" s="4"/>
      <c r="BP546" s="8"/>
      <c r="BQ546" s="4"/>
      <c r="BR546" s="8"/>
      <c r="BS546" s="7"/>
      <c r="BT546" s="7"/>
      <c r="BU546" s="2" t="s">
        <v>3555</v>
      </c>
      <c r="BV546" s="2" t="s">
        <v>227</v>
      </c>
      <c r="BW546" s="2" t="s">
        <v>227</v>
      </c>
      <c r="BX546" s="2" t="s">
        <v>235</v>
      </c>
      <c r="BY546" s="2" t="s">
        <v>236</v>
      </c>
      <c r="BZ546" s="2" t="s">
        <v>224</v>
      </c>
      <c r="CA546" s="2" t="s">
        <v>1919</v>
      </c>
      <c r="CB546" s="2" t="s">
        <v>999</v>
      </c>
      <c r="CC546" s="2" t="s">
        <v>239</v>
      </c>
      <c r="CD546" s="2" t="s">
        <v>227</v>
      </c>
      <c r="CE546" s="4">
        <v>372</v>
      </c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/>
      <c r="FI546" s="4"/>
      <c r="FJ546" s="4"/>
      <c r="FK546" s="4"/>
      <c r="FL546" s="4"/>
      <c r="FM546" s="4"/>
      <c r="FN546" s="4"/>
      <c r="FO546" s="4"/>
      <c r="FP546" s="4"/>
      <c r="FQ546" s="4"/>
      <c r="FR546" s="4"/>
      <c r="FS546" s="4"/>
      <c r="FT546" s="4"/>
      <c r="FU546" s="4"/>
      <c r="FV546" s="4"/>
      <c r="FW546" s="4"/>
      <c r="FX546" s="4"/>
      <c r="FY546" s="4"/>
      <c r="FZ546" s="4"/>
      <c r="GA546" s="4"/>
      <c r="GB546" s="4"/>
      <c r="GC546" s="4"/>
      <c r="GD546" s="4"/>
      <c r="GE546" s="4"/>
      <c r="GF546" s="4"/>
      <c r="GG546" s="4"/>
      <c r="GH546" s="4"/>
      <c r="GI546" s="4"/>
      <c r="GJ546" s="4"/>
      <c r="GK546" s="4"/>
      <c r="GL546" s="4"/>
      <c r="GM546" s="4"/>
      <c r="GN546" s="4"/>
      <c r="GO546" s="4"/>
      <c r="GP546" s="4"/>
      <c r="GQ546" s="4"/>
      <c r="GR546" s="4"/>
      <c r="GS546" s="4"/>
      <c r="GT546" s="4"/>
      <c r="GU546" s="4"/>
      <c r="GV546" s="4"/>
      <c r="GW546" s="4"/>
      <c r="GX546" s="4"/>
    </row>
    <row r="547">
      <c r="A547" s="2" t="s">
        <v>3556</v>
      </c>
      <c r="B547" s="2" t="s">
        <v>216</v>
      </c>
      <c r="C547" s="2" t="s">
        <v>2227</v>
      </c>
      <c r="D547" s="2" t="s">
        <v>687</v>
      </c>
      <c r="E547" s="2" t="s">
        <v>3536</v>
      </c>
      <c r="F547" s="2" t="s">
        <v>3537</v>
      </c>
      <c r="G547" s="2" t="s">
        <v>3537</v>
      </c>
      <c r="H547" s="2" t="s">
        <v>3537</v>
      </c>
      <c r="I547" s="2" t="s">
        <v>3538</v>
      </c>
      <c r="J547" s="2" t="s">
        <v>626</v>
      </c>
      <c r="K547" s="2" t="s">
        <v>264</v>
      </c>
      <c r="L547" s="3">
        <v>45.23</v>
      </c>
      <c r="M547" s="3">
        <v>47.49</v>
      </c>
      <c r="N547" s="3">
        <v>94.99</v>
      </c>
      <c r="O547" s="2" t="s">
        <v>224</v>
      </c>
      <c r="P547" s="2" t="s">
        <v>550</v>
      </c>
      <c r="Q547" s="2" t="s">
        <v>226</v>
      </c>
      <c r="R547" s="2" t="s">
        <v>227</v>
      </c>
      <c r="S547" s="2" t="s">
        <v>3557</v>
      </c>
      <c r="T547" s="2" t="s">
        <v>227</v>
      </c>
      <c r="U547" s="2" t="s">
        <v>227</v>
      </c>
      <c r="V547" s="2" t="s">
        <v>230</v>
      </c>
      <c r="W547" s="2" t="s">
        <v>231</v>
      </c>
      <c r="X547" s="2" t="s">
        <v>227</v>
      </c>
      <c r="Y547" s="2" t="s">
        <v>3338</v>
      </c>
      <c r="Z547" s="4">
        <v>413</v>
      </c>
      <c r="AA547" s="4">
        <f>=ROUNDDOWN(27.5333333333333,0)</f>
      </c>
      <c r="AB547" s="5">
        <v>15</v>
      </c>
      <c r="AC547" s="2" t="s">
        <v>158</v>
      </c>
      <c r="AD547" s="4">
        <v>250</v>
      </c>
      <c r="AE547" s="4">
        <v>250</v>
      </c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227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/>
      <c r="AW547" s="8"/>
      <c r="AX547" s="4"/>
      <c r="AY547" s="8"/>
      <c r="AZ547" s="7"/>
      <c r="BA547" s="7"/>
      <c r="BB547" s="7"/>
      <c r="BC547" s="4" t="s">
        <v>227</v>
      </c>
      <c r="BD547" s="8" t="s">
        <v>227</v>
      </c>
      <c r="BE547" s="4" t="s">
        <v>227</v>
      </c>
      <c r="BF547" s="8" t="s">
        <v>227</v>
      </c>
      <c r="BG547" s="7" t="s">
        <v>227</v>
      </c>
      <c r="BH547" s="7" t="s">
        <v>227</v>
      </c>
      <c r="BI547" s="7"/>
      <c r="BJ547" s="4">
        <v>42</v>
      </c>
      <c r="BK547" s="8">
        <v>2085.12</v>
      </c>
      <c r="BL547" s="2" t="s">
        <v>3558</v>
      </c>
      <c r="BM547" s="7"/>
      <c r="BN547" s="7"/>
      <c r="BO547" s="4"/>
      <c r="BP547" s="8"/>
      <c r="BQ547" s="4"/>
      <c r="BR547" s="8"/>
      <c r="BS547" s="7"/>
      <c r="BT547" s="7"/>
      <c r="BU547" s="2" t="s">
        <v>3559</v>
      </c>
      <c r="BV547" s="2" t="s">
        <v>227</v>
      </c>
      <c r="BW547" s="2" t="s">
        <v>227</v>
      </c>
      <c r="BX547" s="2" t="s">
        <v>235</v>
      </c>
      <c r="BY547" s="2" t="s">
        <v>236</v>
      </c>
      <c r="BZ547" s="2" t="s">
        <v>224</v>
      </c>
      <c r="CA547" s="2" t="s">
        <v>3341</v>
      </c>
      <c r="CB547" s="2" t="s">
        <v>3560</v>
      </c>
      <c r="CC547" s="2" t="s">
        <v>239</v>
      </c>
      <c r="CD547" s="2" t="s">
        <v>227</v>
      </c>
      <c r="CE547" s="4">
        <v>383</v>
      </c>
      <c r="CF547" s="4"/>
      <c r="CG547" s="4"/>
      <c r="CH547" s="4"/>
      <c r="CI547" s="4"/>
      <c r="CJ547" s="4"/>
      <c r="CK547" s="4">
        <v>30</v>
      </c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>
        <v>250</v>
      </c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  <c r="FM547" s="4"/>
      <c r="FN547" s="4"/>
      <c r="FO547" s="4"/>
      <c r="FP547" s="4"/>
      <c r="FQ547" s="4"/>
      <c r="FR547" s="4"/>
      <c r="FS547" s="4"/>
      <c r="FT547" s="4"/>
      <c r="FU547" s="4"/>
      <c r="FV547" s="4"/>
      <c r="FW547" s="4"/>
      <c r="FX547" s="4"/>
      <c r="FY547" s="4"/>
      <c r="FZ547" s="4"/>
      <c r="GA547" s="4"/>
      <c r="GB547" s="4"/>
      <c r="GC547" s="4"/>
      <c r="GD547" s="4"/>
      <c r="GE547" s="4"/>
      <c r="GF547" s="4"/>
      <c r="GG547" s="4"/>
      <c r="GH547" s="4"/>
      <c r="GI547" s="4"/>
      <c r="GJ547" s="4"/>
      <c r="GK547" s="4"/>
      <c r="GL547" s="4"/>
      <c r="GM547" s="4"/>
      <c r="GN547" s="4"/>
      <c r="GO547" s="4"/>
      <c r="GP547" s="4"/>
      <c r="GQ547" s="4"/>
      <c r="GR547" s="4"/>
      <c r="GS547" s="4"/>
      <c r="GT547" s="4"/>
      <c r="GU547" s="4"/>
      <c r="GV547" s="4"/>
      <c r="GW547" s="4"/>
      <c r="GX547" s="4"/>
    </row>
    <row r="548">
      <c r="A548" s="2" t="s">
        <v>3561</v>
      </c>
      <c r="B548" s="2" t="s">
        <v>573</v>
      </c>
      <c r="C548" s="2" t="s">
        <v>360</v>
      </c>
      <c r="D548" s="2" t="s">
        <v>1515</v>
      </c>
      <c r="E548" s="2" t="s">
        <v>1516</v>
      </c>
      <c r="F548" s="2" t="s">
        <v>3562</v>
      </c>
      <c r="G548" s="2" t="s">
        <v>3563</v>
      </c>
      <c r="H548" s="2" t="s">
        <v>3564</v>
      </c>
      <c r="I548" s="2" t="s">
        <v>3565</v>
      </c>
      <c r="J548" s="2" t="s">
        <v>548</v>
      </c>
      <c r="K548" s="2" t="s">
        <v>601</v>
      </c>
      <c r="L548" s="3">
        <v>150</v>
      </c>
      <c r="M548" s="3">
        <v>157.5</v>
      </c>
      <c r="N548" s="3">
        <v>319</v>
      </c>
      <c r="O548" s="2" t="s">
        <v>224</v>
      </c>
      <c r="P548" s="2" t="s">
        <v>225</v>
      </c>
      <c r="Q548" s="2" t="s">
        <v>226</v>
      </c>
      <c r="R548" s="2" t="s">
        <v>227</v>
      </c>
      <c r="S548" s="2" t="s">
        <v>227</v>
      </c>
      <c r="T548" s="2" t="s">
        <v>227</v>
      </c>
      <c r="U548" s="2" t="s">
        <v>552</v>
      </c>
      <c r="V548" s="2" t="s">
        <v>566</v>
      </c>
      <c r="W548" s="2" t="s">
        <v>1045</v>
      </c>
      <c r="X548" s="2" t="s">
        <v>836</v>
      </c>
      <c r="Y548" s="2" t="s">
        <v>949</v>
      </c>
      <c r="Z548" s="4">
        <v>344</v>
      </c>
      <c r="AA548" s="4">
        <f>=ROUNDDOWN(86,0)</f>
      </c>
      <c r="AB548" s="5">
        <v>4</v>
      </c>
      <c r="AC548" s="2" t="s">
        <v>227</v>
      </c>
      <c r="AD548" s="4"/>
      <c r="AE548" s="4"/>
      <c r="AF548" s="6">
        <v>67</v>
      </c>
      <c r="AG548" s="6">
        <v>50</v>
      </c>
      <c r="AH548" s="7">
        <v>1</v>
      </c>
      <c r="AI548" s="4"/>
      <c r="AJ548" s="4">
        <f>=ROUNDDOWN({0},0)</f>
      </c>
      <c r="AK548" s="5"/>
      <c r="AL548" s="2" t="s">
        <v>227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/>
      <c r="AW548" s="8"/>
      <c r="AX548" s="4"/>
      <c r="AY548" s="8"/>
      <c r="AZ548" s="7"/>
      <c r="BA548" s="7"/>
      <c r="BB548" s="7"/>
      <c r="BC548" s="4"/>
      <c r="BD548" s="8"/>
      <c r="BE548" s="4"/>
      <c r="BF548" s="8"/>
      <c r="BG548" s="7"/>
      <c r="BH548" s="7"/>
      <c r="BI548" s="7"/>
      <c r="BJ548" s="4">
        <v>8</v>
      </c>
      <c r="BK548" s="8">
        <v>1218.77</v>
      </c>
      <c r="BL548" s="2" t="s">
        <v>1188</v>
      </c>
      <c r="BM548" s="7"/>
      <c r="BN548" s="7"/>
      <c r="BO548" s="4"/>
      <c r="BP548" s="8"/>
      <c r="BQ548" s="4"/>
      <c r="BR548" s="8"/>
      <c r="BS548" s="7"/>
      <c r="BT548" s="7"/>
      <c r="BU548" s="2" t="s">
        <v>3566</v>
      </c>
      <c r="BV548" s="2" t="s">
        <v>227</v>
      </c>
      <c r="BW548" s="2" t="s">
        <v>227</v>
      </c>
      <c r="BX548" s="2" t="s">
        <v>235</v>
      </c>
      <c r="BY548" s="2" t="s">
        <v>236</v>
      </c>
      <c r="BZ548" s="2" t="s">
        <v>224</v>
      </c>
      <c r="CA548" s="2" t="s">
        <v>3567</v>
      </c>
      <c r="CB548" s="2" t="s">
        <v>3568</v>
      </c>
      <c r="CC548" s="2" t="s">
        <v>239</v>
      </c>
      <c r="CD548" s="2" t="s">
        <v>227</v>
      </c>
      <c r="CE548" s="4"/>
      <c r="CF548" s="4">
        <v>344</v>
      </c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  <c r="FM548" s="4"/>
      <c r="FN548" s="4"/>
      <c r="FO548" s="4"/>
      <c r="FP548" s="4"/>
      <c r="FQ548" s="4"/>
      <c r="FR548" s="4"/>
      <c r="FS548" s="4"/>
      <c r="FT548" s="4"/>
      <c r="FU548" s="4"/>
      <c r="FV548" s="4"/>
      <c r="FW548" s="4"/>
      <c r="FX548" s="4"/>
      <c r="FY548" s="4"/>
      <c r="FZ548" s="4"/>
      <c r="GA548" s="4"/>
      <c r="GB548" s="4"/>
      <c r="GC548" s="4"/>
      <c r="GD548" s="4"/>
      <c r="GE548" s="4"/>
      <c r="GF548" s="4"/>
      <c r="GG548" s="4"/>
      <c r="GH548" s="4"/>
      <c r="GI548" s="4"/>
      <c r="GJ548" s="4"/>
      <c r="GK548" s="4"/>
      <c r="GL548" s="4"/>
      <c r="GM548" s="4"/>
      <c r="GN548" s="4"/>
      <c r="GO548" s="4"/>
      <c r="GP548" s="4"/>
      <c r="GQ548" s="4"/>
      <c r="GR548" s="4"/>
      <c r="GS548" s="4"/>
      <c r="GT548" s="4"/>
      <c r="GU548" s="4"/>
      <c r="GV548" s="4"/>
      <c r="GW548" s="4"/>
      <c r="GX548" s="4"/>
    </row>
    <row r="549">
      <c r="A549" s="2" t="s">
        <v>3569</v>
      </c>
      <c r="B549" s="2" t="s">
        <v>573</v>
      </c>
      <c r="C549" s="2" t="s">
        <v>360</v>
      </c>
      <c r="D549" s="2" t="s">
        <v>832</v>
      </c>
      <c r="E549" s="2" t="s">
        <v>833</v>
      </c>
      <c r="F549" s="2" t="s">
        <v>3570</v>
      </c>
      <c r="G549" s="2" t="s">
        <v>3571</v>
      </c>
      <c r="H549" s="2" t="s">
        <v>3572</v>
      </c>
      <c r="I549" s="2" t="s">
        <v>1415</v>
      </c>
      <c r="J549" s="2" t="s">
        <v>548</v>
      </c>
      <c r="K549" s="2" t="s">
        <v>410</v>
      </c>
      <c r="L549" s="3">
        <v>207.9</v>
      </c>
      <c r="M549" s="3">
        <v>218.3</v>
      </c>
      <c r="N549" s="3">
        <v>439</v>
      </c>
      <c r="O549" s="2" t="s">
        <v>224</v>
      </c>
      <c r="P549" s="2" t="s">
        <v>580</v>
      </c>
      <c r="Q549" s="2" t="s">
        <v>226</v>
      </c>
      <c r="R549" s="2" t="s">
        <v>227</v>
      </c>
      <c r="S549" s="2" t="s">
        <v>227</v>
      </c>
      <c r="T549" s="2" t="s">
        <v>227</v>
      </c>
      <c r="U549" s="2" t="s">
        <v>227</v>
      </c>
      <c r="V549" s="2" t="s">
        <v>230</v>
      </c>
      <c r="W549" s="2" t="s">
        <v>231</v>
      </c>
      <c r="X549" s="2" t="s">
        <v>227</v>
      </c>
      <c r="Y549" s="2" t="s">
        <v>3573</v>
      </c>
      <c r="Z549" s="4">
        <v>61</v>
      </c>
      <c r="AA549" s="4">
        <f>=ROUNDDOWN(20.3333333333333,0)</f>
      </c>
      <c r="AB549" s="5">
        <v>3</v>
      </c>
      <c r="AC549" s="2" t="s">
        <v>192</v>
      </c>
      <c r="AD549" s="4">
        <v>92</v>
      </c>
      <c r="AE549" s="4">
        <v>92</v>
      </c>
      <c r="AF549" s="6">
        <v>66</v>
      </c>
      <c r="AG549" s="6"/>
      <c r="AH549" s="7">
        <v>1</v>
      </c>
      <c r="AI549" s="4"/>
      <c r="AJ549" s="4">
        <f>=ROUNDDOWN({0},0)</f>
      </c>
      <c r="AK549" s="5"/>
      <c r="AL549" s="2" t="s">
        <v>227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/>
      <c r="AW549" s="8"/>
      <c r="AX549" s="4"/>
      <c r="AY549" s="8"/>
      <c r="AZ549" s="7"/>
      <c r="BA549" s="7"/>
      <c r="BB549" s="7"/>
      <c r="BC549" s="4"/>
      <c r="BD549" s="8"/>
      <c r="BE549" s="4"/>
      <c r="BF549" s="8"/>
      <c r="BG549" s="7"/>
      <c r="BH549" s="7"/>
      <c r="BI549" s="7"/>
      <c r="BJ549" s="4">
        <v>7</v>
      </c>
      <c r="BK549" s="8">
        <v>1470.82</v>
      </c>
      <c r="BL549" s="2" t="s">
        <v>3574</v>
      </c>
      <c r="BM549" s="7"/>
      <c r="BN549" s="7"/>
      <c r="BO549" s="4"/>
      <c r="BP549" s="8"/>
      <c r="BQ549" s="4"/>
      <c r="BR549" s="8"/>
      <c r="BS549" s="7"/>
      <c r="BT549" s="7"/>
      <c r="BU549" s="2" t="s">
        <v>3575</v>
      </c>
      <c r="BV549" s="2" t="s">
        <v>227</v>
      </c>
      <c r="BW549" s="2" t="s">
        <v>227</v>
      </c>
      <c r="BX549" s="2" t="s">
        <v>235</v>
      </c>
      <c r="BY549" s="2" t="s">
        <v>236</v>
      </c>
      <c r="BZ549" s="2" t="s">
        <v>224</v>
      </c>
      <c r="CA549" s="2" t="s">
        <v>3576</v>
      </c>
      <c r="CB549" s="2" t="s">
        <v>3577</v>
      </c>
      <c r="CC549" s="2" t="s">
        <v>239</v>
      </c>
      <c r="CD549" s="2" t="s">
        <v>227</v>
      </c>
      <c r="CE549" s="4"/>
      <c r="CF549" s="4">
        <v>61</v>
      </c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  <c r="FG549" s="4"/>
      <c r="FH549" s="4"/>
      <c r="FI549" s="4"/>
      <c r="FJ549" s="4"/>
      <c r="FK549" s="4"/>
      <c r="FL549" s="4"/>
      <c r="FM549" s="4"/>
      <c r="FN549" s="4"/>
      <c r="FO549" s="4"/>
      <c r="FP549" s="4"/>
      <c r="FQ549" s="4"/>
      <c r="FR549" s="4"/>
      <c r="FS549" s="4"/>
      <c r="FT549" s="4"/>
      <c r="FU549" s="4"/>
      <c r="FV549" s="4"/>
      <c r="FW549" s="4"/>
      <c r="FX549" s="4"/>
      <c r="FY549" s="4"/>
      <c r="FZ549" s="4"/>
      <c r="GA549" s="4"/>
      <c r="GB549" s="4">
        <v>92</v>
      </c>
      <c r="GC549" s="4"/>
      <c r="GD549" s="4"/>
      <c r="GE549" s="4"/>
      <c r="GF549" s="4"/>
      <c r="GG549" s="4"/>
      <c r="GH549" s="4"/>
      <c r="GI549" s="4"/>
      <c r="GJ549" s="4"/>
      <c r="GK549" s="4"/>
      <c r="GL549" s="4"/>
      <c r="GM549" s="4"/>
      <c r="GN549" s="4"/>
      <c r="GO549" s="4"/>
      <c r="GP549" s="4"/>
      <c r="GQ549" s="4"/>
      <c r="GR549" s="4"/>
      <c r="GS549" s="4"/>
      <c r="GT549" s="4"/>
      <c r="GU549" s="4"/>
      <c r="GV549" s="4"/>
      <c r="GW549" s="4"/>
      <c r="GX549" s="4"/>
    </row>
    <row r="550">
      <c r="A550" s="2" t="s">
        <v>3578</v>
      </c>
      <c r="B550" s="2" t="s">
        <v>573</v>
      </c>
      <c r="C550" s="2" t="s">
        <v>360</v>
      </c>
      <c r="D550" s="2" t="s">
        <v>832</v>
      </c>
      <c r="E550" s="2" t="s">
        <v>833</v>
      </c>
      <c r="F550" s="2" t="s">
        <v>3579</v>
      </c>
      <c r="G550" s="2" t="s">
        <v>3580</v>
      </c>
      <c r="H550" s="2" t="s">
        <v>3581</v>
      </c>
      <c r="I550" s="2" t="s">
        <v>3582</v>
      </c>
      <c r="J550" s="2" t="s">
        <v>548</v>
      </c>
      <c r="K550" s="2" t="s">
        <v>223</v>
      </c>
      <c r="L550" s="3">
        <v>158.36</v>
      </c>
      <c r="M550" s="3">
        <v>166.28</v>
      </c>
      <c r="N550" s="3">
        <v>329</v>
      </c>
      <c r="O550" s="2" t="s">
        <v>224</v>
      </c>
      <c r="P550" s="2" t="s">
        <v>225</v>
      </c>
      <c r="Q550" s="2" t="s">
        <v>226</v>
      </c>
      <c r="R550" s="2" t="s">
        <v>227</v>
      </c>
      <c r="S550" s="2" t="s">
        <v>3583</v>
      </c>
      <c r="T550" s="2" t="s">
        <v>227</v>
      </c>
      <c r="U550" s="2" t="s">
        <v>227</v>
      </c>
      <c r="V550" s="2" t="s">
        <v>230</v>
      </c>
      <c r="W550" s="2" t="s">
        <v>836</v>
      </c>
      <c r="X550" s="2" t="s">
        <v>227</v>
      </c>
      <c r="Y550" s="2" t="s">
        <v>232</v>
      </c>
      <c r="Z550" s="4">
        <v>162</v>
      </c>
      <c r="AA550" s="4">
        <f>=ROUNDDOWN(23.1428571428571,0)</f>
      </c>
      <c r="AB550" s="5">
        <v>7</v>
      </c>
      <c r="AC550" s="2" t="s">
        <v>227</v>
      </c>
      <c r="AD550" s="4"/>
      <c r="AE550" s="4"/>
      <c r="AF550" s="6">
        <v>66</v>
      </c>
      <c r="AG550" s="6">
        <v>49</v>
      </c>
      <c r="AH550" s="7">
        <v>1</v>
      </c>
      <c r="AI550" s="4"/>
      <c r="AJ550" s="4">
        <f>=ROUNDDOWN({0},0)</f>
      </c>
      <c r="AK550" s="5"/>
      <c r="AL550" s="2" t="s">
        <v>227</v>
      </c>
      <c r="AM550" s="4"/>
      <c r="AN550" s="4"/>
      <c r="AO550" s="7">
        <v>0.5484</v>
      </c>
      <c r="AP550" s="4"/>
      <c r="AQ550" s="8"/>
      <c r="AR550" s="4"/>
      <c r="AS550" s="8"/>
      <c r="AT550" s="7"/>
      <c r="AU550" s="7"/>
      <c r="AV550" s="4"/>
      <c r="AW550" s="8"/>
      <c r="AX550" s="4"/>
      <c r="AY550" s="8"/>
      <c r="AZ550" s="7"/>
      <c r="BA550" s="7"/>
      <c r="BB550" s="7"/>
      <c r="BC550" s="4" t="s">
        <v>227</v>
      </c>
      <c r="BD550" s="8" t="s">
        <v>227</v>
      </c>
      <c r="BE550" s="4" t="s">
        <v>227</v>
      </c>
      <c r="BF550" s="8" t="s">
        <v>227</v>
      </c>
      <c r="BG550" s="7" t="s">
        <v>227</v>
      </c>
      <c r="BH550" s="7" t="s">
        <v>227</v>
      </c>
      <c r="BI550" s="7"/>
      <c r="BJ550" s="4">
        <v>39</v>
      </c>
      <c r="BK550" s="8">
        <v>5393.47</v>
      </c>
      <c r="BL550" s="2" t="s">
        <v>3584</v>
      </c>
      <c r="BM550" s="7"/>
      <c r="BN550" s="7"/>
      <c r="BO550" s="4"/>
      <c r="BP550" s="8"/>
      <c r="BQ550" s="4"/>
      <c r="BR550" s="8"/>
      <c r="BS550" s="7"/>
      <c r="BT550" s="7"/>
      <c r="BU550" s="2" t="s">
        <v>3585</v>
      </c>
      <c r="BV550" s="2" t="s">
        <v>227</v>
      </c>
      <c r="BW550" s="2" t="s">
        <v>227</v>
      </c>
      <c r="BX550" s="2" t="s">
        <v>235</v>
      </c>
      <c r="BY550" s="2" t="s">
        <v>236</v>
      </c>
      <c r="BZ550" s="2" t="s">
        <v>224</v>
      </c>
      <c r="CA550" s="2" t="s">
        <v>237</v>
      </c>
      <c r="CB550" s="2" t="s">
        <v>1252</v>
      </c>
      <c r="CC550" s="2" t="s">
        <v>239</v>
      </c>
      <c r="CD550" s="2" t="s">
        <v>227</v>
      </c>
      <c r="CE550" s="4"/>
      <c r="CF550" s="4">
        <v>109</v>
      </c>
      <c r="CG550" s="4"/>
      <c r="CH550" s="4">
        <v>53</v>
      </c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/>
      <c r="FH550" s="4"/>
      <c r="FI550" s="4"/>
      <c r="FJ550" s="4"/>
      <c r="FK550" s="4"/>
      <c r="FL550" s="4"/>
      <c r="FM550" s="4"/>
      <c r="FN550" s="4"/>
      <c r="FO550" s="4"/>
      <c r="FP550" s="4"/>
      <c r="FQ550" s="4"/>
      <c r="FR550" s="4"/>
      <c r="FS550" s="4"/>
      <c r="FT550" s="4"/>
      <c r="FU550" s="4"/>
      <c r="FV550" s="4"/>
      <c r="FW550" s="4"/>
      <c r="FX550" s="4"/>
      <c r="FY550" s="4"/>
      <c r="FZ550" s="4"/>
      <c r="GA550" s="4"/>
      <c r="GB550" s="4"/>
      <c r="GC550" s="4"/>
      <c r="GD550" s="4"/>
      <c r="GE550" s="4"/>
      <c r="GF550" s="4"/>
      <c r="GG550" s="4"/>
      <c r="GH550" s="4"/>
      <c r="GI550" s="4"/>
      <c r="GJ550" s="4"/>
      <c r="GK550" s="4"/>
      <c r="GL550" s="4"/>
      <c r="GM550" s="4"/>
      <c r="GN550" s="4"/>
      <c r="GO550" s="4"/>
      <c r="GP550" s="4"/>
      <c r="GQ550" s="4"/>
      <c r="GR550" s="4"/>
      <c r="GS550" s="4"/>
      <c r="GT550" s="4"/>
      <c r="GU550" s="4"/>
      <c r="GV550" s="4"/>
      <c r="GW550" s="4"/>
      <c r="GX550" s="4"/>
    </row>
    <row r="551">
      <c r="A551" s="2" t="s">
        <v>3586</v>
      </c>
      <c r="B551" s="2" t="s">
        <v>573</v>
      </c>
      <c r="C551" s="2" t="s">
        <v>360</v>
      </c>
      <c r="D551" s="2" t="s">
        <v>832</v>
      </c>
      <c r="E551" s="2" t="s">
        <v>833</v>
      </c>
      <c r="F551" s="2" t="s">
        <v>3579</v>
      </c>
      <c r="G551" s="2" t="s">
        <v>3580</v>
      </c>
      <c r="H551" s="2" t="s">
        <v>3581</v>
      </c>
      <c r="I551" s="2" t="s">
        <v>3582</v>
      </c>
      <c r="J551" s="2" t="s">
        <v>548</v>
      </c>
      <c r="K551" s="2" t="s">
        <v>410</v>
      </c>
      <c r="L551" s="3">
        <v>158.36</v>
      </c>
      <c r="M551" s="3">
        <v>166.28</v>
      </c>
      <c r="N551" s="3">
        <v>329</v>
      </c>
      <c r="O551" s="2" t="s">
        <v>224</v>
      </c>
      <c r="P551" s="2" t="s">
        <v>580</v>
      </c>
      <c r="Q551" s="2" t="s">
        <v>226</v>
      </c>
      <c r="R551" s="2" t="s">
        <v>227</v>
      </c>
      <c r="S551" s="2" t="s">
        <v>3587</v>
      </c>
      <c r="T551" s="2" t="s">
        <v>227</v>
      </c>
      <c r="U551" s="2" t="s">
        <v>227</v>
      </c>
      <c r="V551" s="2" t="s">
        <v>230</v>
      </c>
      <c r="W551" s="2" t="s">
        <v>836</v>
      </c>
      <c r="X551" s="2" t="s">
        <v>227</v>
      </c>
      <c r="Y551" s="2" t="s">
        <v>232</v>
      </c>
      <c r="Z551" s="4">
        <v>84</v>
      </c>
      <c r="AA551" s="4">
        <f>=ROUNDDOWN(21,0)</f>
      </c>
      <c r="AB551" s="5">
        <v>4</v>
      </c>
      <c r="AC551" s="2" t="s">
        <v>203</v>
      </c>
      <c r="AD551" s="4">
        <v>38</v>
      </c>
      <c r="AE551" s="4">
        <v>38</v>
      </c>
      <c r="AF551" s="6">
        <v>66</v>
      </c>
      <c r="AG551" s="6">
        <v>49</v>
      </c>
      <c r="AH551" s="7">
        <v>1</v>
      </c>
      <c r="AI551" s="4"/>
      <c r="AJ551" s="4">
        <f>=ROUNDDOWN({0},0)</f>
      </c>
      <c r="AK551" s="5"/>
      <c r="AL551" s="2" t="s">
        <v>227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/>
      <c r="AW551" s="8"/>
      <c r="AX551" s="4"/>
      <c r="AY551" s="8"/>
      <c r="AZ551" s="7"/>
      <c r="BA551" s="7"/>
      <c r="BB551" s="7"/>
      <c r="BC551" s="4" t="s">
        <v>227</v>
      </c>
      <c r="BD551" s="8" t="s">
        <v>227</v>
      </c>
      <c r="BE551" s="4" t="s">
        <v>227</v>
      </c>
      <c r="BF551" s="8" t="s">
        <v>227</v>
      </c>
      <c r="BG551" s="7" t="s">
        <v>227</v>
      </c>
      <c r="BH551" s="7" t="s">
        <v>227</v>
      </c>
      <c r="BI551" s="7"/>
      <c r="BJ551" s="4">
        <v>14</v>
      </c>
      <c r="BK551" s="8">
        <v>1973.54</v>
      </c>
      <c r="BL551" s="2" t="s">
        <v>3588</v>
      </c>
      <c r="BM551" s="7"/>
      <c r="BN551" s="7"/>
      <c r="BO551" s="4"/>
      <c r="BP551" s="8"/>
      <c r="BQ551" s="4"/>
      <c r="BR551" s="8"/>
      <c r="BS551" s="7"/>
      <c r="BT551" s="7"/>
      <c r="BU551" s="2" t="s">
        <v>3589</v>
      </c>
      <c r="BV551" s="2" t="s">
        <v>227</v>
      </c>
      <c r="BW551" s="2" t="s">
        <v>227</v>
      </c>
      <c r="BX551" s="2" t="s">
        <v>235</v>
      </c>
      <c r="BY551" s="2" t="s">
        <v>236</v>
      </c>
      <c r="BZ551" s="2" t="s">
        <v>224</v>
      </c>
      <c r="CA551" s="2" t="s">
        <v>237</v>
      </c>
      <c r="CB551" s="2" t="s">
        <v>3590</v>
      </c>
      <c r="CC551" s="2" t="s">
        <v>239</v>
      </c>
      <c r="CD551" s="2" t="s">
        <v>227</v>
      </c>
      <c r="CE551" s="4"/>
      <c r="CF551" s="4">
        <v>81</v>
      </c>
      <c r="CG551" s="4"/>
      <c r="CH551" s="4">
        <v>3</v>
      </c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  <c r="FG551" s="4"/>
      <c r="FH551" s="4"/>
      <c r="FI551" s="4"/>
      <c r="FJ551" s="4"/>
      <c r="FK551" s="4"/>
      <c r="FL551" s="4"/>
      <c r="FM551" s="4"/>
      <c r="FN551" s="4"/>
      <c r="FO551" s="4"/>
      <c r="FP551" s="4"/>
      <c r="FQ551" s="4"/>
      <c r="FR551" s="4"/>
      <c r="FS551" s="4"/>
      <c r="FT551" s="4"/>
      <c r="FU551" s="4"/>
      <c r="FV551" s="4"/>
      <c r="FW551" s="4"/>
      <c r="FX551" s="4"/>
      <c r="FY551" s="4"/>
      <c r="FZ551" s="4"/>
      <c r="GA551" s="4"/>
      <c r="GB551" s="4"/>
      <c r="GC551" s="4"/>
      <c r="GD551" s="4"/>
      <c r="GE551" s="4"/>
      <c r="GF551" s="4"/>
      <c r="GG551" s="4"/>
      <c r="GH551" s="4"/>
      <c r="GI551" s="4"/>
      <c r="GJ551" s="4"/>
      <c r="GK551" s="4"/>
      <c r="GL551" s="4"/>
      <c r="GM551" s="4">
        <v>38</v>
      </c>
      <c r="GN551" s="4"/>
      <c r="GO551" s="4"/>
      <c r="GP551" s="4"/>
      <c r="GQ551" s="4"/>
      <c r="GR551" s="4"/>
      <c r="GS551" s="4"/>
      <c r="GT551" s="4"/>
      <c r="GU551" s="4"/>
      <c r="GV551" s="4"/>
      <c r="GW551" s="4"/>
      <c r="GX551" s="4"/>
    </row>
    <row r="552">
      <c r="A552" s="2" t="s">
        <v>3591</v>
      </c>
      <c r="B552" s="2" t="s">
        <v>573</v>
      </c>
      <c r="C552" s="2" t="s">
        <v>360</v>
      </c>
      <c r="D552" s="2" t="s">
        <v>574</v>
      </c>
      <c r="E552" s="2" t="s">
        <v>961</v>
      </c>
      <c r="F552" s="2" t="s">
        <v>3592</v>
      </c>
      <c r="G552" s="2" t="s">
        <v>3593</v>
      </c>
      <c r="H552" s="2" t="s">
        <v>3594</v>
      </c>
      <c r="I552" s="2" t="s">
        <v>965</v>
      </c>
      <c r="J552" s="2" t="s">
        <v>548</v>
      </c>
      <c r="K552" s="2" t="s">
        <v>3595</v>
      </c>
      <c r="L552" s="3">
        <v>270.75</v>
      </c>
      <c r="M552" s="3">
        <v>284.29</v>
      </c>
      <c r="N552" s="3">
        <v>569</v>
      </c>
      <c r="O552" s="2" t="s">
        <v>224</v>
      </c>
      <c r="P552" s="2" t="s">
        <v>225</v>
      </c>
      <c r="Q552" s="2" t="s">
        <v>226</v>
      </c>
      <c r="R552" s="2" t="s">
        <v>227</v>
      </c>
      <c r="S552" s="2" t="s">
        <v>3596</v>
      </c>
      <c r="T552" s="2" t="s">
        <v>227</v>
      </c>
      <c r="U552" s="2" t="s">
        <v>227</v>
      </c>
      <c r="V552" s="2" t="s">
        <v>230</v>
      </c>
      <c r="W552" s="2" t="s">
        <v>581</v>
      </c>
      <c r="X552" s="2" t="s">
        <v>227</v>
      </c>
      <c r="Y552" s="2" t="s">
        <v>3597</v>
      </c>
      <c r="Z552" s="4">
        <v>122</v>
      </c>
      <c r="AA552" s="4">
        <f>=ROUNDDOWN(30.5,0)</f>
      </c>
      <c r="AB552" s="5">
        <v>4</v>
      </c>
      <c r="AC552" s="2" t="s">
        <v>583</v>
      </c>
      <c r="AD552" s="4">
        <v>83</v>
      </c>
      <c r="AE552" s="4">
        <v>192</v>
      </c>
      <c r="AF552" s="6">
        <v>66</v>
      </c>
      <c r="AG552" s="6">
        <v>49</v>
      </c>
      <c r="AH552" s="7">
        <v>1</v>
      </c>
      <c r="AI552" s="4"/>
      <c r="AJ552" s="4">
        <f>=ROUNDDOWN({0},0)</f>
      </c>
      <c r="AK552" s="5"/>
      <c r="AL552" s="2" t="s">
        <v>227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/>
      <c r="AW552" s="8"/>
      <c r="AX552" s="4"/>
      <c r="AY552" s="8"/>
      <c r="AZ552" s="7"/>
      <c r="BA552" s="7"/>
      <c r="BB552" s="7"/>
      <c r="BC552" s="4"/>
      <c r="BD552" s="8"/>
      <c r="BE552" s="4"/>
      <c r="BF552" s="8"/>
      <c r="BG552" s="7"/>
      <c r="BH552" s="7"/>
      <c r="BI552" s="7"/>
      <c r="BJ552" s="4">
        <v>6</v>
      </c>
      <c r="BK552" s="8">
        <v>1528</v>
      </c>
      <c r="BL552" s="2" t="s">
        <v>3598</v>
      </c>
      <c r="BM552" s="7"/>
      <c r="BN552" s="7"/>
      <c r="BO552" s="4"/>
      <c r="BP552" s="8"/>
      <c r="BQ552" s="4"/>
      <c r="BR552" s="8"/>
      <c r="BS552" s="7"/>
      <c r="BT552" s="7"/>
      <c r="BU552" s="2" t="s">
        <v>3599</v>
      </c>
      <c r="BV552" s="2" t="s">
        <v>227</v>
      </c>
      <c r="BW552" s="2" t="s">
        <v>227</v>
      </c>
      <c r="BX552" s="2" t="s">
        <v>235</v>
      </c>
      <c r="BY552" s="2" t="s">
        <v>236</v>
      </c>
      <c r="BZ552" s="2" t="s">
        <v>224</v>
      </c>
      <c r="CA552" s="2" t="s">
        <v>3600</v>
      </c>
      <c r="CB552" s="2" t="s">
        <v>731</v>
      </c>
      <c r="CC552" s="2" t="s">
        <v>239</v>
      </c>
      <c r="CD552" s="2" t="s">
        <v>227</v>
      </c>
      <c r="CE552" s="4"/>
      <c r="CF552" s="4">
        <v>120</v>
      </c>
      <c r="CG552" s="4"/>
      <c r="CH552" s="4">
        <v>2</v>
      </c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>
        <v>83</v>
      </c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>
        <v>109</v>
      </c>
      <c r="FF552" s="4"/>
      <c r="FG552" s="4"/>
      <c r="FH552" s="4"/>
      <c r="FI552" s="4"/>
      <c r="FJ552" s="4"/>
      <c r="FK552" s="4"/>
      <c r="FL552" s="4"/>
      <c r="FM552" s="4"/>
      <c r="FN552" s="4"/>
      <c r="FO552" s="4"/>
      <c r="FP552" s="4"/>
      <c r="FQ552" s="4"/>
      <c r="FR552" s="4"/>
      <c r="FS552" s="4"/>
      <c r="FT552" s="4"/>
      <c r="FU552" s="4"/>
      <c r="FV552" s="4"/>
      <c r="FW552" s="4"/>
      <c r="FX552" s="4"/>
      <c r="FY552" s="4"/>
      <c r="FZ552" s="4"/>
      <c r="GA552" s="4"/>
      <c r="GB552" s="4"/>
      <c r="GC552" s="4"/>
      <c r="GD552" s="4"/>
      <c r="GE552" s="4"/>
      <c r="GF552" s="4"/>
      <c r="GG552" s="4"/>
      <c r="GH552" s="4"/>
      <c r="GI552" s="4"/>
      <c r="GJ552" s="4"/>
      <c r="GK552" s="4"/>
      <c r="GL552" s="4"/>
      <c r="GM552" s="4"/>
      <c r="GN552" s="4"/>
      <c r="GO552" s="4"/>
      <c r="GP552" s="4"/>
      <c r="GQ552" s="4"/>
      <c r="GR552" s="4"/>
      <c r="GS552" s="4"/>
      <c r="GT552" s="4"/>
      <c r="GU552" s="4"/>
      <c r="GV552" s="4"/>
      <c r="GW552" s="4"/>
      <c r="GX552" s="4"/>
    </row>
    <row r="553">
      <c r="A553" s="2" t="s">
        <v>3601</v>
      </c>
      <c r="B553" s="2" t="s">
        <v>697</v>
      </c>
      <c r="C553" s="2" t="s">
        <v>360</v>
      </c>
      <c r="D553" s="2" t="s">
        <v>687</v>
      </c>
      <c r="E553" s="2" t="s">
        <v>688</v>
      </c>
      <c r="F553" s="2" t="s">
        <v>3602</v>
      </c>
      <c r="G553" s="2" t="s">
        <v>3603</v>
      </c>
      <c r="H553" s="2" t="s">
        <v>3603</v>
      </c>
      <c r="I553" s="2" t="s">
        <v>3604</v>
      </c>
      <c r="J553" s="2" t="s">
        <v>222</v>
      </c>
      <c r="K553" s="2" t="s">
        <v>3605</v>
      </c>
      <c r="L553" s="3">
        <v>26.28</v>
      </c>
      <c r="M553" s="3">
        <v>27.59</v>
      </c>
      <c r="N553" s="3">
        <v>59.99</v>
      </c>
      <c r="O553" s="2" t="s">
        <v>224</v>
      </c>
      <c r="P553" s="2" t="s">
        <v>225</v>
      </c>
      <c r="Q553" s="2" t="s">
        <v>226</v>
      </c>
      <c r="R553" s="2" t="s">
        <v>227</v>
      </c>
      <c r="S553" s="2" t="s">
        <v>3606</v>
      </c>
      <c r="T553" s="2" t="s">
        <v>704</v>
      </c>
      <c r="U553" s="2" t="s">
        <v>1044</v>
      </c>
      <c r="V553" s="2" t="s">
        <v>288</v>
      </c>
      <c r="W553" s="2" t="s">
        <v>1008</v>
      </c>
      <c r="X553" s="2" t="s">
        <v>706</v>
      </c>
      <c r="Y553" s="2" t="s">
        <v>3607</v>
      </c>
      <c r="Z553" s="4">
        <v>43</v>
      </c>
      <c r="AA553" s="4">
        <f>=ROUNDDOWN(21.5,0)</f>
      </c>
      <c r="AB553" s="5">
        <v>2</v>
      </c>
      <c r="AC553" s="2" t="s">
        <v>708</v>
      </c>
      <c r="AD553" s="4">
        <v>40</v>
      </c>
      <c r="AE553" s="4">
        <v>82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227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/>
      <c r="AW553" s="8"/>
      <c r="AX553" s="4"/>
      <c r="AY553" s="8"/>
      <c r="AZ553" s="7"/>
      <c r="BA553" s="7"/>
      <c r="BB553" s="7"/>
      <c r="BC553" s="4"/>
      <c r="BD553" s="8"/>
      <c r="BE553" s="4"/>
      <c r="BF553" s="8"/>
      <c r="BG553" s="7"/>
      <c r="BH553" s="7"/>
      <c r="BI553" s="7"/>
      <c r="BJ553" s="4">
        <v>4</v>
      </c>
      <c r="BK553" s="8">
        <v>139.73</v>
      </c>
      <c r="BL553" s="2" t="s">
        <v>3608</v>
      </c>
      <c r="BM553" s="7"/>
      <c r="BN553" s="7"/>
      <c r="BO553" s="4"/>
      <c r="BP553" s="8"/>
      <c r="BQ553" s="4"/>
      <c r="BR553" s="8"/>
      <c r="BS553" s="7"/>
      <c r="BT553" s="7"/>
      <c r="BU553" s="2" t="s">
        <v>3609</v>
      </c>
      <c r="BV553" s="2" t="s">
        <v>227</v>
      </c>
      <c r="BW553" s="2" t="s">
        <v>227</v>
      </c>
      <c r="BX553" s="2" t="s">
        <v>235</v>
      </c>
      <c r="BY553" s="2" t="s">
        <v>236</v>
      </c>
      <c r="BZ553" s="2" t="s">
        <v>224</v>
      </c>
      <c r="CA553" s="2" t="s">
        <v>1646</v>
      </c>
      <c r="CB553" s="2" t="s">
        <v>490</v>
      </c>
      <c r="CC553" s="2" t="s">
        <v>239</v>
      </c>
      <c r="CD553" s="2" t="s">
        <v>227</v>
      </c>
      <c r="CE553" s="4">
        <v>43</v>
      </c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>
        <v>40</v>
      </c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/>
      <c r="FM553" s="4"/>
      <c r="FN553" s="4"/>
      <c r="FO553" s="4"/>
      <c r="FP553" s="4"/>
      <c r="FQ553" s="4"/>
      <c r="FR553" s="4"/>
      <c r="FS553" s="4">
        <v>22</v>
      </c>
      <c r="FT553" s="4"/>
      <c r="FU553" s="4"/>
      <c r="FV553" s="4"/>
      <c r="FW553" s="4"/>
      <c r="FX553" s="4"/>
      <c r="FY553" s="4"/>
      <c r="FZ553" s="4"/>
      <c r="GA553" s="4"/>
      <c r="GB553" s="4">
        <v>20</v>
      </c>
      <c r="GC553" s="4"/>
      <c r="GD553" s="4"/>
      <c r="GE553" s="4"/>
      <c r="GF553" s="4"/>
      <c r="GG553" s="4"/>
      <c r="GH553" s="4"/>
      <c r="GI553" s="4"/>
      <c r="GJ553" s="4"/>
      <c r="GK553" s="4"/>
      <c r="GL553" s="4"/>
      <c r="GM553" s="4"/>
      <c r="GN553" s="4"/>
      <c r="GO553" s="4"/>
      <c r="GP553" s="4"/>
      <c r="GQ553" s="4"/>
      <c r="GR553" s="4"/>
      <c r="GS553" s="4"/>
      <c r="GT553" s="4"/>
      <c r="GU553" s="4"/>
      <c r="GV553" s="4"/>
      <c r="GW553" s="4"/>
      <c r="GX553" s="4"/>
    </row>
    <row r="554">
      <c r="A554" s="2" t="s">
        <v>3610</v>
      </c>
      <c r="B554" s="2" t="s">
        <v>667</v>
      </c>
      <c r="C554" s="2" t="s">
        <v>360</v>
      </c>
      <c r="D554" s="2" t="s">
        <v>687</v>
      </c>
      <c r="E554" s="2" t="s">
        <v>699</v>
      </c>
      <c r="F554" s="2" t="s">
        <v>3611</v>
      </c>
      <c r="G554" s="2" t="s">
        <v>1766</v>
      </c>
      <c r="H554" s="2" t="s">
        <v>3612</v>
      </c>
      <c r="I554" s="2" t="s">
        <v>3613</v>
      </c>
      <c r="J554" s="2" t="s">
        <v>384</v>
      </c>
      <c r="K554" s="2" t="s">
        <v>3614</v>
      </c>
      <c r="L554" s="3">
        <v>78.2</v>
      </c>
      <c r="M554" s="3">
        <v>82.11</v>
      </c>
      <c r="N554" s="3">
        <v>169.99</v>
      </c>
      <c r="O554" s="2" t="s">
        <v>224</v>
      </c>
      <c r="P554" s="2" t="s">
        <v>225</v>
      </c>
      <c r="Q554" s="2" t="s">
        <v>226</v>
      </c>
      <c r="R554" s="2" t="s">
        <v>227</v>
      </c>
      <c r="S554" s="2" t="s">
        <v>3615</v>
      </c>
      <c r="T554" s="2" t="s">
        <v>227</v>
      </c>
      <c r="U554" s="2" t="s">
        <v>523</v>
      </c>
      <c r="V554" s="2" t="s">
        <v>629</v>
      </c>
      <c r="W554" s="2" t="s">
        <v>581</v>
      </c>
      <c r="X554" s="2" t="s">
        <v>3616</v>
      </c>
      <c r="Y554" s="2" t="s">
        <v>232</v>
      </c>
      <c r="Z554" s="4">
        <v>104</v>
      </c>
      <c r="AA554" s="4">
        <f>=ROUNDDOWN(20.8,0)</f>
      </c>
      <c r="AB554" s="5">
        <v>5</v>
      </c>
      <c r="AC554" s="2" t="s">
        <v>2297</v>
      </c>
      <c r="AD554" s="4">
        <v>70</v>
      </c>
      <c r="AE554" s="4">
        <v>140</v>
      </c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227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/>
      <c r="AW554" s="8"/>
      <c r="AX554" s="4"/>
      <c r="AY554" s="8"/>
      <c r="AZ554" s="7"/>
      <c r="BA554" s="7"/>
      <c r="BB554" s="7"/>
      <c r="BC554" s="4"/>
      <c r="BD554" s="8"/>
      <c r="BE554" s="4"/>
      <c r="BF554" s="8"/>
      <c r="BG554" s="7"/>
      <c r="BH554" s="7"/>
      <c r="BI554" s="7"/>
      <c r="BJ554" s="4">
        <v>4</v>
      </c>
      <c r="BK554" s="8">
        <v>331.78</v>
      </c>
      <c r="BL554" s="2" t="s">
        <v>3617</v>
      </c>
      <c r="BM554" s="7"/>
      <c r="BN554" s="7"/>
      <c r="BO554" s="4"/>
      <c r="BP554" s="8"/>
      <c r="BQ554" s="4"/>
      <c r="BR554" s="8"/>
      <c r="BS554" s="7"/>
      <c r="BT554" s="7"/>
      <c r="BU554" s="2" t="s">
        <v>3618</v>
      </c>
      <c r="BV554" s="2" t="s">
        <v>227</v>
      </c>
      <c r="BW554" s="2" t="s">
        <v>227</v>
      </c>
      <c r="BX554" s="2" t="s">
        <v>235</v>
      </c>
      <c r="BY554" s="2" t="s">
        <v>236</v>
      </c>
      <c r="BZ554" s="2" t="s">
        <v>224</v>
      </c>
      <c r="CA554" s="2" t="s">
        <v>1252</v>
      </c>
      <c r="CB554" s="2" t="s">
        <v>3619</v>
      </c>
      <c r="CC554" s="2" t="s">
        <v>239</v>
      </c>
      <c r="CD554" s="2" t="s">
        <v>227</v>
      </c>
      <c r="CE554" s="4">
        <v>104</v>
      </c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>
        <v>70</v>
      </c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>
        <v>70</v>
      </c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/>
      <c r="FI554" s="4"/>
      <c r="FJ554" s="4"/>
      <c r="FK554" s="4"/>
      <c r="FL554" s="4"/>
      <c r="FM554" s="4"/>
      <c r="FN554" s="4"/>
      <c r="FO554" s="4"/>
      <c r="FP554" s="4"/>
      <c r="FQ554" s="4"/>
      <c r="FR554" s="4"/>
      <c r="FS554" s="4"/>
      <c r="FT554" s="4"/>
      <c r="FU554" s="4"/>
      <c r="FV554" s="4"/>
      <c r="FW554" s="4"/>
      <c r="FX554" s="4"/>
      <c r="FY554" s="4"/>
      <c r="FZ554" s="4"/>
      <c r="GA554" s="4"/>
      <c r="GB554" s="4"/>
      <c r="GC554" s="4"/>
      <c r="GD554" s="4"/>
      <c r="GE554" s="4"/>
      <c r="GF554" s="4"/>
      <c r="GG554" s="4"/>
      <c r="GH554" s="4"/>
      <c r="GI554" s="4"/>
      <c r="GJ554" s="4"/>
      <c r="GK554" s="4"/>
      <c r="GL554" s="4"/>
      <c r="GM554" s="4"/>
      <c r="GN554" s="4"/>
      <c r="GO554" s="4"/>
      <c r="GP554" s="4"/>
      <c r="GQ554" s="4"/>
      <c r="GR554" s="4"/>
      <c r="GS554" s="4"/>
      <c r="GT554" s="4"/>
      <c r="GU554" s="4"/>
      <c r="GV554" s="4"/>
      <c r="GW554" s="4"/>
      <c r="GX554" s="4"/>
    </row>
    <row r="555">
      <c r="A555" s="2" t="s">
        <v>3620</v>
      </c>
      <c r="B555" s="2" t="s">
        <v>573</v>
      </c>
      <c r="C555" s="2" t="s">
        <v>668</v>
      </c>
      <c r="D555" s="2" t="s">
        <v>3621</v>
      </c>
      <c r="E555" s="2" t="s">
        <v>3622</v>
      </c>
      <c r="F555" s="2" t="s">
        <v>3623</v>
      </c>
      <c r="G555" s="2" t="s">
        <v>3623</v>
      </c>
      <c r="H555" s="2" t="s">
        <v>3623</v>
      </c>
      <c r="I555" s="2" t="s">
        <v>3624</v>
      </c>
      <c r="J555" s="2" t="s">
        <v>548</v>
      </c>
      <c r="K555" s="2" t="s">
        <v>737</v>
      </c>
      <c r="L555" s="3">
        <v>189</v>
      </c>
      <c r="M555" s="3">
        <v>198.45</v>
      </c>
      <c r="N555" s="3">
        <v>399</v>
      </c>
      <c r="O555" s="2" t="s">
        <v>224</v>
      </c>
      <c r="P555" s="2" t="s">
        <v>580</v>
      </c>
      <c r="Q555" s="2" t="s">
        <v>226</v>
      </c>
      <c r="R555" s="2" t="s">
        <v>227</v>
      </c>
      <c r="S555" s="2" t="s">
        <v>227</v>
      </c>
      <c r="T555" s="2" t="s">
        <v>227</v>
      </c>
      <c r="U555" s="2" t="s">
        <v>552</v>
      </c>
      <c r="V555" s="2" t="s">
        <v>566</v>
      </c>
      <c r="W555" s="2" t="s">
        <v>836</v>
      </c>
      <c r="X555" s="2" t="s">
        <v>227</v>
      </c>
      <c r="Y555" s="2" t="s">
        <v>3625</v>
      </c>
      <c r="Z555" s="4">
        <v>102</v>
      </c>
      <c r="AA555" s="4">
        <f>=ROUNDDOWN(34,0)</f>
      </c>
      <c r="AB555" s="5">
        <v>3</v>
      </c>
      <c r="AC555" s="2" t="s">
        <v>227</v>
      </c>
      <c r="AD555" s="4"/>
      <c r="AE555" s="4"/>
      <c r="AF555" s="6">
        <v>66</v>
      </c>
      <c r="AG555" s="6"/>
      <c r="AH555" s="7">
        <v>1</v>
      </c>
      <c r="AI555" s="4"/>
      <c r="AJ555" s="4">
        <f>=ROUNDDOWN({0},0)</f>
      </c>
      <c r="AK555" s="5"/>
      <c r="AL555" s="2" t="s">
        <v>227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/>
      <c r="AW555" s="8"/>
      <c r="AX555" s="4"/>
      <c r="AY555" s="8"/>
      <c r="AZ555" s="7"/>
      <c r="BA555" s="7"/>
      <c r="BB555" s="7"/>
      <c r="BC555" s="4"/>
      <c r="BD555" s="8"/>
      <c r="BE555" s="4"/>
      <c r="BF555" s="8"/>
      <c r="BG555" s="7"/>
      <c r="BH555" s="7"/>
      <c r="BI555" s="7"/>
      <c r="BJ555" s="4">
        <v>10</v>
      </c>
      <c r="BK555" s="8">
        <v>2002.65</v>
      </c>
      <c r="BL555" s="2" t="s">
        <v>3626</v>
      </c>
      <c r="BM555" s="7"/>
      <c r="BN555" s="7"/>
      <c r="BO555" s="4"/>
      <c r="BP555" s="8"/>
      <c r="BQ555" s="4"/>
      <c r="BR555" s="8"/>
      <c r="BS555" s="7"/>
      <c r="BT555" s="7"/>
      <c r="BU555" s="2" t="s">
        <v>3627</v>
      </c>
      <c r="BV555" s="2" t="s">
        <v>227</v>
      </c>
      <c r="BW555" s="2" t="s">
        <v>227</v>
      </c>
      <c r="BX555" s="2" t="s">
        <v>235</v>
      </c>
      <c r="BY555" s="2" t="s">
        <v>236</v>
      </c>
      <c r="BZ555" s="2" t="s">
        <v>224</v>
      </c>
      <c r="CA555" s="2" t="s">
        <v>2344</v>
      </c>
      <c r="CB555" s="2" t="s">
        <v>3628</v>
      </c>
      <c r="CC555" s="2" t="s">
        <v>239</v>
      </c>
      <c r="CD555" s="2" t="s">
        <v>227</v>
      </c>
      <c r="CE555" s="4"/>
      <c r="CF555" s="4">
        <v>102</v>
      </c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/>
      <c r="FH555" s="4"/>
      <c r="FI555" s="4"/>
      <c r="FJ555" s="4"/>
      <c r="FK555" s="4"/>
      <c r="FL555" s="4"/>
      <c r="FM555" s="4"/>
      <c r="FN555" s="4"/>
      <c r="FO555" s="4"/>
      <c r="FP555" s="4"/>
      <c r="FQ555" s="4"/>
      <c r="FR555" s="4"/>
      <c r="FS555" s="4"/>
      <c r="FT555" s="4"/>
      <c r="FU555" s="4"/>
      <c r="FV555" s="4"/>
      <c r="FW555" s="4"/>
      <c r="FX555" s="4"/>
      <c r="FY555" s="4"/>
      <c r="FZ555" s="4"/>
      <c r="GA555" s="4"/>
      <c r="GB555" s="4"/>
      <c r="GC555" s="4"/>
      <c r="GD555" s="4"/>
      <c r="GE555" s="4"/>
      <c r="GF555" s="4"/>
      <c r="GG555" s="4"/>
      <c r="GH555" s="4"/>
      <c r="GI555" s="4"/>
      <c r="GJ555" s="4"/>
      <c r="GK555" s="4"/>
      <c r="GL555" s="4"/>
      <c r="GM555" s="4"/>
      <c r="GN555" s="4"/>
      <c r="GO555" s="4"/>
      <c r="GP555" s="4"/>
      <c r="GQ555" s="4"/>
      <c r="GR555" s="4"/>
      <c r="GS555" s="4"/>
      <c r="GT555" s="4"/>
      <c r="GU555" s="4"/>
      <c r="GV555" s="4"/>
      <c r="GW555" s="4"/>
      <c r="GX555" s="4"/>
    </row>
    <row r="556">
      <c r="A556" s="2" t="s">
        <v>3629</v>
      </c>
      <c r="B556" s="2" t="s">
        <v>216</v>
      </c>
      <c r="C556" s="2" t="s">
        <v>360</v>
      </c>
      <c r="D556" s="2" t="s">
        <v>687</v>
      </c>
      <c r="E556" s="2" t="s">
        <v>1903</v>
      </c>
      <c r="F556" s="2" t="s">
        <v>3630</v>
      </c>
      <c r="G556" s="2" t="s">
        <v>3630</v>
      </c>
      <c r="H556" s="2" t="s">
        <v>3630</v>
      </c>
      <c r="I556" s="2" t="s">
        <v>1904</v>
      </c>
      <c r="J556" s="2" t="s">
        <v>626</v>
      </c>
      <c r="K556" s="2" t="s">
        <v>264</v>
      </c>
      <c r="L556" s="3">
        <v>22.85</v>
      </c>
      <c r="M556" s="3">
        <v>23.99</v>
      </c>
      <c r="N556" s="3">
        <v>49.99</v>
      </c>
      <c r="O556" s="2" t="s">
        <v>224</v>
      </c>
      <c r="P556" s="2" t="s">
        <v>225</v>
      </c>
      <c r="Q556" s="2" t="s">
        <v>226</v>
      </c>
      <c r="R556" s="2" t="s">
        <v>227</v>
      </c>
      <c r="S556" s="2" t="s">
        <v>3631</v>
      </c>
      <c r="T556" s="2" t="s">
        <v>375</v>
      </c>
      <c r="U556" s="2" t="s">
        <v>552</v>
      </c>
      <c r="V556" s="2" t="s">
        <v>877</v>
      </c>
      <c r="W556" s="2" t="s">
        <v>231</v>
      </c>
      <c r="X556" s="2" t="s">
        <v>836</v>
      </c>
      <c r="Y556" s="2" t="s">
        <v>1109</v>
      </c>
      <c r="Z556" s="4">
        <v>122</v>
      </c>
      <c r="AA556" s="4">
        <f>=ROUNDDOWN(17.4285714285714,0)</f>
      </c>
      <c r="AB556" s="5">
        <v>7</v>
      </c>
      <c r="AC556" s="2" t="s">
        <v>1072</v>
      </c>
      <c r="AD556" s="4">
        <v>150</v>
      </c>
      <c r="AE556" s="4">
        <v>150</v>
      </c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227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227</v>
      </c>
      <c r="AW556" s="8" t="s">
        <v>227</v>
      </c>
      <c r="AX556" s="4" t="s">
        <v>227</v>
      </c>
      <c r="AY556" s="8" t="s">
        <v>227</v>
      </c>
      <c r="AZ556" s="7" t="s">
        <v>227</v>
      </c>
      <c r="BA556" s="7" t="s">
        <v>227</v>
      </c>
      <c r="BB556" s="7"/>
      <c r="BC556" s="4" t="s">
        <v>227</v>
      </c>
      <c r="BD556" s="8" t="s">
        <v>227</v>
      </c>
      <c r="BE556" s="4" t="s">
        <v>227</v>
      </c>
      <c r="BF556" s="8" t="s">
        <v>227</v>
      </c>
      <c r="BG556" s="7" t="s">
        <v>227</v>
      </c>
      <c r="BH556" s="7" t="s">
        <v>227</v>
      </c>
      <c r="BI556" s="7"/>
      <c r="BJ556" s="4">
        <v>37</v>
      </c>
      <c r="BK556" s="8">
        <v>938.11</v>
      </c>
      <c r="BL556" s="2" t="s">
        <v>3632</v>
      </c>
      <c r="BM556" s="7"/>
      <c r="BN556" s="7"/>
      <c r="BO556" s="4"/>
      <c r="BP556" s="8"/>
      <c r="BQ556" s="4"/>
      <c r="BR556" s="8"/>
      <c r="BS556" s="7"/>
      <c r="BT556" s="7"/>
      <c r="BU556" s="2" t="s">
        <v>3633</v>
      </c>
      <c r="BV556" s="2" t="s">
        <v>227</v>
      </c>
      <c r="BW556" s="2" t="s">
        <v>227</v>
      </c>
      <c r="BX556" s="2" t="s">
        <v>235</v>
      </c>
      <c r="BY556" s="2" t="s">
        <v>236</v>
      </c>
      <c r="BZ556" s="2" t="s">
        <v>224</v>
      </c>
      <c r="CA556" s="2" t="s">
        <v>3634</v>
      </c>
      <c r="CB556" s="2" t="s">
        <v>2645</v>
      </c>
      <c r="CC556" s="2" t="s">
        <v>239</v>
      </c>
      <c r="CD556" s="2" t="s">
        <v>227</v>
      </c>
      <c r="CE556" s="4">
        <v>122</v>
      </c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>
        <v>150</v>
      </c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/>
      <c r="FH556" s="4"/>
      <c r="FI556" s="4"/>
      <c r="FJ556" s="4"/>
      <c r="FK556" s="4"/>
      <c r="FL556" s="4"/>
      <c r="FM556" s="4"/>
      <c r="FN556" s="4"/>
      <c r="FO556" s="4"/>
      <c r="FP556" s="4"/>
      <c r="FQ556" s="4"/>
      <c r="FR556" s="4"/>
      <c r="FS556" s="4"/>
      <c r="FT556" s="4"/>
      <c r="FU556" s="4"/>
      <c r="FV556" s="4"/>
      <c r="FW556" s="4"/>
      <c r="FX556" s="4"/>
      <c r="FY556" s="4"/>
      <c r="FZ556" s="4"/>
      <c r="GA556" s="4"/>
      <c r="GB556" s="4"/>
      <c r="GC556" s="4"/>
      <c r="GD556" s="4"/>
      <c r="GE556" s="4"/>
      <c r="GF556" s="4"/>
      <c r="GG556" s="4"/>
      <c r="GH556" s="4"/>
      <c r="GI556" s="4"/>
      <c r="GJ556" s="4"/>
      <c r="GK556" s="4"/>
      <c r="GL556" s="4"/>
      <c r="GM556" s="4"/>
      <c r="GN556" s="4"/>
      <c r="GO556" s="4"/>
      <c r="GP556" s="4"/>
      <c r="GQ556" s="4"/>
      <c r="GR556" s="4"/>
      <c r="GS556" s="4"/>
      <c r="GT556" s="4"/>
      <c r="GU556" s="4"/>
      <c r="GV556" s="4"/>
      <c r="GW556" s="4"/>
      <c r="GX556" s="4"/>
    </row>
    <row r="557">
      <c r="A557" s="2" t="s">
        <v>3635</v>
      </c>
      <c r="B557" s="2" t="s">
        <v>216</v>
      </c>
      <c r="C557" s="2" t="s">
        <v>360</v>
      </c>
      <c r="D557" s="2" t="s">
        <v>687</v>
      </c>
      <c r="E557" s="2" t="s">
        <v>1903</v>
      </c>
      <c r="F557" s="2" t="s">
        <v>3630</v>
      </c>
      <c r="G557" s="2" t="s">
        <v>3630</v>
      </c>
      <c r="H557" s="2" t="s">
        <v>3630</v>
      </c>
      <c r="I557" s="2" t="s">
        <v>1904</v>
      </c>
      <c r="J557" s="2" t="s">
        <v>682</v>
      </c>
      <c r="K557" s="2" t="s">
        <v>264</v>
      </c>
      <c r="L557" s="3">
        <v>25.14</v>
      </c>
      <c r="M557" s="3">
        <v>26.4</v>
      </c>
      <c r="N557" s="3">
        <v>54.99</v>
      </c>
      <c r="O557" s="2" t="s">
        <v>224</v>
      </c>
      <c r="P557" s="2" t="s">
        <v>225</v>
      </c>
      <c r="Q557" s="2" t="s">
        <v>226</v>
      </c>
      <c r="R557" s="2" t="s">
        <v>227</v>
      </c>
      <c r="S557" s="2" t="s">
        <v>3631</v>
      </c>
      <c r="T557" s="2" t="s">
        <v>375</v>
      </c>
      <c r="U557" s="2" t="s">
        <v>552</v>
      </c>
      <c r="V557" s="2" t="s">
        <v>877</v>
      </c>
      <c r="W557" s="2" t="s">
        <v>231</v>
      </c>
      <c r="X557" s="2" t="s">
        <v>836</v>
      </c>
      <c r="Y557" s="2" t="s">
        <v>3636</v>
      </c>
      <c r="Z557" s="4">
        <v>217</v>
      </c>
      <c r="AA557" s="4">
        <f>=ROUNDDOWN(27.125,0)</f>
      </c>
      <c r="AB557" s="5">
        <v>8</v>
      </c>
      <c r="AC557" s="2" t="s">
        <v>1072</v>
      </c>
      <c r="AD557" s="4">
        <v>150</v>
      </c>
      <c r="AE557" s="4">
        <v>150</v>
      </c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227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 t="s">
        <v>227</v>
      </c>
      <c r="AW557" s="8" t="s">
        <v>227</v>
      </c>
      <c r="AX557" s="4" t="s">
        <v>227</v>
      </c>
      <c r="AY557" s="8" t="s">
        <v>227</v>
      </c>
      <c r="AZ557" s="7" t="s">
        <v>227</v>
      </c>
      <c r="BA557" s="7" t="s">
        <v>227</v>
      </c>
      <c r="BB557" s="7"/>
      <c r="BC557" s="4" t="s">
        <v>227</v>
      </c>
      <c r="BD557" s="8" t="s">
        <v>227</v>
      </c>
      <c r="BE557" s="4" t="s">
        <v>227</v>
      </c>
      <c r="BF557" s="8" t="s">
        <v>227</v>
      </c>
      <c r="BG557" s="7" t="s">
        <v>227</v>
      </c>
      <c r="BH557" s="7" t="s">
        <v>227</v>
      </c>
      <c r="BI557" s="7"/>
      <c r="BJ557" s="4"/>
      <c r="BK557" s="8"/>
      <c r="BL557" s="2" t="s">
        <v>227</v>
      </c>
      <c r="BM557" s="7"/>
      <c r="BN557" s="7"/>
      <c r="BO557" s="4"/>
      <c r="BP557" s="8"/>
      <c r="BQ557" s="4"/>
      <c r="BR557" s="8"/>
      <c r="BS557" s="7"/>
      <c r="BT557" s="7"/>
      <c r="BU557" s="2" t="s">
        <v>3637</v>
      </c>
      <c r="BV557" s="2" t="s">
        <v>227</v>
      </c>
      <c r="BW557" s="2" t="s">
        <v>227</v>
      </c>
      <c r="BX557" s="2" t="s">
        <v>1621</v>
      </c>
      <c r="BY557" s="2" t="s">
        <v>236</v>
      </c>
      <c r="BZ557" s="2" t="s">
        <v>224</v>
      </c>
      <c r="CA557" s="2" t="s">
        <v>3634</v>
      </c>
      <c r="CB557" s="2" t="s">
        <v>3638</v>
      </c>
      <c r="CC557" s="2" t="s">
        <v>239</v>
      </c>
      <c r="CD557" s="2" t="s">
        <v>227</v>
      </c>
      <c r="CE557" s="4">
        <v>217</v>
      </c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>
        <v>150</v>
      </c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/>
      <c r="FH557" s="4"/>
      <c r="FI557" s="4"/>
      <c r="FJ557" s="4"/>
      <c r="FK557" s="4"/>
      <c r="FL557" s="4"/>
      <c r="FM557" s="4"/>
      <c r="FN557" s="4"/>
      <c r="FO557" s="4"/>
      <c r="FP557" s="4"/>
      <c r="FQ557" s="4"/>
      <c r="FR557" s="4"/>
      <c r="FS557" s="4"/>
      <c r="FT557" s="4"/>
      <c r="FU557" s="4"/>
      <c r="FV557" s="4"/>
      <c r="FW557" s="4"/>
      <c r="FX557" s="4"/>
      <c r="FY557" s="4"/>
      <c r="FZ557" s="4"/>
      <c r="GA557" s="4"/>
      <c r="GB557" s="4"/>
      <c r="GC557" s="4"/>
      <c r="GD557" s="4"/>
      <c r="GE557" s="4"/>
      <c r="GF557" s="4"/>
      <c r="GG557" s="4"/>
      <c r="GH557" s="4"/>
      <c r="GI557" s="4"/>
      <c r="GJ557" s="4"/>
      <c r="GK557" s="4"/>
      <c r="GL557" s="4"/>
      <c r="GM557" s="4"/>
      <c r="GN557" s="4"/>
      <c r="GO557" s="4"/>
      <c r="GP557" s="4"/>
      <c r="GQ557" s="4"/>
      <c r="GR557" s="4"/>
      <c r="GS557" s="4"/>
      <c r="GT557" s="4"/>
      <c r="GU557" s="4"/>
      <c r="GV557" s="4"/>
      <c r="GW557" s="4"/>
      <c r="GX557" s="4"/>
    </row>
    <row r="558">
      <c r="A558" s="2" t="s">
        <v>3639</v>
      </c>
      <c r="B558" s="2" t="s">
        <v>3640</v>
      </c>
      <c r="C558" s="2" t="s">
        <v>668</v>
      </c>
      <c r="D558" s="2" t="s">
        <v>3641</v>
      </c>
      <c r="E558" s="2" t="s">
        <v>3642</v>
      </c>
      <c r="F558" s="2" t="s">
        <v>3643</v>
      </c>
      <c r="G558" s="2" t="s">
        <v>227</v>
      </c>
      <c r="H558" s="2" t="s">
        <v>227</v>
      </c>
      <c r="I558" s="2" t="s">
        <v>3644</v>
      </c>
      <c r="J558" s="2" t="s">
        <v>3645</v>
      </c>
      <c r="K558" s="2" t="s">
        <v>223</v>
      </c>
      <c r="L558" s="3">
        <v>16.84</v>
      </c>
      <c r="M558" s="3">
        <v>17.68</v>
      </c>
      <c r="N558" s="3">
        <v>49.99</v>
      </c>
      <c r="O558" s="2" t="s">
        <v>224</v>
      </c>
      <c r="P558" s="2" t="s">
        <v>550</v>
      </c>
      <c r="Q558" s="2" t="s">
        <v>226</v>
      </c>
      <c r="R558" s="2" t="s">
        <v>227</v>
      </c>
      <c r="S558" s="2" t="s">
        <v>227</v>
      </c>
      <c r="T558" s="2" t="s">
        <v>227</v>
      </c>
      <c r="U558" s="2" t="s">
        <v>227</v>
      </c>
      <c r="V558" s="2" t="s">
        <v>230</v>
      </c>
      <c r="W558" s="2" t="s">
        <v>227</v>
      </c>
      <c r="X558" s="2" t="s">
        <v>227</v>
      </c>
      <c r="Y558" s="2" t="s">
        <v>3388</v>
      </c>
      <c r="Z558" s="4">
        <v>449</v>
      </c>
      <c r="AA558" s="4">
        <f>=ROUNDDOWN(28.5987261146497,0)</f>
      </c>
      <c r="AB558" s="5">
        <v>15.7</v>
      </c>
      <c r="AC558" s="2" t="s">
        <v>227</v>
      </c>
      <c r="AD558" s="4"/>
      <c r="AE558" s="4"/>
      <c r="AF558" s="6"/>
      <c r="AG558" s="6">
        <v>73</v>
      </c>
      <c r="AH558" s="7">
        <v>1</v>
      </c>
      <c r="AI558" s="4"/>
      <c r="AJ558" s="4">
        <f>=ROUNDDOWN({0},0)</f>
      </c>
      <c r="AK558" s="5"/>
      <c r="AL558" s="2" t="s">
        <v>227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/>
      <c r="AW558" s="8"/>
      <c r="AX558" s="4"/>
      <c r="AY558" s="8"/>
      <c r="AZ558" s="7"/>
      <c r="BA558" s="7"/>
      <c r="BB558" s="7"/>
      <c r="BC558" s="4" t="s">
        <v>227</v>
      </c>
      <c r="BD558" s="8" t="s">
        <v>227</v>
      </c>
      <c r="BE558" s="4" t="s">
        <v>227</v>
      </c>
      <c r="BF558" s="8" t="s">
        <v>227</v>
      </c>
      <c r="BG558" s="7" t="s">
        <v>227</v>
      </c>
      <c r="BH558" s="7" t="s">
        <v>227</v>
      </c>
      <c r="BI558" s="7"/>
      <c r="BJ558" s="4">
        <v>28</v>
      </c>
      <c r="BK558" s="8">
        <v>539.83</v>
      </c>
      <c r="BL558" s="2" t="s">
        <v>3646</v>
      </c>
      <c r="BM558" s="7"/>
      <c r="BN558" s="7"/>
      <c r="BO558" s="4"/>
      <c r="BP558" s="8"/>
      <c r="BQ558" s="4"/>
      <c r="BR558" s="8"/>
      <c r="BS558" s="7"/>
      <c r="BT558" s="7"/>
      <c r="BU558" s="2" t="s">
        <v>3647</v>
      </c>
      <c r="BV558" s="2" t="s">
        <v>227</v>
      </c>
      <c r="BW558" s="2" t="s">
        <v>227</v>
      </c>
      <c r="BX558" s="2" t="s">
        <v>235</v>
      </c>
      <c r="BY558" s="2" t="s">
        <v>236</v>
      </c>
      <c r="BZ558" s="2" t="s">
        <v>224</v>
      </c>
      <c r="CA558" s="2" t="s">
        <v>3648</v>
      </c>
      <c r="CB558" s="2" t="s">
        <v>3073</v>
      </c>
      <c r="CC558" s="2" t="s">
        <v>239</v>
      </c>
      <c r="CD558" s="2" t="s">
        <v>227</v>
      </c>
      <c r="CE558" s="4"/>
      <c r="CF558" s="4"/>
      <c r="CG558" s="4"/>
      <c r="CH558" s="4">
        <v>449</v>
      </c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/>
      <c r="FG558" s="4"/>
      <c r="FH558" s="4"/>
      <c r="FI558" s="4"/>
      <c r="FJ558" s="4"/>
      <c r="FK558" s="4"/>
      <c r="FL558" s="4"/>
      <c r="FM558" s="4"/>
      <c r="FN558" s="4"/>
      <c r="FO558" s="4"/>
      <c r="FP558" s="4"/>
      <c r="FQ558" s="4"/>
      <c r="FR558" s="4"/>
      <c r="FS558" s="4"/>
      <c r="FT558" s="4"/>
      <c r="FU558" s="4"/>
      <c r="FV558" s="4"/>
      <c r="FW558" s="4"/>
      <c r="FX558" s="4"/>
      <c r="FY558" s="4"/>
      <c r="FZ558" s="4"/>
      <c r="GA558" s="4"/>
      <c r="GB558" s="4"/>
      <c r="GC558" s="4"/>
      <c r="GD558" s="4"/>
      <c r="GE558" s="4"/>
      <c r="GF558" s="4"/>
      <c r="GG558" s="4"/>
      <c r="GH558" s="4"/>
      <c r="GI558" s="4"/>
      <c r="GJ558" s="4"/>
      <c r="GK558" s="4"/>
      <c r="GL558" s="4"/>
      <c r="GM558" s="4"/>
      <c r="GN558" s="4"/>
      <c r="GO558" s="4"/>
      <c r="GP558" s="4"/>
      <c r="GQ558" s="4"/>
      <c r="GR558" s="4"/>
      <c r="GS558" s="4"/>
      <c r="GT558" s="4"/>
      <c r="GU558" s="4"/>
      <c r="GV558" s="4"/>
      <c r="GW558" s="4"/>
      <c r="GX558" s="4"/>
    </row>
    <row r="559">
      <c r="A559" s="2" t="s">
        <v>3649</v>
      </c>
      <c r="B559" s="2" t="s">
        <v>3640</v>
      </c>
      <c r="C559" s="2" t="s">
        <v>668</v>
      </c>
      <c r="D559" s="2" t="s">
        <v>3641</v>
      </c>
      <c r="E559" s="2" t="s">
        <v>3642</v>
      </c>
      <c r="F559" s="2" t="s">
        <v>3643</v>
      </c>
      <c r="G559" s="2" t="s">
        <v>227</v>
      </c>
      <c r="H559" s="2" t="s">
        <v>227</v>
      </c>
      <c r="I559" s="2" t="s">
        <v>3650</v>
      </c>
      <c r="J559" s="2" t="s">
        <v>3651</v>
      </c>
      <c r="K559" s="2" t="s">
        <v>3652</v>
      </c>
      <c r="L559" s="3">
        <v>18.5</v>
      </c>
      <c r="M559" s="3">
        <v>19.43</v>
      </c>
      <c r="N559" s="3">
        <v>48.99</v>
      </c>
      <c r="O559" s="2" t="s">
        <v>224</v>
      </c>
      <c r="P559" s="2" t="s">
        <v>550</v>
      </c>
      <c r="Q559" s="2" t="s">
        <v>226</v>
      </c>
      <c r="R559" s="2" t="s">
        <v>227</v>
      </c>
      <c r="S559" s="2" t="s">
        <v>227</v>
      </c>
      <c r="T559" s="2" t="s">
        <v>227</v>
      </c>
      <c r="U559" s="2" t="s">
        <v>227</v>
      </c>
      <c r="V559" s="2" t="s">
        <v>230</v>
      </c>
      <c r="W559" s="2" t="s">
        <v>227</v>
      </c>
      <c r="X559" s="2" t="s">
        <v>227</v>
      </c>
      <c r="Y559" s="2" t="s">
        <v>2236</v>
      </c>
      <c r="Z559" s="4">
        <v>355</v>
      </c>
      <c r="AA559" s="4">
        <f>=ROUNDDOWN(35.5,0)</f>
      </c>
      <c r="AB559" s="5">
        <v>10</v>
      </c>
      <c r="AC559" s="2" t="s">
        <v>227</v>
      </c>
      <c r="AD559" s="4"/>
      <c r="AE559" s="4"/>
      <c r="AF559" s="6"/>
      <c r="AG559" s="6">
        <v>73</v>
      </c>
      <c r="AH559" s="7">
        <v>1</v>
      </c>
      <c r="AI559" s="4"/>
      <c r="AJ559" s="4">
        <f>=ROUNDDOWN({0},0)</f>
      </c>
      <c r="AK559" s="5"/>
      <c r="AL559" s="2" t="s">
        <v>227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227</v>
      </c>
      <c r="AW559" s="8" t="s">
        <v>227</v>
      </c>
      <c r="AX559" s="4" t="s">
        <v>227</v>
      </c>
      <c r="AY559" s="8" t="s">
        <v>227</v>
      </c>
      <c r="AZ559" s="7" t="s">
        <v>227</v>
      </c>
      <c r="BA559" s="7" t="s">
        <v>227</v>
      </c>
      <c r="BB559" s="7"/>
      <c r="BC559" s="4" t="s">
        <v>227</v>
      </c>
      <c r="BD559" s="8" t="s">
        <v>227</v>
      </c>
      <c r="BE559" s="4" t="s">
        <v>227</v>
      </c>
      <c r="BF559" s="8" t="s">
        <v>227</v>
      </c>
      <c r="BG559" s="7" t="s">
        <v>227</v>
      </c>
      <c r="BH559" s="7" t="s">
        <v>227</v>
      </c>
      <c r="BI559" s="7"/>
      <c r="BJ559" s="4">
        <v>21</v>
      </c>
      <c r="BK559" s="8">
        <v>353.4</v>
      </c>
      <c r="BL559" s="2" t="s">
        <v>2342</v>
      </c>
      <c r="BM559" s="7"/>
      <c r="BN559" s="7"/>
      <c r="BO559" s="4"/>
      <c r="BP559" s="8"/>
      <c r="BQ559" s="4"/>
      <c r="BR559" s="8"/>
      <c r="BS559" s="7"/>
      <c r="BT559" s="7"/>
      <c r="BU559" s="2" t="s">
        <v>3653</v>
      </c>
      <c r="BV559" s="2" t="s">
        <v>227</v>
      </c>
      <c r="BW559" s="2" t="s">
        <v>227</v>
      </c>
      <c r="BX559" s="2" t="s">
        <v>235</v>
      </c>
      <c r="BY559" s="2" t="s">
        <v>236</v>
      </c>
      <c r="BZ559" s="2" t="s">
        <v>224</v>
      </c>
      <c r="CA559" s="2" t="s">
        <v>1701</v>
      </c>
      <c r="CB559" s="2" t="s">
        <v>227</v>
      </c>
      <c r="CC559" s="2" t="s">
        <v>239</v>
      </c>
      <c r="CD559" s="2" t="s">
        <v>227</v>
      </c>
      <c r="CE559" s="4"/>
      <c r="CF559" s="4"/>
      <c r="CG559" s="4"/>
      <c r="CH559" s="4">
        <v>355</v>
      </c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/>
      <c r="EO559" s="4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/>
      <c r="FI559" s="4"/>
      <c r="FJ559" s="4"/>
      <c r="FK559" s="4"/>
      <c r="FL559" s="4"/>
      <c r="FM559" s="4"/>
      <c r="FN559" s="4"/>
      <c r="FO559" s="4"/>
      <c r="FP559" s="4"/>
      <c r="FQ559" s="4"/>
      <c r="FR559" s="4"/>
      <c r="FS559" s="4"/>
      <c r="FT559" s="4"/>
      <c r="FU559" s="4"/>
      <c r="FV559" s="4"/>
      <c r="FW559" s="4"/>
      <c r="FX559" s="4"/>
      <c r="FY559" s="4"/>
      <c r="FZ559" s="4"/>
      <c r="GA559" s="4"/>
      <c r="GB559" s="4"/>
      <c r="GC559" s="4"/>
      <c r="GD559" s="4"/>
      <c r="GE559" s="4"/>
      <c r="GF559" s="4"/>
      <c r="GG559" s="4"/>
      <c r="GH559" s="4"/>
      <c r="GI559" s="4"/>
      <c r="GJ559" s="4"/>
      <c r="GK559" s="4"/>
      <c r="GL559" s="4"/>
      <c r="GM559" s="4"/>
      <c r="GN559" s="4"/>
      <c r="GO559" s="4"/>
      <c r="GP559" s="4"/>
      <c r="GQ559" s="4"/>
      <c r="GR559" s="4"/>
      <c r="GS559" s="4"/>
      <c r="GT559" s="4"/>
      <c r="GU559" s="4"/>
      <c r="GV559" s="4"/>
      <c r="GW559" s="4"/>
      <c r="GX559" s="4"/>
    </row>
    <row r="560">
      <c r="A560" s="2" t="s">
        <v>3654</v>
      </c>
      <c r="B560" s="2" t="s">
        <v>3640</v>
      </c>
      <c r="C560" s="2" t="s">
        <v>668</v>
      </c>
      <c r="D560" s="2" t="s">
        <v>3641</v>
      </c>
      <c r="E560" s="2" t="s">
        <v>3642</v>
      </c>
      <c r="F560" s="2" t="s">
        <v>3643</v>
      </c>
      <c r="G560" s="2" t="s">
        <v>227</v>
      </c>
      <c r="H560" s="2" t="s">
        <v>227</v>
      </c>
      <c r="I560" s="2" t="s">
        <v>3650</v>
      </c>
      <c r="J560" s="2" t="s">
        <v>3645</v>
      </c>
      <c r="K560" s="2" t="s">
        <v>3652</v>
      </c>
      <c r="L560" s="3">
        <v>18.5</v>
      </c>
      <c r="M560" s="3">
        <v>19.43</v>
      </c>
      <c r="N560" s="3">
        <v>49.99</v>
      </c>
      <c r="O560" s="2" t="s">
        <v>224</v>
      </c>
      <c r="P560" s="2" t="s">
        <v>550</v>
      </c>
      <c r="Q560" s="2" t="s">
        <v>226</v>
      </c>
      <c r="R560" s="2" t="s">
        <v>227</v>
      </c>
      <c r="S560" s="2" t="s">
        <v>227</v>
      </c>
      <c r="T560" s="2" t="s">
        <v>227</v>
      </c>
      <c r="U560" s="2" t="s">
        <v>227</v>
      </c>
      <c r="V560" s="2" t="s">
        <v>230</v>
      </c>
      <c r="W560" s="2" t="s">
        <v>227</v>
      </c>
      <c r="X560" s="2" t="s">
        <v>227</v>
      </c>
      <c r="Y560" s="2" t="s">
        <v>2236</v>
      </c>
      <c r="Z560" s="4">
        <v>356</v>
      </c>
      <c r="AA560" s="4">
        <f>=ROUNDDOWN(32.3636363636364,0)</f>
      </c>
      <c r="AB560" s="5">
        <v>11</v>
      </c>
      <c r="AC560" s="2" t="s">
        <v>227</v>
      </c>
      <c r="AD560" s="4"/>
      <c r="AE560" s="4"/>
      <c r="AF560" s="6"/>
      <c r="AG560" s="6">
        <v>73</v>
      </c>
      <c r="AH560" s="7">
        <v>1</v>
      </c>
      <c r="AI560" s="4"/>
      <c r="AJ560" s="4">
        <f>=ROUNDDOWN({0},0)</f>
      </c>
      <c r="AK560" s="5"/>
      <c r="AL560" s="2" t="s">
        <v>227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 t="s">
        <v>227</v>
      </c>
      <c r="AW560" s="8" t="s">
        <v>227</v>
      </c>
      <c r="AX560" s="4" t="s">
        <v>227</v>
      </c>
      <c r="AY560" s="8" t="s">
        <v>227</v>
      </c>
      <c r="AZ560" s="7" t="s">
        <v>227</v>
      </c>
      <c r="BA560" s="7" t="s">
        <v>227</v>
      </c>
      <c r="BB560" s="7"/>
      <c r="BC560" s="4" t="s">
        <v>227</v>
      </c>
      <c r="BD560" s="8" t="s">
        <v>227</v>
      </c>
      <c r="BE560" s="4" t="s">
        <v>227</v>
      </c>
      <c r="BF560" s="8" t="s">
        <v>227</v>
      </c>
      <c r="BG560" s="7" t="s">
        <v>227</v>
      </c>
      <c r="BH560" s="7" t="s">
        <v>227</v>
      </c>
      <c r="BI560" s="7"/>
      <c r="BJ560" s="4">
        <v>29</v>
      </c>
      <c r="BK560" s="8">
        <v>536.5</v>
      </c>
      <c r="BL560" s="2" t="s">
        <v>1750</v>
      </c>
      <c r="BM560" s="7"/>
      <c r="BN560" s="7"/>
      <c r="BO560" s="4"/>
      <c r="BP560" s="8"/>
      <c r="BQ560" s="4"/>
      <c r="BR560" s="8"/>
      <c r="BS560" s="7"/>
      <c r="BT560" s="7"/>
      <c r="BU560" s="2" t="s">
        <v>3655</v>
      </c>
      <c r="BV560" s="2" t="s">
        <v>227</v>
      </c>
      <c r="BW560" s="2" t="s">
        <v>227</v>
      </c>
      <c r="BX560" s="2" t="s">
        <v>235</v>
      </c>
      <c r="BY560" s="2" t="s">
        <v>236</v>
      </c>
      <c r="BZ560" s="2" t="s">
        <v>224</v>
      </c>
      <c r="CA560" s="2" t="s">
        <v>1701</v>
      </c>
      <c r="CB560" s="2" t="s">
        <v>227</v>
      </c>
      <c r="CC560" s="2" t="s">
        <v>239</v>
      </c>
      <c r="CD560" s="2" t="s">
        <v>227</v>
      </c>
      <c r="CE560" s="4">
        <v>13</v>
      </c>
      <c r="CF560" s="4"/>
      <c r="CG560" s="4"/>
      <c r="CH560" s="4">
        <v>343</v>
      </c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/>
      <c r="FG560" s="4"/>
      <c r="FH560" s="4"/>
      <c r="FI560" s="4"/>
      <c r="FJ560" s="4"/>
      <c r="FK560" s="4"/>
      <c r="FL560" s="4"/>
      <c r="FM560" s="4"/>
      <c r="FN560" s="4"/>
      <c r="FO560" s="4"/>
      <c r="FP560" s="4"/>
      <c r="FQ560" s="4"/>
      <c r="FR560" s="4"/>
      <c r="FS560" s="4"/>
      <c r="FT560" s="4"/>
      <c r="FU560" s="4"/>
      <c r="FV560" s="4"/>
      <c r="FW560" s="4"/>
      <c r="FX560" s="4"/>
      <c r="FY560" s="4"/>
      <c r="FZ560" s="4"/>
      <c r="GA560" s="4"/>
      <c r="GB560" s="4"/>
      <c r="GC560" s="4"/>
      <c r="GD560" s="4"/>
      <c r="GE560" s="4"/>
      <c r="GF560" s="4"/>
      <c r="GG560" s="4"/>
      <c r="GH560" s="4"/>
      <c r="GI560" s="4"/>
      <c r="GJ560" s="4"/>
      <c r="GK560" s="4"/>
      <c r="GL560" s="4"/>
      <c r="GM560" s="4"/>
      <c r="GN560" s="4"/>
      <c r="GO560" s="4"/>
      <c r="GP560" s="4"/>
      <c r="GQ560" s="4"/>
      <c r="GR560" s="4"/>
      <c r="GS560" s="4"/>
      <c r="GT560" s="4"/>
      <c r="GU560" s="4"/>
      <c r="GV560" s="4"/>
      <c r="GW560" s="4"/>
      <c r="GX560" s="4"/>
    </row>
    <row r="561">
      <c r="A561" s="2" t="s">
        <v>3656</v>
      </c>
      <c r="B561" s="2" t="s">
        <v>3640</v>
      </c>
      <c r="C561" s="2" t="s">
        <v>668</v>
      </c>
      <c r="D561" s="2" t="s">
        <v>3641</v>
      </c>
      <c r="E561" s="2" t="s">
        <v>3642</v>
      </c>
      <c r="F561" s="2" t="s">
        <v>3643</v>
      </c>
      <c r="G561" s="2" t="s">
        <v>227</v>
      </c>
      <c r="H561" s="2" t="s">
        <v>227</v>
      </c>
      <c r="I561" s="2" t="s">
        <v>3644</v>
      </c>
      <c r="J561" s="2" t="s">
        <v>3651</v>
      </c>
      <c r="K561" s="2" t="s">
        <v>264</v>
      </c>
      <c r="L561" s="3">
        <v>16.84</v>
      </c>
      <c r="M561" s="3">
        <v>17.68</v>
      </c>
      <c r="N561" s="3">
        <v>48.99</v>
      </c>
      <c r="O561" s="2" t="s">
        <v>224</v>
      </c>
      <c r="P561" s="2" t="s">
        <v>550</v>
      </c>
      <c r="Q561" s="2" t="s">
        <v>226</v>
      </c>
      <c r="R561" s="2" t="s">
        <v>227</v>
      </c>
      <c r="S561" s="2" t="s">
        <v>227</v>
      </c>
      <c r="T561" s="2" t="s">
        <v>227</v>
      </c>
      <c r="U561" s="2" t="s">
        <v>227</v>
      </c>
      <c r="V561" s="2" t="s">
        <v>230</v>
      </c>
      <c r="W561" s="2" t="s">
        <v>227</v>
      </c>
      <c r="X561" s="2" t="s">
        <v>227</v>
      </c>
      <c r="Y561" s="2" t="s">
        <v>3388</v>
      </c>
      <c r="Z561" s="4">
        <v>617</v>
      </c>
      <c r="AA561" s="4">
        <f>=ROUNDDOWN(72.5882352941176,0)</f>
      </c>
      <c r="AB561" s="5">
        <v>8.5</v>
      </c>
      <c r="AC561" s="2" t="s">
        <v>227</v>
      </c>
      <c r="AD561" s="4"/>
      <c r="AE561" s="4"/>
      <c r="AF561" s="6"/>
      <c r="AG561" s="6">
        <v>73</v>
      </c>
      <c r="AH561" s="7">
        <v>1</v>
      </c>
      <c r="AI561" s="4"/>
      <c r="AJ561" s="4">
        <f>=ROUNDDOWN({0},0)</f>
      </c>
      <c r="AK561" s="5"/>
      <c r="AL561" s="2" t="s">
        <v>227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 t="s">
        <v>227</v>
      </c>
      <c r="AW561" s="8" t="s">
        <v>227</v>
      </c>
      <c r="AX561" s="4" t="s">
        <v>227</v>
      </c>
      <c r="AY561" s="8" t="s">
        <v>227</v>
      </c>
      <c r="AZ561" s="7" t="s">
        <v>227</v>
      </c>
      <c r="BA561" s="7" t="s">
        <v>227</v>
      </c>
      <c r="BB561" s="7"/>
      <c r="BC561" s="4" t="s">
        <v>227</v>
      </c>
      <c r="BD561" s="8" t="s">
        <v>227</v>
      </c>
      <c r="BE561" s="4" t="s">
        <v>227</v>
      </c>
      <c r="BF561" s="8" t="s">
        <v>227</v>
      </c>
      <c r="BG561" s="7" t="s">
        <v>227</v>
      </c>
      <c r="BH561" s="7" t="s">
        <v>227</v>
      </c>
      <c r="BI561" s="7"/>
      <c r="BJ561" s="4">
        <v>12</v>
      </c>
      <c r="BK561" s="8">
        <v>222</v>
      </c>
      <c r="BL561" s="2" t="s">
        <v>3657</v>
      </c>
      <c r="BM561" s="7"/>
      <c r="BN561" s="7"/>
      <c r="BO561" s="4"/>
      <c r="BP561" s="8"/>
      <c r="BQ561" s="4"/>
      <c r="BR561" s="8"/>
      <c r="BS561" s="7"/>
      <c r="BT561" s="7"/>
      <c r="BU561" s="2" t="s">
        <v>3658</v>
      </c>
      <c r="BV561" s="2" t="s">
        <v>227</v>
      </c>
      <c r="BW561" s="2" t="s">
        <v>227</v>
      </c>
      <c r="BX561" s="2" t="s">
        <v>235</v>
      </c>
      <c r="BY561" s="2" t="s">
        <v>236</v>
      </c>
      <c r="BZ561" s="2" t="s">
        <v>224</v>
      </c>
      <c r="CA561" s="2" t="s">
        <v>3098</v>
      </c>
      <c r="CB561" s="2" t="s">
        <v>3659</v>
      </c>
      <c r="CC561" s="2" t="s">
        <v>239</v>
      </c>
      <c r="CD561" s="2" t="s">
        <v>227</v>
      </c>
      <c r="CE561" s="4"/>
      <c r="CF561" s="4"/>
      <c r="CG561" s="4"/>
      <c r="CH561" s="4">
        <v>617</v>
      </c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/>
      <c r="FH561" s="4"/>
      <c r="FI561" s="4"/>
      <c r="FJ561" s="4"/>
      <c r="FK561" s="4"/>
      <c r="FL561" s="4"/>
      <c r="FM561" s="4"/>
      <c r="FN561" s="4"/>
      <c r="FO561" s="4"/>
      <c r="FP561" s="4"/>
      <c r="FQ561" s="4"/>
      <c r="FR561" s="4"/>
      <c r="FS561" s="4"/>
      <c r="FT561" s="4"/>
      <c r="FU561" s="4"/>
      <c r="FV561" s="4"/>
      <c r="FW561" s="4"/>
      <c r="FX561" s="4"/>
      <c r="FY561" s="4"/>
      <c r="FZ561" s="4"/>
      <c r="GA561" s="4"/>
      <c r="GB561" s="4"/>
      <c r="GC561" s="4"/>
      <c r="GD561" s="4"/>
      <c r="GE561" s="4"/>
      <c r="GF561" s="4"/>
      <c r="GG561" s="4"/>
      <c r="GH561" s="4"/>
      <c r="GI561" s="4"/>
      <c r="GJ561" s="4"/>
      <c r="GK561" s="4"/>
      <c r="GL561" s="4"/>
      <c r="GM561" s="4"/>
      <c r="GN561" s="4"/>
      <c r="GO561" s="4"/>
      <c r="GP561" s="4"/>
      <c r="GQ561" s="4"/>
      <c r="GR561" s="4"/>
      <c r="GS561" s="4"/>
      <c r="GT561" s="4"/>
      <c r="GU561" s="4"/>
      <c r="GV561" s="4"/>
      <c r="GW561" s="4"/>
      <c r="GX561" s="4"/>
    </row>
    <row r="562">
      <c r="A562" s="2" t="s">
        <v>3660</v>
      </c>
      <c r="B562" s="2" t="s">
        <v>3640</v>
      </c>
      <c r="C562" s="2" t="s">
        <v>668</v>
      </c>
      <c r="D562" s="2" t="s">
        <v>3641</v>
      </c>
      <c r="E562" s="2" t="s">
        <v>3642</v>
      </c>
      <c r="F562" s="2" t="s">
        <v>3643</v>
      </c>
      <c r="G562" s="2" t="s">
        <v>227</v>
      </c>
      <c r="H562" s="2" t="s">
        <v>227</v>
      </c>
      <c r="I562" s="2" t="s">
        <v>3644</v>
      </c>
      <c r="J562" s="2" t="s">
        <v>3645</v>
      </c>
      <c r="K562" s="2" t="s">
        <v>264</v>
      </c>
      <c r="L562" s="3">
        <v>16.84</v>
      </c>
      <c r="M562" s="3">
        <v>17.68</v>
      </c>
      <c r="N562" s="3">
        <v>48.99</v>
      </c>
      <c r="O562" s="2" t="s">
        <v>224</v>
      </c>
      <c r="P562" s="2" t="s">
        <v>550</v>
      </c>
      <c r="Q562" s="2" t="s">
        <v>226</v>
      </c>
      <c r="R562" s="2" t="s">
        <v>227</v>
      </c>
      <c r="S562" s="2" t="s">
        <v>227</v>
      </c>
      <c r="T562" s="2" t="s">
        <v>227</v>
      </c>
      <c r="U562" s="2" t="s">
        <v>227</v>
      </c>
      <c r="V562" s="2" t="s">
        <v>230</v>
      </c>
      <c r="W562" s="2" t="s">
        <v>227</v>
      </c>
      <c r="X562" s="2" t="s">
        <v>227</v>
      </c>
      <c r="Y562" s="2" t="s">
        <v>3388</v>
      </c>
      <c r="Z562" s="4">
        <v>609</v>
      </c>
      <c r="AA562" s="4">
        <f>=ROUNDDOWN(43.5,0)</f>
      </c>
      <c r="AB562" s="5">
        <v>14</v>
      </c>
      <c r="AC562" s="2" t="s">
        <v>227</v>
      </c>
      <c r="AD562" s="4"/>
      <c r="AE562" s="4"/>
      <c r="AF562" s="6"/>
      <c r="AG562" s="6">
        <v>73</v>
      </c>
      <c r="AH562" s="7">
        <v>1</v>
      </c>
      <c r="AI562" s="4"/>
      <c r="AJ562" s="4">
        <f>=ROUNDDOWN({0},0)</f>
      </c>
      <c r="AK562" s="5"/>
      <c r="AL562" s="2" t="s">
        <v>227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 t="s">
        <v>227</v>
      </c>
      <c r="AW562" s="8" t="s">
        <v>227</v>
      </c>
      <c r="AX562" s="4" t="s">
        <v>227</v>
      </c>
      <c r="AY562" s="8" t="s">
        <v>227</v>
      </c>
      <c r="AZ562" s="7" t="s">
        <v>227</v>
      </c>
      <c r="BA562" s="7" t="s">
        <v>227</v>
      </c>
      <c r="BB562" s="7"/>
      <c r="BC562" s="4" t="s">
        <v>227</v>
      </c>
      <c r="BD562" s="8" t="s">
        <v>227</v>
      </c>
      <c r="BE562" s="4" t="s">
        <v>227</v>
      </c>
      <c r="BF562" s="8" t="s">
        <v>227</v>
      </c>
      <c r="BG562" s="7" t="s">
        <v>227</v>
      </c>
      <c r="BH562" s="7" t="s">
        <v>227</v>
      </c>
      <c r="BI562" s="7"/>
      <c r="BJ562" s="4">
        <v>21</v>
      </c>
      <c r="BK562" s="8">
        <v>453.4</v>
      </c>
      <c r="BL562" s="2" t="s">
        <v>2342</v>
      </c>
      <c r="BM562" s="7"/>
      <c r="BN562" s="7"/>
      <c r="BO562" s="4"/>
      <c r="BP562" s="8"/>
      <c r="BQ562" s="4"/>
      <c r="BR562" s="8"/>
      <c r="BS562" s="7"/>
      <c r="BT562" s="7"/>
      <c r="BU562" s="2" t="s">
        <v>3661</v>
      </c>
      <c r="BV562" s="2" t="s">
        <v>227</v>
      </c>
      <c r="BW562" s="2" t="s">
        <v>227</v>
      </c>
      <c r="BX562" s="2" t="s">
        <v>235</v>
      </c>
      <c r="BY562" s="2" t="s">
        <v>236</v>
      </c>
      <c r="BZ562" s="2" t="s">
        <v>224</v>
      </c>
      <c r="CA562" s="2" t="s">
        <v>3098</v>
      </c>
      <c r="CB562" s="2" t="s">
        <v>3659</v>
      </c>
      <c r="CC562" s="2" t="s">
        <v>239</v>
      </c>
      <c r="CD562" s="2" t="s">
        <v>227</v>
      </c>
      <c r="CE562" s="4"/>
      <c r="CF562" s="4"/>
      <c r="CG562" s="4"/>
      <c r="CH562" s="4">
        <v>609</v>
      </c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/>
      <c r="FI562" s="4"/>
      <c r="FJ562" s="4"/>
      <c r="FK562" s="4"/>
      <c r="FL562" s="4"/>
      <c r="FM562" s="4"/>
      <c r="FN562" s="4"/>
      <c r="FO562" s="4"/>
      <c r="FP562" s="4"/>
      <c r="FQ562" s="4"/>
      <c r="FR562" s="4"/>
      <c r="FS562" s="4"/>
      <c r="FT562" s="4"/>
      <c r="FU562" s="4"/>
      <c r="FV562" s="4"/>
      <c r="FW562" s="4"/>
      <c r="FX562" s="4"/>
      <c r="FY562" s="4"/>
      <c r="FZ562" s="4"/>
      <c r="GA562" s="4"/>
      <c r="GB562" s="4"/>
      <c r="GC562" s="4"/>
      <c r="GD562" s="4"/>
      <c r="GE562" s="4"/>
      <c r="GF562" s="4"/>
      <c r="GG562" s="4"/>
      <c r="GH562" s="4"/>
      <c r="GI562" s="4"/>
      <c r="GJ562" s="4"/>
      <c r="GK562" s="4"/>
      <c r="GL562" s="4"/>
      <c r="GM562" s="4"/>
      <c r="GN562" s="4"/>
      <c r="GO562" s="4"/>
      <c r="GP562" s="4"/>
      <c r="GQ562" s="4"/>
      <c r="GR562" s="4"/>
      <c r="GS562" s="4"/>
      <c r="GT562" s="4"/>
      <c r="GU562" s="4"/>
      <c r="GV562" s="4"/>
      <c r="GW562" s="4"/>
      <c r="GX562" s="4"/>
    </row>
    <row r="563">
      <c r="A563" s="2" t="s">
        <v>3662</v>
      </c>
      <c r="B563" s="2" t="s">
        <v>3640</v>
      </c>
      <c r="C563" s="2" t="s">
        <v>668</v>
      </c>
      <c r="D563" s="2" t="s">
        <v>3641</v>
      </c>
      <c r="E563" s="2" t="s">
        <v>3642</v>
      </c>
      <c r="F563" s="2" t="s">
        <v>3663</v>
      </c>
      <c r="G563" s="2" t="s">
        <v>227</v>
      </c>
      <c r="H563" s="2" t="s">
        <v>227</v>
      </c>
      <c r="I563" s="2" t="s">
        <v>3664</v>
      </c>
      <c r="J563" s="2" t="s">
        <v>3651</v>
      </c>
      <c r="K563" s="2" t="s">
        <v>3665</v>
      </c>
      <c r="L563" s="3">
        <v>11</v>
      </c>
      <c r="M563" s="3">
        <v>11.55</v>
      </c>
      <c r="N563" s="3">
        <v>32.99</v>
      </c>
      <c r="O563" s="2" t="s">
        <v>224</v>
      </c>
      <c r="P563" s="2" t="s">
        <v>550</v>
      </c>
      <c r="Q563" s="2" t="s">
        <v>226</v>
      </c>
      <c r="R563" s="2" t="s">
        <v>227</v>
      </c>
      <c r="S563" s="2" t="s">
        <v>227</v>
      </c>
      <c r="T563" s="2" t="s">
        <v>227</v>
      </c>
      <c r="U563" s="2" t="s">
        <v>227</v>
      </c>
      <c r="V563" s="2" t="s">
        <v>566</v>
      </c>
      <c r="W563" s="2" t="s">
        <v>227</v>
      </c>
      <c r="X563" s="2" t="s">
        <v>227</v>
      </c>
      <c r="Y563" s="2" t="s">
        <v>2408</v>
      </c>
      <c r="Z563" s="4">
        <v>378</v>
      </c>
      <c r="AA563" s="4">
        <f>=ROUNDDOWN(18,0)</f>
      </c>
      <c r="AB563" s="5">
        <v>21</v>
      </c>
      <c r="AC563" s="2" t="s">
        <v>227</v>
      </c>
      <c r="AD563" s="4"/>
      <c r="AE563" s="4"/>
      <c r="AF563" s="6"/>
      <c r="AG563" s="6">
        <v>48</v>
      </c>
      <c r="AH563" s="7">
        <v>1</v>
      </c>
      <c r="AI563" s="4"/>
      <c r="AJ563" s="4">
        <f>=ROUNDDOWN({0},0)</f>
      </c>
      <c r="AK563" s="5"/>
      <c r="AL563" s="2" t="s">
        <v>227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 t="s">
        <v>227</v>
      </c>
      <c r="AW563" s="8" t="s">
        <v>227</v>
      </c>
      <c r="AX563" s="4" t="s">
        <v>227</v>
      </c>
      <c r="AY563" s="8" t="s">
        <v>227</v>
      </c>
      <c r="AZ563" s="7" t="s">
        <v>227</v>
      </c>
      <c r="BA563" s="7" t="s">
        <v>227</v>
      </c>
      <c r="BB563" s="7"/>
      <c r="BC563" s="4" t="s">
        <v>227</v>
      </c>
      <c r="BD563" s="8" t="s">
        <v>227</v>
      </c>
      <c r="BE563" s="4" t="s">
        <v>227</v>
      </c>
      <c r="BF563" s="8" t="s">
        <v>227</v>
      </c>
      <c r="BG563" s="7" t="s">
        <v>227</v>
      </c>
      <c r="BH563" s="7" t="s">
        <v>227</v>
      </c>
      <c r="BI563" s="7"/>
      <c r="BJ563" s="4">
        <v>10</v>
      </c>
      <c r="BK563" s="8">
        <v>165</v>
      </c>
      <c r="BL563" s="2" t="s">
        <v>498</v>
      </c>
      <c r="BM563" s="7"/>
      <c r="BN563" s="7"/>
      <c r="BO563" s="4"/>
      <c r="BP563" s="8"/>
      <c r="BQ563" s="4"/>
      <c r="BR563" s="8"/>
      <c r="BS563" s="7"/>
      <c r="BT563" s="7"/>
      <c r="BU563" s="2" t="s">
        <v>3666</v>
      </c>
      <c r="BV563" s="2" t="s">
        <v>227</v>
      </c>
      <c r="BW563" s="2" t="s">
        <v>227</v>
      </c>
      <c r="BX563" s="2" t="s">
        <v>235</v>
      </c>
      <c r="BY563" s="2" t="s">
        <v>236</v>
      </c>
      <c r="BZ563" s="2" t="s">
        <v>224</v>
      </c>
      <c r="CA563" s="2" t="s">
        <v>3667</v>
      </c>
      <c r="CB563" s="2" t="s">
        <v>227</v>
      </c>
      <c r="CC563" s="2" t="s">
        <v>239</v>
      </c>
      <c r="CD563" s="2" t="s">
        <v>227</v>
      </c>
      <c r="CE563" s="4"/>
      <c r="CF563" s="4"/>
      <c r="CG563" s="4"/>
      <c r="CH563" s="4">
        <v>378</v>
      </c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/>
      <c r="FM563" s="4"/>
      <c r="FN563" s="4"/>
      <c r="FO563" s="4"/>
      <c r="FP563" s="4"/>
      <c r="FQ563" s="4"/>
      <c r="FR563" s="4"/>
      <c r="FS563" s="4"/>
      <c r="FT563" s="4"/>
      <c r="FU563" s="4"/>
      <c r="FV563" s="4"/>
      <c r="FW563" s="4"/>
      <c r="FX563" s="4"/>
      <c r="FY563" s="4"/>
      <c r="FZ563" s="4"/>
      <c r="GA563" s="4"/>
      <c r="GB563" s="4"/>
      <c r="GC563" s="4"/>
      <c r="GD563" s="4"/>
      <c r="GE563" s="4"/>
      <c r="GF563" s="4"/>
      <c r="GG563" s="4"/>
      <c r="GH563" s="4"/>
      <c r="GI563" s="4"/>
      <c r="GJ563" s="4"/>
      <c r="GK563" s="4"/>
      <c r="GL563" s="4"/>
      <c r="GM563" s="4"/>
      <c r="GN563" s="4"/>
      <c r="GO563" s="4"/>
      <c r="GP563" s="4"/>
      <c r="GQ563" s="4"/>
      <c r="GR563" s="4"/>
      <c r="GS563" s="4"/>
      <c r="GT563" s="4"/>
      <c r="GU563" s="4"/>
      <c r="GV563" s="4"/>
      <c r="GW563" s="4"/>
      <c r="GX563" s="4"/>
    </row>
    <row r="564">
      <c r="A564" s="2" t="s">
        <v>3668</v>
      </c>
      <c r="B564" s="2" t="s">
        <v>3640</v>
      </c>
      <c r="C564" s="2" t="s">
        <v>668</v>
      </c>
      <c r="D564" s="2" t="s">
        <v>3641</v>
      </c>
      <c r="E564" s="2" t="s">
        <v>3642</v>
      </c>
      <c r="F564" s="2" t="s">
        <v>3663</v>
      </c>
      <c r="G564" s="2" t="s">
        <v>227</v>
      </c>
      <c r="H564" s="2" t="s">
        <v>227</v>
      </c>
      <c r="I564" s="2" t="s">
        <v>3664</v>
      </c>
      <c r="J564" s="2" t="s">
        <v>3645</v>
      </c>
      <c r="K564" s="2" t="s">
        <v>3665</v>
      </c>
      <c r="L564" s="3">
        <v>11</v>
      </c>
      <c r="M564" s="3">
        <v>11.55</v>
      </c>
      <c r="N564" s="3">
        <v>32.99</v>
      </c>
      <c r="O564" s="2" t="s">
        <v>224</v>
      </c>
      <c r="P564" s="2" t="s">
        <v>550</v>
      </c>
      <c r="Q564" s="2" t="s">
        <v>226</v>
      </c>
      <c r="R564" s="2" t="s">
        <v>227</v>
      </c>
      <c r="S564" s="2" t="s">
        <v>227</v>
      </c>
      <c r="T564" s="2" t="s">
        <v>227</v>
      </c>
      <c r="U564" s="2" t="s">
        <v>227</v>
      </c>
      <c r="V564" s="2" t="s">
        <v>566</v>
      </c>
      <c r="W564" s="2" t="s">
        <v>227</v>
      </c>
      <c r="X564" s="2" t="s">
        <v>227</v>
      </c>
      <c r="Y564" s="2" t="s">
        <v>2408</v>
      </c>
      <c r="Z564" s="4">
        <v>416</v>
      </c>
      <c r="AA564" s="4">
        <f>=ROUNDDOWN(138.666666666667,0)</f>
      </c>
      <c r="AB564" s="5">
        <v>3</v>
      </c>
      <c r="AC564" s="2" t="s">
        <v>227</v>
      </c>
      <c r="AD564" s="4"/>
      <c r="AE564" s="4"/>
      <c r="AF564" s="6"/>
      <c r="AG564" s="6">
        <v>48</v>
      </c>
      <c r="AH564" s="7">
        <v>1</v>
      </c>
      <c r="AI564" s="4"/>
      <c r="AJ564" s="4">
        <f>=ROUNDDOWN({0},0)</f>
      </c>
      <c r="AK564" s="5"/>
      <c r="AL564" s="2" t="s">
        <v>227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 t="s">
        <v>227</v>
      </c>
      <c r="AW564" s="8" t="s">
        <v>227</v>
      </c>
      <c r="AX564" s="4" t="s">
        <v>227</v>
      </c>
      <c r="AY564" s="8" t="s">
        <v>227</v>
      </c>
      <c r="AZ564" s="7" t="s">
        <v>227</v>
      </c>
      <c r="BA564" s="7" t="s">
        <v>227</v>
      </c>
      <c r="BB564" s="7"/>
      <c r="BC564" s="4" t="s">
        <v>227</v>
      </c>
      <c r="BD564" s="8" t="s">
        <v>227</v>
      </c>
      <c r="BE564" s="4" t="s">
        <v>227</v>
      </c>
      <c r="BF564" s="8" t="s">
        <v>227</v>
      </c>
      <c r="BG564" s="7" t="s">
        <v>227</v>
      </c>
      <c r="BH564" s="7" t="s">
        <v>227</v>
      </c>
      <c r="BI564" s="7"/>
      <c r="BJ564" s="4">
        <v>2</v>
      </c>
      <c r="BK564" s="8">
        <v>34</v>
      </c>
      <c r="BL564" s="2" t="s">
        <v>3669</v>
      </c>
      <c r="BM564" s="7"/>
      <c r="BN564" s="7"/>
      <c r="BO564" s="4"/>
      <c r="BP564" s="8"/>
      <c r="BQ564" s="4"/>
      <c r="BR564" s="8"/>
      <c r="BS564" s="7"/>
      <c r="BT564" s="7"/>
      <c r="BU564" s="2" t="s">
        <v>3670</v>
      </c>
      <c r="BV564" s="2" t="s">
        <v>227</v>
      </c>
      <c r="BW564" s="2" t="s">
        <v>227</v>
      </c>
      <c r="BX564" s="2" t="s">
        <v>235</v>
      </c>
      <c r="BY564" s="2" t="s">
        <v>236</v>
      </c>
      <c r="BZ564" s="2" t="s">
        <v>224</v>
      </c>
      <c r="CA564" s="2" t="s">
        <v>3667</v>
      </c>
      <c r="CB564" s="2" t="s">
        <v>227</v>
      </c>
      <c r="CC564" s="2" t="s">
        <v>239</v>
      </c>
      <c r="CD564" s="2" t="s">
        <v>227</v>
      </c>
      <c r="CE564" s="4"/>
      <c r="CF564" s="4"/>
      <c r="CG564" s="4"/>
      <c r="CH564" s="4">
        <v>416</v>
      </c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/>
      <c r="FG564" s="4"/>
      <c r="FH564" s="4"/>
      <c r="FI564" s="4"/>
      <c r="FJ564" s="4"/>
      <c r="FK564" s="4"/>
      <c r="FL564" s="4"/>
      <c r="FM564" s="4"/>
      <c r="FN564" s="4"/>
      <c r="FO564" s="4"/>
      <c r="FP564" s="4"/>
      <c r="FQ564" s="4"/>
      <c r="FR564" s="4"/>
      <c r="FS564" s="4"/>
      <c r="FT564" s="4"/>
      <c r="FU564" s="4"/>
      <c r="FV564" s="4"/>
      <c r="FW564" s="4"/>
      <c r="FX564" s="4"/>
      <c r="FY564" s="4"/>
      <c r="FZ564" s="4"/>
      <c r="GA564" s="4"/>
      <c r="GB564" s="4"/>
      <c r="GC564" s="4"/>
      <c r="GD564" s="4"/>
      <c r="GE564" s="4"/>
      <c r="GF564" s="4"/>
      <c r="GG564" s="4"/>
      <c r="GH564" s="4"/>
      <c r="GI564" s="4"/>
      <c r="GJ564" s="4"/>
      <c r="GK564" s="4"/>
      <c r="GL564" s="4"/>
      <c r="GM564" s="4"/>
      <c r="GN564" s="4"/>
      <c r="GO564" s="4"/>
      <c r="GP564" s="4"/>
      <c r="GQ564" s="4"/>
      <c r="GR564" s="4"/>
      <c r="GS564" s="4"/>
      <c r="GT564" s="4"/>
      <c r="GU564" s="4"/>
      <c r="GV564" s="4"/>
      <c r="GW564" s="4"/>
      <c r="GX564" s="4"/>
    </row>
    <row r="565">
      <c r="A565" s="2" t="s">
        <v>3671</v>
      </c>
      <c r="B565" s="2" t="s">
        <v>3640</v>
      </c>
      <c r="C565" s="2" t="s">
        <v>668</v>
      </c>
      <c r="D565" s="2" t="s">
        <v>3641</v>
      </c>
      <c r="E565" s="2" t="s">
        <v>3642</v>
      </c>
      <c r="F565" s="2" t="s">
        <v>3663</v>
      </c>
      <c r="G565" s="2" t="s">
        <v>227</v>
      </c>
      <c r="H565" s="2" t="s">
        <v>227</v>
      </c>
      <c r="I565" s="2" t="s">
        <v>3664</v>
      </c>
      <c r="J565" s="2" t="s">
        <v>3645</v>
      </c>
      <c r="K565" s="2" t="s">
        <v>3672</v>
      </c>
      <c r="L565" s="3">
        <v>11</v>
      </c>
      <c r="M565" s="3">
        <v>11.55</v>
      </c>
      <c r="N565" s="3">
        <v>32.99</v>
      </c>
      <c r="O565" s="2" t="s">
        <v>224</v>
      </c>
      <c r="P565" s="2" t="s">
        <v>550</v>
      </c>
      <c r="Q565" s="2" t="s">
        <v>226</v>
      </c>
      <c r="R565" s="2" t="s">
        <v>227</v>
      </c>
      <c r="S565" s="2" t="s">
        <v>227</v>
      </c>
      <c r="T565" s="2" t="s">
        <v>227</v>
      </c>
      <c r="U565" s="2" t="s">
        <v>227</v>
      </c>
      <c r="V565" s="2" t="s">
        <v>566</v>
      </c>
      <c r="W565" s="2" t="s">
        <v>227</v>
      </c>
      <c r="X565" s="2" t="s">
        <v>227</v>
      </c>
      <c r="Y565" s="2" t="s">
        <v>2408</v>
      </c>
      <c r="Z565" s="4">
        <v>838</v>
      </c>
      <c r="AA565" s="4">
        <f>=ROUNDDOWN(419,0)</f>
      </c>
      <c r="AB565" s="5">
        <v>2</v>
      </c>
      <c r="AC565" s="2" t="s">
        <v>227</v>
      </c>
      <c r="AD565" s="4"/>
      <c r="AE565" s="4"/>
      <c r="AF565" s="6"/>
      <c r="AG565" s="6">
        <v>48</v>
      </c>
      <c r="AH565" s="7">
        <v>1</v>
      </c>
      <c r="AI565" s="4"/>
      <c r="AJ565" s="4">
        <f>=ROUNDDOWN({0},0)</f>
      </c>
      <c r="AK565" s="5"/>
      <c r="AL565" s="2" t="s">
        <v>227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227</v>
      </c>
      <c r="BD565" s="8" t="s">
        <v>227</v>
      </c>
      <c r="BE565" s="4" t="s">
        <v>227</v>
      </c>
      <c r="BF565" s="8" t="s">
        <v>227</v>
      </c>
      <c r="BG565" s="7" t="s">
        <v>227</v>
      </c>
      <c r="BH565" s="7" t="s">
        <v>227</v>
      </c>
      <c r="BI565" s="7"/>
      <c r="BJ565" s="4">
        <v>1</v>
      </c>
      <c r="BK565" s="8">
        <v>17</v>
      </c>
      <c r="BL565" s="2" t="s">
        <v>3669</v>
      </c>
      <c r="BM565" s="7"/>
      <c r="BN565" s="7"/>
      <c r="BO565" s="4"/>
      <c r="BP565" s="8"/>
      <c r="BQ565" s="4"/>
      <c r="BR565" s="8"/>
      <c r="BS565" s="7"/>
      <c r="BT565" s="7"/>
      <c r="BU565" s="2" t="s">
        <v>3673</v>
      </c>
      <c r="BV565" s="2" t="s">
        <v>227</v>
      </c>
      <c r="BW565" s="2" t="s">
        <v>227</v>
      </c>
      <c r="BX565" s="2" t="s">
        <v>235</v>
      </c>
      <c r="BY565" s="2" t="s">
        <v>236</v>
      </c>
      <c r="BZ565" s="2" t="s">
        <v>224</v>
      </c>
      <c r="CA565" s="2" t="s">
        <v>3674</v>
      </c>
      <c r="CB565" s="2" t="s">
        <v>3675</v>
      </c>
      <c r="CC565" s="2" t="s">
        <v>239</v>
      </c>
      <c r="CD565" s="2" t="s">
        <v>227</v>
      </c>
      <c r="CE565" s="4"/>
      <c r="CF565" s="4"/>
      <c r="CG565" s="4"/>
      <c r="CH565" s="4">
        <v>838</v>
      </c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/>
      <c r="FH565" s="4"/>
      <c r="FI565" s="4"/>
      <c r="FJ565" s="4"/>
      <c r="FK565" s="4"/>
      <c r="FL565" s="4"/>
      <c r="FM565" s="4"/>
      <c r="FN565" s="4"/>
      <c r="FO565" s="4"/>
      <c r="FP565" s="4"/>
      <c r="FQ565" s="4"/>
      <c r="FR565" s="4"/>
      <c r="FS565" s="4"/>
      <c r="FT565" s="4"/>
      <c r="FU565" s="4"/>
      <c r="FV565" s="4"/>
      <c r="FW565" s="4"/>
      <c r="FX565" s="4"/>
      <c r="FY565" s="4"/>
      <c r="FZ565" s="4"/>
      <c r="GA565" s="4"/>
      <c r="GB565" s="4"/>
      <c r="GC565" s="4"/>
      <c r="GD565" s="4"/>
      <c r="GE565" s="4"/>
      <c r="GF565" s="4"/>
      <c r="GG565" s="4"/>
      <c r="GH565" s="4"/>
      <c r="GI565" s="4"/>
      <c r="GJ565" s="4"/>
      <c r="GK565" s="4"/>
      <c r="GL565" s="4"/>
      <c r="GM565" s="4"/>
      <c r="GN565" s="4"/>
      <c r="GO565" s="4"/>
      <c r="GP565" s="4"/>
      <c r="GQ565" s="4"/>
      <c r="GR565" s="4"/>
      <c r="GS565" s="4"/>
      <c r="GT565" s="4"/>
      <c r="GU565" s="4"/>
      <c r="GV565" s="4"/>
      <c r="GW565" s="4"/>
      <c r="GX565" s="4"/>
    </row>
    <row r="566">
      <c r="A566" s="2" t="s">
        <v>3676</v>
      </c>
      <c r="B566" s="2" t="s">
        <v>3640</v>
      </c>
      <c r="C566" s="2" t="s">
        <v>668</v>
      </c>
      <c r="D566" s="2" t="s">
        <v>3641</v>
      </c>
      <c r="E566" s="2" t="s">
        <v>3642</v>
      </c>
      <c r="F566" s="2" t="s">
        <v>3677</v>
      </c>
      <c r="G566" s="2" t="s">
        <v>227</v>
      </c>
      <c r="H566" s="2" t="s">
        <v>227</v>
      </c>
      <c r="I566" s="2" t="s">
        <v>3678</v>
      </c>
      <c r="J566" s="2" t="s">
        <v>641</v>
      </c>
      <c r="K566" s="2" t="s">
        <v>3679</v>
      </c>
      <c r="L566" s="3">
        <v>19.21</v>
      </c>
      <c r="M566" s="3">
        <v>20.17</v>
      </c>
      <c r="N566" s="3">
        <v>29.99</v>
      </c>
      <c r="O566" s="2" t="s">
        <v>224</v>
      </c>
      <c r="P566" s="2" t="s">
        <v>550</v>
      </c>
      <c r="Q566" s="2" t="s">
        <v>226</v>
      </c>
      <c r="R566" s="2" t="s">
        <v>227</v>
      </c>
      <c r="S566" s="2" t="s">
        <v>227</v>
      </c>
      <c r="T566" s="2" t="s">
        <v>227</v>
      </c>
      <c r="U566" s="2" t="s">
        <v>227</v>
      </c>
      <c r="V566" s="2" t="s">
        <v>566</v>
      </c>
      <c r="W566" s="2" t="s">
        <v>227</v>
      </c>
      <c r="X566" s="2" t="s">
        <v>227</v>
      </c>
      <c r="Y566" s="2" t="s">
        <v>3680</v>
      </c>
      <c r="Z566" s="4">
        <v>768</v>
      </c>
      <c r="AA566" s="4">
        <f>=ROUNDDOWN(264.827586206897,0)</f>
      </c>
      <c r="AB566" s="5">
        <v>2.9</v>
      </c>
      <c r="AC566" s="2" t="s">
        <v>227</v>
      </c>
      <c r="AD566" s="4"/>
      <c r="AE566" s="4"/>
      <c r="AF566" s="6"/>
      <c r="AG566" s="6">
        <v>48</v>
      </c>
      <c r="AH566" s="7">
        <v>1</v>
      </c>
      <c r="AI566" s="4"/>
      <c r="AJ566" s="4">
        <f>=ROUNDDOWN({0},0)</f>
      </c>
      <c r="AK566" s="5"/>
      <c r="AL566" s="2" t="s">
        <v>227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 t="s">
        <v>227</v>
      </c>
      <c r="AW566" s="8" t="s">
        <v>227</v>
      </c>
      <c r="AX566" s="4" t="s">
        <v>227</v>
      </c>
      <c r="AY566" s="8" t="s">
        <v>227</v>
      </c>
      <c r="AZ566" s="7" t="s">
        <v>227</v>
      </c>
      <c r="BA566" s="7" t="s">
        <v>227</v>
      </c>
      <c r="BB566" s="7"/>
      <c r="BC566" s="4" t="s">
        <v>227</v>
      </c>
      <c r="BD566" s="8" t="s">
        <v>227</v>
      </c>
      <c r="BE566" s="4" t="s">
        <v>227</v>
      </c>
      <c r="BF566" s="8" t="s">
        <v>227</v>
      </c>
      <c r="BG566" s="7" t="s">
        <v>227</v>
      </c>
      <c r="BH566" s="7" t="s">
        <v>227</v>
      </c>
      <c r="BI566" s="7"/>
      <c r="BJ566" s="4">
        <v>7</v>
      </c>
      <c r="BK566" s="8">
        <v>140.2</v>
      </c>
      <c r="BL566" s="2" t="s">
        <v>3669</v>
      </c>
      <c r="BM566" s="7"/>
      <c r="BN566" s="7"/>
      <c r="BO566" s="4"/>
      <c r="BP566" s="8"/>
      <c r="BQ566" s="4"/>
      <c r="BR566" s="8"/>
      <c r="BS566" s="7"/>
      <c r="BT566" s="7"/>
      <c r="BU566" s="2" t="s">
        <v>3681</v>
      </c>
      <c r="BV566" s="2" t="s">
        <v>227</v>
      </c>
      <c r="BW566" s="2" t="s">
        <v>227</v>
      </c>
      <c r="BX566" s="2" t="s">
        <v>235</v>
      </c>
      <c r="BY566" s="2" t="s">
        <v>236</v>
      </c>
      <c r="BZ566" s="2" t="s">
        <v>224</v>
      </c>
      <c r="CA566" s="2" t="s">
        <v>3667</v>
      </c>
      <c r="CB566" s="2" t="s">
        <v>227</v>
      </c>
      <c r="CC566" s="2" t="s">
        <v>239</v>
      </c>
      <c r="CD566" s="2" t="s">
        <v>227</v>
      </c>
      <c r="CE566" s="4"/>
      <c r="CF566" s="4"/>
      <c r="CG566" s="4"/>
      <c r="CH566" s="4">
        <v>768</v>
      </c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  <c r="FM566" s="4"/>
      <c r="FN566" s="4"/>
      <c r="FO566" s="4"/>
      <c r="FP566" s="4"/>
      <c r="FQ566" s="4"/>
      <c r="FR566" s="4"/>
      <c r="FS566" s="4"/>
      <c r="FT566" s="4"/>
      <c r="FU566" s="4"/>
      <c r="FV566" s="4"/>
      <c r="FW566" s="4"/>
      <c r="FX566" s="4"/>
      <c r="FY566" s="4"/>
      <c r="FZ566" s="4"/>
      <c r="GA566" s="4"/>
      <c r="GB566" s="4"/>
      <c r="GC566" s="4"/>
      <c r="GD566" s="4"/>
      <c r="GE566" s="4"/>
      <c r="GF566" s="4"/>
      <c r="GG566" s="4"/>
      <c r="GH566" s="4"/>
      <c r="GI566" s="4"/>
      <c r="GJ566" s="4"/>
      <c r="GK566" s="4"/>
      <c r="GL566" s="4"/>
      <c r="GM566" s="4"/>
      <c r="GN566" s="4"/>
      <c r="GO566" s="4"/>
      <c r="GP566" s="4"/>
      <c r="GQ566" s="4"/>
      <c r="GR566" s="4"/>
      <c r="GS566" s="4"/>
      <c r="GT566" s="4"/>
      <c r="GU566" s="4"/>
      <c r="GV566" s="4"/>
      <c r="GW566" s="4"/>
      <c r="GX566" s="4"/>
    </row>
    <row r="567">
      <c r="A567" s="2" t="s">
        <v>3682</v>
      </c>
      <c r="B567" s="2" t="s">
        <v>3640</v>
      </c>
      <c r="C567" s="2" t="s">
        <v>668</v>
      </c>
      <c r="D567" s="2" t="s">
        <v>3641</v>
      </c>
      <c r="E567" s="2" t="s">
        <v>3642</v>
      </c>
      <c r="F567" s="2" t="s">
        <v>3677</v>
      </c>
      <c r="G567" s="2" t="s">
        <v>227</v>
      </c>
      <c r="H567" s="2" t="s">
        <v>227</v>
      </c>
      <c r="I567" s="2" t="s">
        <v>3678</v>
      </c>
      <c r="J567" s="2" t="s">
        <v>648</v>
      </c>
      <c r="K567" s="2" t="s">
        <v>3679</v>
      </c>
      <c r="L567" s="3">
        <v>19.21</v>
      </c>
      <c r="M567" s="3">
        <v>20.17</v>
      </c>
      <c r="N567" s="3">
        <v>29.99</v>
      </c>
      <c r="O567" s="2" t="s">
        <v>224</v>
      </c>
      <c r="P567" s="2" t="s">
        <v>550</v>
      </c>
      <c r="Q567" s="2" t="s">
        <v>226</v>
      </c>
      <c r="R567" s="2" t="s">
        <v>227</v>
      </c>
      <c r="S567" s="2" t="s">
        <v>227</v>
      </c>
      <c r="T567" s="2" t="s">
        <v>227</v>
      </c>
      <c r="U567" s="2" t="s">
        <v>227</v>
      </c>
      <c r="V567" s="2" t="s">
        <v>566</v>
      </c>
      <c r="W567" s="2" t="s">
        <v>227</v>
      </c>
      <c r="X567" s="2" t="s">
        <v>227</v>
      </c>
      <c r="Y567" s="2" t="s">
        <v>3680</v>
      </c>
      <c r="Z567" s="4">
        <v>569</v>
      </c>
      <c r="AA567" s="4">
        <f>=ROUNDDOWN(149.736842105263,0)</f>
      </c>
      <c r="AB567" s="5">
        <v>3.8</v>
      </c>
      <c r="AC567" s="2" t="s">
        <v>227</v>
      </c>
      <c r="AD567" s="4"/>
      <c r="AE567" s="4"/>
      <c r="AF567" s="6"/>
      <c r="AG567" s="6">
        <v>48</v>
      </c>
      <c r="AH567" s="7">
        <v>1</v>
      </c>
      <c r="AI567" s="4"/>
      <c r="AJ567" s="4">
        <f>=ROUNDDOWN({0},0)</f>
      </c>
      <c r="AK567" s="5"/>
      <c r="AL567" s="2" t="s">
        <v>227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 t="s">
        <v>227</v>
      </c>
      <c r="AW567" s="8" t="s">
        <v>227</v>
      </c>
      <c r="AX567" s="4" t="s">
        <v>227</v>
      </c>
      <c r="AY567" s="8" t="s">
        <v>227</v>
      </c>
      <c r="AZ567" s="7" t="s">
        <v>227</v>
      </c>
      <c r="BA567" s="7" t="s">
        <v>227</v>
      </c>
      <c r="BB567" s="7"/>
      <c r="BC567" s="4" t="s">
        <v>227</v>
      </c>
      <c r="BD567" s="8" t="s">
        <v>227</v>
      </c>
      <c r="BE567" s="4" t="s">
        <v>227</v>
      </c>
      <c r="BF567" s="8" t="s">
        <v>227</v>
      </c>
      <c r="BG567" s="7" t="s">
        <v>227</v>
      </c>
      <c r="BH567" s="7" t="s">
        <v>227</v>
      </c>
      <c r="BI567" s="7"/>
      <c r="BJ567" s="4">
        <v>5</v>
      </c>
      <c r="BK567" s="8">
        <v>101.4</v>
      </c>
      <c r="BL567" s="2" t="s">
        <v>3669</v>
      </c>
      <c r="BM567" s="7"/>
      <c r="BN567" s="7"/>
      <c r="BO567" s="4"/>
      <c r="BP567" s="8"/>
      <c r="BQ567" s="4"/>
      <c r="BR567" s="8"/>
      <c r="BS567" s="7"/>
      <c r="BT567" s="7"/>
      <c r="BU567" s="2" t="s">
        <v>3683</v>
      </c>
      <c r="BV567" s="2" t="s">
        <v>227</v>
      </c>
      <c r="BW567" s="2" t="s">
        <v>227</v>
      </c>
      <c r="BX567" s="2" t="s">
        <v>235</v>
      </c>
      <c r="BY567" s="2" t="s">
        <v>236</v>
      </c>
      <c r="BZ567" s="2" t="s">
        <v>224</v>
      </c>
      <c r="CA567" s="2" t="s">
        <v>3667</v>
      </c>
      <c r="CB567" s="2" t="s">
        <v>227</v>
      </c>
      <c r="CC567" s="2" t="s">
        <v>239</v>
      </c>
      <c r="CD567" s="2" t="s">
        <v>227</v>
      </c>
      <c r="CE567" s="4"/>
      <c r="CF567" s="4"/>
      <c r="CG567" s="4"/>
      <c r="CH567" s="4">
        <v>569</v>
      </c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  <c r="FM567" s="4"/>
      <c r="FN567" s="4"/>
      <c r="FO567" s="4"/>
      <c r="FP567" s="4"/>
      <c r="FQ567" s="4"/>
      <c r="FR567" s="4"/>
      <c r="FS567" s="4"/>
      <c r="FT567" s="4"/>
      <c r="FU567" s="4"/>
      <c r="FV567" s="4"/>
      <c r="FW567" s="4"/>
      <c r="FX567" s="4"/>
      <c r="FY567" s="4"/>
      <c r="FZ567" s="4"/>
      <c r="GA567" s="4"/>
      <c r="GB567" s="4"/>
      <c r="GC567" s="4"/>
      <c r="GD567" s="4"/>
      <c r="GE567" s="4"/>
      <c r="GF567" s="4"/>
      <c r="GG567" s="4"/>
      <c r="GH567" s="4"/>
      <c r="GI567" s="4"/>
      <c r="GJ567" s="4"/>
      <c r="GK567" s="4"/>
      <c r="GL567" s="4"/>
      <c r="GM567" s="4"/>
      <c r="GN567" s="4"/>
      <c r="GO567" s="4"/>
      <c r="GP567" s="4"/>
      <c r="GQ567" s="4"/>
      <c r="GR567" s="4"/>
      <c r="GS567" s="4"/>
      <c r="GT567" s="4"/>
      <c r="GU567" s="4"/>
      <c r="GV567" s="4"/>
      <c r="GW567" s="4"/>
      <c r="GX567" s="4"/>
    </row>
    <row r="568">
      <c r="A568" s="2" t="s">
        <v>3684</v>
      </c>
      <c r="B568" s="2" t="s">
        <v>3640</v>
      </c>
      <c r="C568" s="2" t="s">
        <v>668</v>
      </c>
      <c r="D568" s="2" t="s">
        <v>3641</v>
      </c>
      <c r="E568" s="2" t="s">
        <v>3642</v>
      </c>
      <c r="F568" s="2" t="s">
        <v>3677</v>
      </c>
      <c r="G568" s="2" t="s">
        <v>227</v>
      </c>
      <c r="H568" s="2" t="s">
        <v>227</v>
      </c>
      <c r="I568" s="2" t="s">
        <v>3678</v>
      </c>
      <c r="J568" s="2" t="s">
        <v>653</v>
      </c>
      <c r="K568" s="2" t="s">
        <v>3679</v>
      </c>
      <c r="L568" s="3">
        <v>19.21</v>
      </c>
      <c r="M568" s="3">
        <v>20.17</v>
      </c>
      <c r="N568" s="3">
        <v>29.99</v>
      </c>
      <c r="O568" s="2" t="s">
        <v>224</v>
      </c>
      <c r="P568" s="2" t="s">
        <v>550</v>
      </c>
      <c r="Q568" s="2" t="s">
        <v>226</v>
      </c>
      <c r="R568" s="2" t="s">
        <v>227</v>
      </c>
      <c r="S568" s="2" t="s">
        <v>227</v>
      </c>
      <c r="T568" s="2" t="s">
        <v>227</v>
      </c>
      <c r="U568" s="2" t="s">
        <v>227</v>
      </c>
      <c r="V568" s="2" t="s">
        <v>566</v>
      </c>
      <c r="W568" s="2" t="s">
        <v>227</v>
      </c>
      <c r="X568" s="2" t="s">
        <v>227</v>
      </c>
      <c r="Y568" s="2" t="s">
        <v>3680</v>
      </c>
      <c r="Z568" s="4">
        <v>376</v>
      </c>
      <c r="AA568" s="4">
        <f>=ROUNDDOWN(48.8311688311688,0)</f>
      </c>
      <c r="AB568" s="5">
        <v>7.7</v>
      </c>
      <c r="AC568" s="2" t="s">
        <v>227</v>
      </c>
      <c r="AD568" s="4"/>
      <c r="AE568" s="4"/>
      <c r="AF568" s="6"/>
      <c r="AG568" s="6">
        <v>48</v>
      </c>
      <c r="AH568" s="7">
        <v>1</v>
      </c>
      <c r="AI568" s="4"/>
      <c r="AJ568" s="4">
        <f>=ROUNDDOWN({0},0)</f>
      </c>
      <c r="AK568" s="5"/>
      <c r="AL568" s="2" t="s">
        <v>227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227</v>
      </c>
      <c r="AW568" s="8" t="s">
        <v>227</v>
      </c>
      <c r="AX568" s="4" t="s">
        <v>227</v>
      </c>
      <c r="AY568" s="8" t="s">
        <v>227</v>
      </c>
      <c r="AZ568" s="7" t="s">
        <v>227</v>
      </c>
      <c r="BA568" s="7" t="s">
        <v>227</v>
      </c>
      <c r="BB568" s="7"/>
      <c r="BC568" s="4" t="s">
        <v>227</v>
      </c>
      <c r="BD568" s="8" t="s">
        <v>227</v>
      </c>
      <c r="BE568" s="4" t="s">
        <v>227</v>
      </c>
      <c r="BF568" s="8" t="s">
        <v>227</v>
      </c>
      <c r="BG568" s="7" t="s">
        <v>227</v>
      </c>
      <c r="BH568" s="7" t="s">
        <v>227</v>
      </c>
      <c r="BI568" s="7"/>
      <c r="BJ568" s="4">
        <v>4</v>
      </c>
      <c r="BK568" s="8">
        <v>95.2</v>
      </c>
      <c r="BL568" s="2" t="s">
        <v>3669</v>
      </c>
      <c r="BM568" s="7"/>
      <c r="BN568" s="7"/>
      <c r="BO568" s="4"/>
      <c r="BP568" s="8"/>
      <c r="BQ568" s="4"/>
      <c r="BR568" s="8"/>
      <c r="BS568" s="7"/>
      <c r="BT568" s="7"/>
      <c r="BU568" s="2" t="s">
        <v>3685</v>
      </c>
      <c r="BV568" s="2" t="s">
        <v>227</v>
      </c>
      <c r="BW568" s="2" t="s">
        <v>227</v>
      </c>
      <c r="BX568" s="2" t="s">
        <v>235</v>
      </c>
      <c r="BY568" s="2" t="s">
        <v>236</v>
      </c>
      <c r="BZ568" s="2" t="s">
        <v>224</v>
      </c>
      <c r="CA568" s="2" t="s">
        <v>3667</v>
      </c>
      <c r="CB568" s="2" t="s">
        <v>227</v>
      </c>
      <c r="CC568" s="2" t="s">
        <v>239</v>
      </c>
      <c r="CD568" s="2" t="s">
        <v>227</v>
      </c>
      <c r="CE568" s="4"/>
      <c r="CF568" s="4"/>
      <c r="CG568" s="4"/>
      <c r="CH568" s="4">
        <v>376</v>
      </c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  <c r="FM568" s="4"/>
      <c r="FN568" s="4"/>
      <c r="FO568" s="4"/>
      <c r="FP568" s="4"/>
      <c r="FQ568" s="4"/>
      <c r="FR568" s="4"/>
      <c r="FS568" s="4"/>
      <c r="FT568" s="4"/>
      <c r="FU568" s="4"/>
      <c r="FV568" s="4"/>
      <c r="FW568" s="4"/>
      <c r="FX568" s="4"/>
      <c r="FY568" s="4"/>
      <c r="FZ568" s="4"/>
      <c r="GA568" s="4"/>
      <c r="GB568" s="4"/>
      <c r="GC568" s="4"/>
      <c r="GD568" s="4"/>
      <c r="GE568" s="4"/>
      <c r="GF568" s="4"/>
      <c r="GG568" s="4"/>
      <c r="GH568" s="4"/>
      <c r="GI568" s="4"/>
      <c r="GJ568" s="4"/>
      <c r="GK568" s="4"/>
      <c r="GL568" s="4"/>
      <c r="GM568" s="4"/>
      <c r="GN568" s="4"/>
      <c r="GO568" s="4"/>
      <c r="GP568" s="4"/>
      <c r="GQ568" s="4"/>
      <c r="GR568" s="4"/>
      <c r="GS568" s="4"/>
      <c r="GT568" s="4"/>
      <c r="GU568" s="4"/>
      <c r="GV568" s="4"/>
      <c r="GW568" s="4"/>
      <c r="GX568" s="4"/>
    </row>
    <row r="569">
      <c r="A569" s="2" t="s">
        <v>3686</v>
      </c>
      <c r="B569" s="2" t="s">
        <v>3640</v>
      </c>
      <c r="C569" s="2" t="s">
        <v>668</v>
      </c>
      <c r="D569" s="2" t="s">
        <v>3641</v>
      </c>
      <c r="E569" s="2" t="s">
        <v>3642</v>
      </c>
      <c r="F569" s="2" t="s">
        <v>3677</v>
      </c>
      <c r="G569" s="2" t="s">
        <v>227</v>
      </c>
      <c r="H569" s="2" t="s">
        <v>227</v>
      </c>
      <c r="I569" s="2" t="s">
        <v>3678</v>
      </c>
      <c r="J569" s="2" t="s">
        <v>3687</v>
      </c>
      <c r="K569" s="2" t="s">
        <v>3679</v>
      </c>
      <c r="L569" s="3">
        <v>19.21</v>
      </c>
      <c r="M569" s="3">
        <v>20.17</v>
      </c>
      <c r="N569" s="3">
        <v>29.99</v>
      </c>
      <c r="O569" s="2" t="s">
        <v>224</v>
      </c>
      <c r="P569" s="2" t="s">
        <v>550</v>
      </c>
      <c r="Q569" s="2" t="s">
        <v>226</v>
      </c>
      <c r="R569" s="2" t="s">
        <v>227</v>
      </c>
      <c r="S569" s="2" t="s">
        <v>227</v>
      </c>
      <c r="T569" s="2" t="s">
        <v>227</v>
      </c>
      <c r="U569" s="2" t="s">
        <v>227</v>
      </c>
      <c r="V569" s="2" t="s">
        <v>566</v>
      </c>
      <c r="W569" s="2" t="s">
        <v>227</v>
      </c>
      <c r="X569" s="2" t="s">
        <v>227</v>
      </c>
      <c r="Y569" s="2" t="s">
        <v>3680</v>
      </c>
      <c r="Z569" s="4">
        <v>371</v>
      </c>
      <c r="AA569" s="4">
        <f>=ROUNDDOWN(41.2222222222222,0)</f>
      </c>
      <c r="AB569" s="5">
        <v>9</v>
      </c>
      <c r="AC569" s="2" t="s">
        <v>227</v>
      </c>
      <c r="AD569" s="4"/>
      <c r="AE569" s="4"/>
      <c r="AF569" s="6"/>
      <c r="AG569" s="6">
        <v>48</v>
      </c>
      <c r="AH569" s="7">
        <v>1</v>
      </c>
      <c r="AI569" s="4"/>
      <c r="AJ569" s="4">
        <f>=ROUNDDOWN({0},0)</f>
      </c>
      <c r="AK569" s="5"/>
      <c r="AL569" s="2" t="s">
        <v>227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227</v>
      </c>
      <c r="AW569" s="8" t="s">
        <v>227</v>
      </c>
      <c r="AX569" s="4" t="s">
        <v>227</v>
      </c>
      <c r="AY569" s="8" t="s">
        <v>227</v>
      </c>
      <c r="AZ569" s="7" t="s">
        <v>227</v>
      </c>
      <c r="BA569" s="7" t="s">
        <v>227</v>
      </c>
      <c r="BB569" s="7"/>
      <c r="BC569" s="4" t="s">
        <v>227</v>
      </c>
      <c r="BD569" s="8" t="s">
        <v>227</v>
      </c>
      <c r="BE569" s="4" t="s">
        <v>227</v>
      </c>
      <c r="BF569" s="8" t="s">
        <v>227</v>
      </c>
      <c r="BG569" s="7" t="s">
        <v>227</v>
      </c>
      <c r="BH569" s="7" t="s">
        <v>227</v>
      </c>
      <c r="BI569" s="7"/>
      <c r="BJ569" s="4">
        <v>9</v>
      </c>
      <c r="BK569" s="8">
        <v>170.2</v>
      </c>
      <c r="BL569" s="2" t="s">
        <v>3669</v>
      </c>
      <c r="BM569" s="7"/>
      <c r="BN569" s="7"/>
      <c r="BO569" s="4"/>
      <c r="BP569" s="8"/>
      <c r="BQ569" s="4"/>
      <c r="BR569" s="8"/>
      <c r="BS569" s="7"/>
      <c r="BT569" s="7"/>
      <c r="BU569" s="2" t="s">
        <v>3688</v>
      </c>
      <c r="BV569" s="2" t="s">
        <v>227</v>
      </c>
      <c r="BW569" s="2" t="s">
        <v>227</v>
      </c>
      <c r="BX569" s="2" t="s">
        <v>235</v>
      </c>
      <c r="BY569" s="2" t="s">
        <v>236</v>
      </c>
      <c r="BZ569" s="2" t="s">
        <v>224</v>
      </c>
      <c r="CA569" s="2" t="s">
        <v>3689</v>
      </c>
      <c r="CB569" s="2" t="s">
        <v>227</v>
      </c>
      <c r="CC569" s="2" t="s">
        <v>239</v>
      </c>
      <c r="CD569" s="2" t="s">
        <v>227</v>
      </c>
      <c r="CE569" s="4"/>
      <c r="CF569" s="4"/>
      <c r="CG569" s="4"/>
      <c r="CH569" s="4">
        <v>371</v>
      </c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/>
      <c r="FI569" s="4"/>
      <c r="FJ569" s="4"/>
      <c r="FK569" s="4"/>
      <c r="FL569" s="4"/>
      <c r="FM569" s="4"/>
      <c r="FN569" s="4"/>
      <c r="FO569" s="4"/>
      <c r="FP569" s="4"/>
      <c r="FQ569" s="4"/>
      <c r="FR569" s="4"/>
      <c r="FS569" s="4"/>
      <c r="FT569" s="4"/>
      <c r="FU569" s="4"/>
      <c r="FV569" s="4"/>
      <c r="FW569" s="4"/>
      <c r="FX569" s="4"/>
      <c r="FY569" s="4"/>
      <c r="FZ569" s="4"/>
      <c r="GA569" s="4"/>
      <c r="GB569" s="4"/>
      <c r="GC569" s="4"/>
      <c r="GD569" s="4"/>
      <c r="GE569" s="4"/>
      <c r="GF569" s="4"/>
      <c r="GG569" s="4"/>
      <c r="GH569" s="4"/>
      <c r="GI569" s="4"/>
      <c r="GJ569" s="4"/>
      <c r="GK569" s="4"/>
      <c r="GL569" s="4"/>
      <c r="GM569" s="4"/>
      <c r="GN569" s="4"/>
      <c r="GO569" s="4"/>
      <c r="GP569" s="4"/>
      <c r="GQ569" s="4"/>
      <c r="GR569" s="4"/>
      <c r="GS569" s="4"/>
      <c r="GT569" s="4"/>
      <c r="GU569" s="4"/>
      <c r="GV569" s="4"/>
      <c r="GW569" s="4"/>
      <c r="GX569" s="4"/>
    </row>
    <row r="570">
      <c r="A570" s="2" t="s">
        <v>3690</v>
      </c>
      <c r="B570" s="2" t="s">
        <v>3640</v>
      </c>
      <c r="C570" s="2" t="s">
        <v>668</v>
      </c>
      <c r="D570" s="2" t="s">
        <v>3641</v>
      </c>
      <c r="E570" s="2" t="s">
        <v>3642</v>
      </c>
      <c r="F570" s="2" t="s">
        <v>3677</v>
      </c>
      <c r="G570" s="2" t="s">
        <v>227</v>
      </c>
      <c r="H570" s="2" t="s">
        <v>227</v>
      </c>
      <c r="I570" s="2" t="s">
        <v>3678</v>
      </c>
      <c r="J570" s="2" t="s">
        <v>3691</v>
      </c>
      <c r="K570" s="2" t="s">
        <v>3692</v>
      </c>
      <c r="L570" s="3">
        <v>19.21</v>
      </c>
      <c r="M570" s="3">
        <v>20.17</v>
      </c>
      <c r="N570" s="3">
        <v>29.99</v>
      </c>
      <c r="O570" s="2" t="s">
        <v>224</v>
      </c>
      <c r="P570" s="2" t="s">
        <v>550</v>
      </c>
      <c r="Q570" s="2" t="s">
        <v>226</v>
      </c>
      <c r="R570" s="2" t="s">
        <v>227</v>
      </c>
      <c r="S570" s="2" t="s">
        <v>227</v>
      </c>
      <c r="T570" s="2" t="s">
        <v>227</v>
      </c>
      <c r="U570" s="2" t="s">
        <v>227</v>
      </c>
      <c r="V570" s="2" t="s">
        <v>566</v>
      </c>
      <c r="W570" s="2" t="s">
        <v>227</v>
      </c>
      <c r="X570" s="2" t="s">
        <v>227</v>
      </c>
      <c r="Y570" s="2" t="s">
        <v>3680</v>
      </c>
      <c r="Z570" s="4">
        <v>239</v>
      </c>
      <c r="AA570" s="4">
        <f>=ROUNDDOWN(119.5,0)</f>
      </c>
      <c r="AB570" s="5">
        <v>2</v>
      </c>
      <c r="AC570" s="2" t="s">
        <v>227</v>
      </c>
      <c r="AD570" s="4"/>
      <c r="AE570" s="4"/>
      <c r="AF570" s="6"/>
      <c r="AG570" s="6">
        <v>48</v>
      </c>
      <c r="AH570" s="7">
        <v>1</v>
      </c>
      <c r="AI570" s="4"/>
      <c r="AJ570" s="4">
        <f>=ROUNDDOWN({0},0)</f>
      </c>
      <c r="AK570" s="5"/>
      <c r="AL570" s="2" t="s">
        <v>227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227</v>
      </c>
      <c r="AW570" s="8" t="s">
        <v>227</v>
      </c>
      <c r="AX570" s="4" t="s">
        <v>227</v>
      </c>
      <c r="AY570" s="8" t="s">
        <v>227</v>
      </c>
      <c r="AZ570" s="7" t="s">
        <v>227</v>
      </c>
      <c r="BA570" s="7" t="s">
        <v>227</v>
      </c>
      <c r="BB570" s="7"/>
      <c r="BC570" s="4" t="s">
        <v>227</v>
      </c>
      <c r="BD570" s="8" t="s">
        <v>227</v>
      </c>
      <c r="BE570" s="4" t="s">
        <v>227</v>
      </c>
      <c r="BF570" s="8" t="s">
        <v>227</v>
      </c>
      <c r="BG570" s="7" t="s">
        <v>227</v>
      </c>
      <c r="BH570" s="7" t="s">
        <v>227</v>
      </c>
      <c r="BI570" s="7"/>
      <c r="BJ570" s="4">
        <v>3</v>
      </c>
      <c r="BK570" s="8">
        <v>45</v>
      </c>
      <c r="BL570" s="2" t="s">
        <v>1627</v>
      </c>
      <c r="BM570" s="7"/>
      <c r="BN570" s="7"/>
      <c r="BO570" s="4"/>
      <c r="BP570" s="8"/>
      <c r="BQ570" s="4"/>
      <c r="BR570" s="8"/>
      <c r="BS570" s="7"/>
      <c r="BT570" s="7"/>
      <c r="BU570" s="2" t="s">
        <v>3693</v>
      </c>
      <c r="BV570" s="2" t="s">
        <v>227</v>
      </c>
      <c r="BW570" s="2" t="s">
        <v>227</v>
      </c>
      <c r="BX570" s="2" t="s">
        <v>235</v>
      </c>
      <c r="BY570" s="2" t="s">
        <v>236</v>
      </c>
      <c r="BZ570" s="2" t="s">
        <v>224</v>
      </c>
      <c r="CA570" s="2" t="s">
        <v>3689</v>
      </c>
      <c r="CB570" s="2" t="s">
        <v>227</v>
      </c>
      <c r="CC570" s="2" t="s">
        <v>239</v>
      </c>
      <c r="CD570" s="2" t="s">
        <v>227</v>
      </c>
      <c r="CE570" s="4"/>
      <c r="CF570" s="4"/>
      <c r="CG570" s="4"/>
      <c r="CH570" s="4">
        <v>239</v>
      </c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  <c r="GW570" s="4"/>
      <c r="GX570" s="4"/>
    </row>
    <row r="571">
      <c r="A571" s="2" t="s">
        <v>3694</v>
      </c>
      <c r="B571" s="2" t="s">
        <v>3640</v>
      </c>
      <c r="C571" s="2" t="s">
        <v>668</v>
      </c>
      <c r="D571" s="2" t="s">
        <v>3641</v>
      </c>
      <c r="E571" s="2" t="s">
        <v>3642</v>
      </c>
      <c r="F571" s="2" t="s">
        <v>3677</v>
      </c>
      <c r="G571" s="2" t="s">
        <v>227</v>
      </c>
      <c r="H571" s="2" t="s">
        <v>227</v>
      </c>
      <c r="I571" s="2" t="s">
        <v>3678</v>
      </c>
      <c r="J571" s="2" t="s">
        <v>3695</v>
      </c>
      <c r="K571" s="2" t="s">
        <v>3692</v>
      </c>
      <c r="L571" s="3">
        <v>19.21</v>
      </c>
      <c r="M571" s="3">
        <v>20.17</v>
      </c>
      <c r="N571" s="3">
        <v>29.99</v>
      </c>
      <c r="O571" s="2" t="s">
        <v>224</v>
      </c>
      <c r="P571" s="2" t="s">
        <v>550</v>
      </c>
      <c r="Q571" s="2" t="s">
        <v>226</v>
      </c>
      <c r="R571" s="2" t="s">
        <v>227</v>
      </c>
      <c r="S571" s="2" t="s">
        <v>227</v>
      </c>
      <c r="T571" s="2" t="s">
        <v>227</v>
      </c>
      <c r="U571" s="2" t="s">
        <v>227</v>
      </c>
      <c r="V571" s="2" t="s">
        <v>566</v>
      </c>
      <c r="W571" s="2" t="s">
        <v>227</v>
      </c>
      <c r="X571" s="2" t="s">
        <v>227</v>
      </c>
      <c r="Y571" s="2" t="s">
        <v>3680</v>
      </c>
      <c r="Z571" s="4">
        <v>539</v>
      </c>
      <c r="AA571" s="4">
        <f>=ROUNDDOWN(179.666666666667,0)</f>
      </c>
      <c r="AB571" s="5">
        <v>3</v>
      </c>
      <c r="AC571" s="2" t="s">
        <v>227</v>
      </c>
      <c r="AD571" s="4"/>
      <c r="AE571" s="4"/>
      <c r="AF571" s="6"/>
      <c r="AG571" s="6">
        <v>48</v>
      </c>
      <c r="AH571" s="7">
        <v>1</v>
      </c>
      <c r="AI571" s="4"/>
      <c r="AJ571" s="4">
        <f>=ROUNDDOWN({0},0)</f>
      </c>
      <c r="AK571" s="5"/>
      <c r="AL571" s="2" t="s">
        <v>227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227</v>
      </c>
      <c r="AW571" s="8" t="s">
        <v>227</v>
      </c>
      <c r="AX571" s="4" t="s">
        <v>227</v>
      </c>
      <c r="AY571" s="8" t="s">
        <v>227</v>
      </c>
      <c r="AZ571" s="7" t="s">
        <v>227</v>
      </c>
      <c r="BA571" s="7" t="s">
        <v>227</v>
      </c>
      <c r="BB571" s="7"/>
      <c r="BC571" s="4" t="s">
        <v>227</v>
      </c>
      <c r="BD571" s="8" t="s">
        <v>227</v>
      </c>
      <c r="BE571" s="4" t="s">
        <v>227</v>
      </c>
      <c r="BF571" s="8" t="s">
        <v>227</v>
      </c>
      <c r="BG571" s="7" t="s">
        <v>227</v>
      </c>
      <c r="BH571" s="7" t="s">
        <v>227</v>
      </c>
      <c r="BI571" s="7"/>
      <c r="BJ571" s="4"/>
      <c r="BK571" s="8"/>
      <c r="BL571" s="2" t="s">
        <v>227</v>
      </c>
      <c r="BM571" s="7"/>
      <c r="BN571" s="7"/>
      <c r="BO571" s="4"/>
      <c r="BP571" s="8"/>
      <c r="BQ571" s="4"/>
      <c r="BR571" s="8"/>
      <c r="BS571" s="7"/>
      <c r="BT571" s="7"/>
      <c r="BU571" s="2" t="s">
        <v>3696</v>
      </c>
      <c r="BV571" s="2" t="s">
        <v>227</v>
      </c>
      <c r="BW571" s="2" t="s">
        <v>227</v>
      </c>
      <c r="BX571" s="2" t="s">
        <v>235</v>
      </c>
      <c r="BY571" s="2" t="s">
        <v>236</v>
      </c>
      <c r="BZ571" s="2" t="s">
        <v>224</v>
      </c>
      <c r="CA571" s="2" t="s">
        <v>3689</v>
      </c>
      <c r="CB571" s="2" t="s">
        <v>227</v>
      </c>
      <c r="CC571" s="2" t="s">
        <v>239</v>
      </c>
      <c r="CD571" s="2" t="s">
        <v>227</v>
      </c>
      <c r="CE571" s="4"/>
      <c r="CF571" s="4"/>
      <c r="CG571" s="4"/>
      <c r="CH571" s="4">
        <v>539</v>
      </c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/>
      <c r="FF571" s="4"/>
      <c r="FG571" s="4"/>
      <c r="FH571" s="4"/>
      <c r="FI571" s="4"/>
      <c r="FJ571" s="4"/>
      <c r="FK571" s="4"/>
      <c r="FL571" s="4"/>
      <c r="FM571" s="4"/>
      <c r="FN571" s="4"/>
      <c r="FO571" s="4"/>
      <c r="FP571" s="4"/>
      <c r="FQ571" s="4"/>
      <c r="FR571" s="4"/>
      <c r="FS571" s="4"/>
      <c r="FT571" s="4"/>
      <c r="FU571" s="4"/>
      <c r="FV571" s="4"/>
      <c r="FW571" s="4"/>
      <c r="FX571" s="4"/>
      <c r="FY571" s="4"/>
      <c r="FZ571" s="4"/>
      <c r="GA571" s="4"/>
      <c r="GB571" s="4"/>
      <c r="GC571" s="4"/>
      <c r="GD571" s="4"/>
      <c r="GE571" s="4"/>
      <c r="GF571" s="4"/>
      <c r="GG571" s="4"/>
      <c r="GH571" s="4"/>
      <c r="GI571" s="4"/>
      <c r="GJ571" s="4"/>
      <c r="GK571" s="4"/>
      <c r="GL571" s="4"/>
      <c r="GM571" s="4"/>
      <c r="GN571" s="4"/>
      <c r="GO571" s="4"/>
      <c r="GP571" s="4"/>
      <c r="GQ571" s="4"/>
      <c r="GR571" s="4"/>
      <c r="GS571" s="4"/>
      <c r="GT571" s="4"/>
      <c r="GU571" s="4"/>
      <c r="GV571" s="4"/>
      <c r="GW571" s="4"/>
      <c r="GX571" s="4"/>
    </row>
    <row r="572">
      <c r="A572" s="2" t="s">
        <v>3697</v>
      </c>
      <c r="B572" s="2" t="s">
        <v>3640</v>
      </c>
      <c r="C572" s="2" t="s">
        <v>668</v>
      </c>
      <c r="D572" s="2" t="s">
        <v>3641</v>
      </c>
      <c r="E572" s="2" t="s">
        <v>3642</v>
      </c>
      <c r="F572" s="2" t="s">
        <v>3677</v>
      </c>
      <c r="G572" s="2" t="s">
        <v>227</v>
      </c>
      <c r="H572" s="2" t="s">
        <v>227</v>
      </c>
      <c r="I572" s="2" t="s">
        <v>3678</v>
      </c>
      <c r="J572" s="2" t="s">
        <v>648</v>
      </c>
      <c r="K572" s="2" t="s">
        <v>3692</v>
      </c>
      <c r="L572" s="3">
        <v>19.21</v>
      </c>
      <c r="M572" s="3">
        <v>20.17</v>
      </c>
      <c r="N572" s="3">
        <v>29.99</v>
      </c>
      <c r="O572" s="2" t="s">
        <v>224</v>
      </c>
      <c r="P572" s="2" t="s">
        <v>550</v>
      </c>
      <c r="Q572" s="2" t="s">
        <v>226</v>
      </c>
      <c r="R572" s="2" t="s">
        <v>227</v>
      </c>
      <c r="S572" s="2" t="s">
        <v>227</v>
      </c>
      <c r="T572" s="2" t="s">
        <v>227</v>
      </c>
      <c r="U572" s="2" t="s">
        <v>227</v>
      </c>
      <c r="V572" s="2" t="s">
        <v>566</v>
      </c>
      <c r="W572" s="2" t="s">
        <v>227</v>
      </c>
      <c r="X572" s="2" t="s">
        <v>227</v>
      </c>
      <c r="Y572" s="2" t="s">
        <v>3680</v>
      </c>
      <c r="Z572" s="4">
        <v>372</v>
      </c>
      <c r="AA572" s="4">
        <f>=ROUNDDOWN(46.5,0)</f>
      </c>
      <c r="AB572" s="5">
        <v>8</v>
      </c>
      <c r="AC572" s="2" t="s">
        <v>227</v>
      </c>
      <c r="AD572" s="4"/>
      <c r="AE572" s="4"/>
      <c r="AF572" s="6"/>
      <c r="AG572" s="6">
        <v>48</v>
      </c>
      <c r="AH572" s="7">
        <v>1</v>
      </c>
      <c r="AI572" s="4"/>
      <c r="AJ572" s="4">
        <f>=ROUNDDOWN({0},0)</f>
      </c>
      <c r="AK572" s="5"/>
      <c r="AL572" s="2" t="s">
        <v>227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 t="s">
        <v>227</v>
      </c>
      <c r="AW572" s="8" t="s">
        <v>227</v>
      </c>
      <c r="AX572" s="4" t="s">
        <v>227</v>
      </c>
      <c r="AY572" s="8" t="s">
        <v>227</v>
      </c>
      <c r="AZ572" s="7" t="s">
        <v>227</v>
      </c>
      <c r="BA572" s="7" t="s">
        <v>227</v>
      </c>
      <c r="BB572" s="7"/>
      <c r="BC572" s="4" t="s">
        <v>227</v>
      </c>
      <c r="BD572" s="8" t="s">
        <v>227</v>
      </c>
      <c r="BE572" s="4" t="s">
        <v>227</v>
      </c>
      <c r="BF572" s="8" t="s">
        <v>227</v>
      </c>
      <c r="BG572" s="7" t="s">
        <v>227</v>
      </c>
      <c r="BH572" s="7" t="s">
        <v>227</v>
      </c>
      <c r="BI572" s="7"/>
      <c r="BJ572" s="4">
        <v>5</v>
      </c>
      <c r="BK572" s="8">
        <v>110.2</v>
      </c>
      <c r="BL572" s="2" t="s">
        <v>3669</v>
      </c>
      <c r="BM572" s="7"/>
      <c r="BN572" s="7"/>
      <c r="BO572" s="4"/>
      <c r="BP572" s="8"/>
      <c r="BQ572" s="4"/>
      <c r="BR572" s="8"/>
      <c r="BS572" s="7"/>
      <c r="BT572" s="7"/>
      <c r="BU572" s="2" t="s">
        <v>3698</v>
      </c>
      <c r="BV572" s="2" t="s">
        <v>227</v>
      </c>
      <c r="BW572" s="2" t="s">
        <v>227</v>
      </c>
      <c r="BX572" s="2" t="s">
        <v>235</v>
      </c>
      <c r="BY572" s="2" t="s">
        <v>236</v>
      </c>
      <c r="BZ572" s="2" t="s">
        <v>224</v>
      </c>
      <c r="CA572" s="2" t="s">
        <v>3689</v>
      </c>
      <c r="CB572" s="2" t="s">
        <v>2869</v>
      </c>
      <c r="CC572" s="2" t="s">
        <v>239</v>
      </c>
      <c r="CD572" s="2" t="s">
        <v>227</v>
      </c>
      <c r="CE572" s="4"/>
      <c r="CF572" s="4"/>
      <c r="CG572" s="4"/>
      <c r="CH572" s="4">
        <v>372</v>
      </c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/>
      <c r="FH572" s="4"/>
      <c r="FI572" s="4"/>
      <c r="FJ572" s="4"/>
      <c r="FK572" s="4"/>
      <c r="FL572" s="4"/>
      <c r="FM572" s="4"/>
      <c r="FN572" s="4"/>
      <c r="FO572" s="4"/>
      <c r="FP572" s="4"/>
      <c r="FQ572" s="4"/>
      <c r="FR572" s="4"/>
      <c r="FS572" s="4"/>
      <c r="FT572" s="4"/>
      <c r="FU572" s="4"/>
      <c r="FV572" s="4"/>
      <c r="FW572" s="4"/>
      <c r="FX572" s="4"/>
      <c r="FY572" s="4"/>
      <c r="FZ572" s="4"/>
      <c r="GA572" s="4"/>
      <c r="GB572" s="4"/>
      <c r="GC572" s="4"/>
      <c r="GD572" s="4"/>
      <c r="GE572" s="4"/>
      <c r="GF572" s="4"/>
      <c r="GG572" s="4"/>
      <c r="GH572" s="4"/>
      <c r="GI572" s="4"/>
      <c r="GJ572" s="4"/>
      <c r="GK572" s="4"/>
      <c r="GL572" s="4"/>
      <c r="GM572" s="4"/>
      <c r="GN572" s="4"/>
      <c r="GO572" s="4"/>
      <c r="GP572" s="4"/>
      <c r="GQ572" s="4"/>
      <c r="GR572" s="4"/>
      <c r="GS572" s="4"/>
      <c r="GT572" s="4"/>
      <c r="GU572" s="4"/>
      <c r="GV572" s="4"/>
      <c r="GW572" s="4"/>
      <c r="GX572" s="4"/>
    </row>
    <row r="573">
      <c r="A573" s="2" t="s">
        <v>3699</v>
      </c>
      <c r="B573" s="2" t="s">
        <v>3640</v>
      </c>
      <c r="C573" s="2" t="s">
        <v>668</v>
      </c>
      <c r="D573" s="2" t="s">
        <v>3641</v>
      </c>
      <c r="E573" s="2" t="s">
        <v>3642</v>
      </c>
      <c r="F573" s="2" t="s">
        <v>3677</v>
      </c>
      <c r="G573" s="2" t="s">
        <v>227</v>
      </c>
      <c r="H573" s="2" t="s">
        <v>227</v>
      </c>
      <c r="I573" s="2" t="s">
        <v>3678</v>
      </c>
      <c r="J573" s="2" t="s">
        <v>3687</v>
      </c>
      <c r="K573" s="2" t="s">
        <v>3692</v>
      </c>
      <c r="L573" s="3">
        <v>19.21</v>
      </c>
      <c r="M573" s="3">
        <v>20.17</v>
      </c>
      <c r="N573" s="3">
        <v>29.99</v>
      </c>
      <c r="O573" s="2" t="s">
        <v>224</v>
      </c>
      <c r="P573" s="2" t="s">
        <v>550</v>
      </c>
      <c r="Q573" s="2" t="s">
        <v>226</v>
      </c>
      <c r="R573" s="2" t="s">
        <v>227</v>
      </c>
      <c r="S573" s="2" t="s">
        <v>227</v>
      </c>
      <c r="T573" s="2" t="s">
        <v>227</v>
      </c>
      <c r="U573" s="2" t="s">
        <v>227</v>
      </c>
      <c r="V573" s="2" t="s">
        <v>566</v>
      </c>
      <c r="W573" s="2" t="s">
        <v>227</v>
      </c>
      <c r="X573" s="2" t="s">
        <v>227</v>
      </c>
      <c r="Y573" s="2" t="s">
        <v>3680</v>
      </c>
      <c r="Z573" s="4">
        <v>105</v>
      </c>
      <c r="AA573" s="4">
        <f>=ROUNDDOWN(35,0)</f>
      </c>
      <c r="AB573" s="5">
        <v>3</v>
      </c>
      <c r="AC573" s="2" t="s">
        <v>227</v>
      </c>
      <c r="AD573" s="4"/>
      <c r="AE573" s="4"/>
      <c r="AF573" s="6"/>
      <c r="AG573" s="6">
        <v>48</v>
      </c>
      <c r="AH573" s="7">
        <v>1</v>
      </c>
      <c r="AI573" s="4"/>
      <c r="AJ573" s="4">
        <f>=ROUNDDOWN({0},0)</f>
      </c>
      <c r="AK573" s="5"/>
      <c r="AL573" s="2" t="s">
        <v>227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227</v>
      </c>
      <c r="AW573" s="8" t="s">
        <v>227</v>
      </c>
      <c r="AX573" s="4" t="s">
        <v>227</v>
      </c>
      <c r="AY573" s="8" t="s">
        <v>227</v>
      </c>
      <c r="AZ573" s="7" t="s">
        <v>227</v>
      </c>
      <c r="BA573" s="7" t="s">
        <v>227</v>
      </c>
      <c r="BB573" s="7"/>
      <c r="BC573" s="4" t="s">
        <v>227</v>
      </c>
      <c r="BD573" s="8" t="s">
        <v>227</v>
      </c>
      <c r="BE573" s="4" t="s">
        <v>227</v>
      </c>
      <c r="BF573" s="8" t="s">
        <v>227</v>
      </c>
      <c r="BG573" s="7" t="s">
        <v>227</v>
      </c>
      <c r="BH573" s="7" t="s">
        <v>227</v>
      </c>
      <c r="BI573" s="7"/>
      <c r="BJ573" s="4">
        <v>6</v>
      </c>
      <c r="BK573" s="8">
        <v>142.8</v>
      </c>
      <c r="BL573" s="2" t="s">
        <v>2126</v>
      </c>
      <c r="BM573" s="7"/>
      <c r="BN573" s="7"/>
      <c r="BO573" s="4"/>
      <c r="BP573" s="8"/>
      <c r="BQ573" s="4"/>
      <c r="BR573" s="8"/>
      <c r="BS573" s="7"/>
      <c r="BT573" s="7"/>
      <c r="BU573" s="2" t="s">
        <v>3700</v>
      </c>
      <c r="BV573" s="2" t="s">
        <v>227</v>
      </c>
      <c r="BW573" s="2" t="s">
        <v>227</v>
      </c>
      <c r="BX573" s="2" t="s">
        <v>235</v>
      </c>
      <c r="BY573" s="2" t="s">
        <v>236</v>
      </c>
      <c r="BZ573" s="2" t="s">
        <v>224</v>
      </c>
      <c r="CA573" s="2" t="s">
        <v>3689</v>
      </c>
      <c r="CB573" s="2" t="s">
        <v>1699</v>
      </c>
      <c r="CC573" s="2" t="s">
        <v>239</v>
      </c>
      <c r="CD573" s="2" t="s">
        <v>227</v>
      </c>
      <c r="CE573" s="4"/>
      <c r="CF573" s="4"/>
      <c r="CG573" s="4"/>
      <c r="CH573" s="4">
        <v>105</v>
      </c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/>
      <c r="FH573" s="4"/>
      <c r="FI573" s="4"/>
      <c r="FJ573" s="4"/>
      <c r="FK573" s="4"/>
      <c r="FL573" s="4"/>
      <c r="FM573" s="4"/>
      <c r="FN573" s="4"/>
      <c r="FO573" s="4"/>
      <c r="FP573" s="4"/>
      <c r="FQ573" s="4"/>
      <c r="FR573" s="4"/>
      <c r="FS573" s="4"/>
      <c r="FT573" s="4"/>
      <c r="FU573" s="4"/>
      <c r="FV573" s="4"/>
      <c r="FW573" s="4"/>
      <c r="FX573" s="4"/>
      <c r="FY573" s="4"/>
      <c r="FZ573" s="4"/>
      <c r="GA573" s="4"/>
      <c r="GB573" s="4"/>
      <c r="GC573" s="4"/>
      <c r="GD573" s="4"/>
      <c r="GE573" s="4"/>
      <c r="GF573" s="4"/>
      <c r="GG573" s="4"/>
      <c r="GH573" s="4"/>
      <c r="GI573" s="4"/>
      <c r="GJ573" s="4"/>
      <c r="GK573" s="4"/>
      <c r="GL573" s="4"/>
      <c r="GM573" s="4"/>
      <c r="GN573" s="4"/>
      <c r="GO573" s="4"/>
      <c r="GP573" s="4"/>
      <c r="GQ573" s="4"/>
      <c r="GR573" s="4"/>
      <c r="GS573" s="4"/>
      <c r="GT573" s="4"/>
      <c r="GU573" s="4"/>
      <c r="GV573" s="4"/>
      <c r="GW573" s="4"/>
      <c r="GX573" s="4"/>
    </row>
    <row r="574">
      <c r="A574" s="2" t="s">
        <v>3701</v>
      </c>
      <c r="B574" s="2" t="s">
        <v>3640</v>
      </c>
      <c r="C574" s="2" t="s">
        <v>668</v>
      </c>
      <c r="D574" s="2" t="s">
        <v>3641</v>
      </c>
      <c r="E574" s="2" t="s">
        <v>3642</v>
      </c>
      <c r="F574" s="2" t="s">
        <v>3677</v>
      </c>
      <c r="G574" s="2" t="s">
        <v>227</v>
      </c>
      <c r="H574" s="2" t="s">
        <v>227</v>
      </c>
      <c r="I574" s="2" t="s">
        <v>3678</v>
      </c>
      <c r="J574" s="2" t="s">
        <v>3691</v>
      </c>
      <c r="K574" s="2" t="s">
        <v>3702</v>
      </c>
      <c r="L574" s="3">
        <v>19.21</v>
      </c>
      <c r="M574" s="3">
        <v>20.17</v>
      </c>
      <c r="N574" s="3">
        <v>29.99</v>
      </c>
      <c r="O574" s="2" t="s">
        <v>224</v>
      </c>
      <c r="P574" s="2" t="s">
        <v>550</v>
      </c>
      <c r="Q574" s="2" t="s">
        <v>226</v>
      </c>
      <c r="R574" s="2" t="s">
        <v>227</v>
      </c>
      <c r="S574" s="2" t="s">
        <v>227</v>
      </c>
      <c r="T574" s="2" t="s">
        <v>227</v>
      </c>
      <c r="U574" s="2" t="s">
        <v>227</v>
      </c>
      <c r="V574" s="2" t="s">
        <v>566</v>
      </c>
      <c r="W574" s="2" t="s">
        <v>227</v>
      </c>
      <c r="X574" s="2" t="s">
        <v>227</v>
      </c>
      <c r="Y574" s="2" t="s">
        <v>3680</v>
      </c>
      <c r="Z574" s="4">
        <v>228</v>
      </c>
      <c r="AA574" s="4">
        <f>=ROUNDDOWN(190,0)</f>
      </c>
      <c r="AB574" s="5">
        <v>1.2</v>
      </c>
      <c r="AC574" s="2" t="s">
        <v>227</v>
      </c>
      <c r="AD574" s="4"/>
      <c r="AE574" s="4"/>
      <c r="AF574" s="6"/>
      <c r="AG574" s="6">
        <v>48</v>
      </c>
      <c r="AH574" s="7">
        <v>1</v>
      </c>
      <c r="AI574" s="4"/>
      <c r="AJ574" s="4">
        <f>=ROUNDDOWN({0},0)</f>
      </c>
      <c r="AK574" s="5"/>
      <c r="AL574" s="2" t="s">
        <v>227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 t="s">
        <v>227</v>
      </c>
      <c r="AW574" s="8" t="s">
        <v>227</v>
      </c>
      <c r="AX574" s="4" t="s">
        <v>227</v>
      </c>
      <c r="AY574" s="8" t="s">
        <v>227</v>
      </c>
      <c r="AZ574" s="7" t="s">
        <v>227</v>
      </c>
      <c r="BA574" s="7" t="s">
        <v>227</v>
      </c>
      <c r="BB574" s="7"/>
      <c r="BC574" s="4" t="s">
        <v>227</v>
      </c>
      <c r="BD574" s="8" t="s">
        <v>227</v>
      </c>
      <c r="BE574" s="4" t="s">
        <v>227</v>
      </c>
      <c r="BF574" s="8" t="s">
        <v>227</v>
      </c>
      <c r="BG574" s="7" t="s">
        <v>227</v>
      </c>
      <c r="BH574" s="7" t="s">
        <v>227</v>
      </c>
      <c r="BI574" s="7"/>
      <c r="BJ574" s="4">
        <v>7</v>
      </c>
      <c r="BK574" s="8">
        <v>105</v>
      </c>
      <c r="BL574" s="2" t="s">
        <v>1627</v>
      </c>
      <c r="BM574" s="7"/>
      <c r="BN574" s="7"/>
      <c r="BO574" s="4"/>
      <c r="BP574" s="8"/>
      <c r="BQ574" s="4"/>
      <c r="BR574" s="8"/>
      <c r="BS574" s="7"/>
      <c r="BT574" s="7"/>
      <c r="BU574" s="2" t="s">
        <v>3703</v>
      </c>
      <c r="BV574" s="2" t="s">
        <v>227</v>
      </c>
      <c r="BW574" s="2" t="s">
        <v>227</v>
      </c>
      <c r="BX574" s="2" t="s">
        <v>235</v>
      </c>
      <c r="BY574" s="2" t="s">
        <v>236</v>
      </c>
      <c r="BZ574" s="2" t="s">
        <v>224</v>
      </c>
      <c r="CA574" s="2" t="s">
        <v>3689</v>
      </c>
      <c r="CB574" s="2" t="s">
        <v>227</v>
      </c>
      <c r="CC574" s="2" t="s">
        <v>239</v>
      </c>
      <c r="CD574" s="2" t="s">
        <v>227</v>
      </c>
      <c r="CE574" s="4">
        <v>1</v>
      </c>
      <c r="CF574" s="4"/>
      <c r="CG574" s="4"/>
      <c r="CH574" s="4">
        <v>227</v>
      </c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  <c r="FG574" s="4"/>
      <c r="FH574" s="4"/>
      <c r="FI574" s="4"/>
      <c r="FJ574" s="4"/>
      <c r="FK574" s="4"/>
      <c r="FL574" s="4"/>
      <c r="FM574" s="4"/>
      <c r="FN574" s="4"/>
      <c r="FO574" s="4"/>
      <c r="FP574" s="4"/>
      <c r="FQ574" s="4"/>
      <c r="FR574" s="4"/>
      <c r="FS574" s="4"/>
      <c r="FT574" s="4"/>
      <c r="FU574" s="4"/>
      <c r="FV574" s="4"/>
      <c r="FW574" s="4"/>
      <c r="FX574" s="4"/>
      <c r="FY574" s="4"/>
      <c r="FZ574" s="4"/>
      <c r="GA574" s="4"/>
      <c r="GB574" s="4"/>
      <c r="GC574" s="4"/>
      <c r="GD574" s="4"/>
      <c r="GE574" s="4"/>
      <c r="GF574" s="4"/>
      <c r="GG574" s="4"/>
      <c r="GH574" s="4"/>
      <c r="GI574" s="4"/>
      <c r="GJ574" s="4"/>
      <c r="GK574" s="4"/>
      <c r="GL574" s="4"/>
      <c r="GM574" s="4"/>
      <c r="GN574" s="4"/>
      <c r="GO574" s="4"/>
      <c r="GP574" s="4"/>
      <c r="GQ574" s="4"/>
      <c r="GR574" s="4"/>
      <c r="GS574" s="4"/>
      <c r="GT574" s="4"/>
      <c r="GU574" s="4"/>
      <c r="GV574" s="4"/>
      <c r="GW574" s="4"/>
      <c r="GX574" s="4"/>
    </row>
    <row r="575">
      <c r="A575" s="2" t="s">
        <v>3704</v>
      </c>
      <c r="B575" s="2" t="s">
        <v>3640</v>
      </c>
      <c r="C575" s="2" t="s">
        <v>668</v>
      </c>
      <c r="D575" s="2" t="s">
        <v>3641</v>
      </c>
      <c r="E575" s="2" t="s">
        <v>3642</v>
      </c>
      <c r="F575" s="2" t="s">
        <v>3677</v>
      </c>
      <c r="G575" s="2" t="s">
        <v>227</v>
      </c>
      <c r="H575" s="2" t="s">
        <v>227</v>
      </c>
      <c r="I575" s="2" t="s">
        <v>3678</v>
      </c>
      <c r="J575" s="2" t="s">
        <v>3695</v>
      </c>
      <c r="K575" s="2" t="s">
        <v>3702</v>
      </c>
      <c r="L575" s="3">
        <v>19.21</v>
      </c>
      <c r="M575" s="3">
        <v>20.17</v>
      </c>
      <c r="N575" s="3">
        <v>29.99</v>
      </c>
      <c r="O575" s="2" t="s">
        <v>224</v>
      </c>
      <c r="P575" s="2" t="s">
        <v>550</v>
      </c>
      <c r="Q575" s="2" t="s">
        <v>226</v>
      </c>
      <c r="R575" s="2" t="s">
        <v>227</v>
      </c>
      <c r="S575" s="2" t="s">
        <v>227</v>
      </c>
      <c r="T575" s="2" t="s">
        <v>227</v>
      </c>
      <c r="U575" s="2" t="s">
        <v>227</v>
      </c>
      <c r="V575" s="2" t="s">
        <v>566</v>
      </c>
      <c r="W575" s="2" t="s">
        <v>227</v>
      </c>
      <c r="X575" s="2" t="s">
        <v>227</v>
      </c>
      <c r="Y575" s="2" t="s">
        <v>3680</v>
      </c>
      <c r="Z575" s="4">
        <v>309</v>
      </c>
      <c r="AA575" s="4">
        <f>=ROUNDDOWN(309,0)</f>
      </c>
      <c r="AB575" s="5">
        <v>1</v>
      </c>
      <c r="AC575" s="2" t="s">
        <v>227</v>
      </c>
      <c r="AD575" s="4"/>
      <c r="AE575" s="4"/>
      <c r="AF575" s="6"/>
      <c r="AG575" s="6">
        <v>48</v>
      </c>
      <c r="AH575" s="7">
        <v>1</v>
      </c>
      <c r="AI575" s="4"/>
      <c r="AJ575" s="4">
        <f>=ROUNDDOWN({0},0)</f>
      </c>
      <c r="AK575" s="5"/>
      <c r="AL575" s="2" t="s">
        <v>227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227</v>
      </c>
      <c r="AW575" s="8" t="s">
        <v>227</v>
      </c>
      <c r="AX575" s="4" t="s">
        <v>227</v>
      </c>
      <c r="AY575" s="8" t="s">
        <v>227</v>
      </c>
      <c r="AZ575" s="7" t="s">
        <v>227</v>
      </c>
      <c r="BA575" s="7" t="s">
        <v>227</v>
      </c>
      <c r="BB575" s="7"/>
      <c r="BC575" s="4" t="s">
        <v>227</v>
      </c>
      <c r="BD575" s="8" t="s">
        <v>227</v>
      </c>
      <c r="BE575" s="4" t="s">
        <v>227</v>
      </c>
      <c r="BF575" s="8" t="s">
        <v>227</v>
      </c>
      <c r="BG575" s="7" t="s">
        <v>227</v>
      </c>
      <c r="BH575" s="7" t="s">
        <v>227</v>
      </c>
      <c r="BI575" s="7"/>
      <c r="BJ575" s="4">
        <v>2</v>
      </c>
      <c r="BK575" s="8">
        <v>30</v>
      </c>
      <c r="BL575" s="2" t="s">
        <v>1627</v>
      </c>
      <c r="BM575" s="7"/>
      <c r="BN575" s="7"/>
      <c r="BO575" s="4"/>
      <c r="BP575" s="8"/>
      <c r="BQ575" s="4"/>
      <c r="BR575" s="8"/>
      <c r="BS575" s="7"/>
      <c r="BT575" s="7"/>
      <c r="BU575" s="2" t="s">
        <v>3705</v>
      </c>
      <c r="BV575" s="2" t="s">
        <v>227</v>
      </c>
      <c r="BW575" s="2" t="s">
        <v>227</v>
      </c>
      <c r="BX575" s="2" t="s">
        <v>235</v>
      </c>
      <c r="BY575" s="2" t="s">
        <v>236</v>
      </c>
      <c r="BZ575" s="2" t="s">
        <v>224</v>
      </c>
      <c r="CA575" s="2" t="s">
        <v>3689</v>
      </c>
      <c r="CB575" s="2" t="s">
        <v>3706</v>
      </c>
      <c r="CC575" s="2" t="s">
        <v>239</v>
      </c>
      <c r="CD575" s="2" t="s">
        <v>227</v>
      </c>
      <c r="CE575" s="4"/>
      <c r="CF575" s="4"/>
      <c r="CG575" s="4"/>
      <c r="CH575" s="4">
        <v>309</v>
      </c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  <c r="FM575" s="4"/>
      <c r="FN575" s="4"/>
      <c r="FO575" s="4"/>
      <c r="FP575" s="4"/>
      <c r="FQ575" s="4"/>
      <c r="FR575" s="4"/>
      <c r="FS575" s="4"/>
      <c r="FT575" s="4"/>
      <c r="FU575" s="4"/>
      <c r="FV575" s="4"/>
      <c r="FW575" s="4"/>
      <c r="FX575" s="4"/>
      <c r="FY575" s="4"/>
      <c r="FZ575" s="4"/>
      <c r="GA575" s="4"/>
      <c r="GB575" s="4"/>
      <c r="GC575" s="4"/>
      <c r="GD575" s="4"/>
      <c r="GE575" s="4"/>
      <c r="GF575" s="4"/>
      <c r="GG575" s="4"/>
      <c r="GH575" s="4"/>
      <c r="GI575" s="4"/>
      <c r="GJ575" s="4"/>
      <c r="GK575" s="4"/>
      <c r="GL575" s="4"/>
      <c r="GM575" s="4"/>
      <c r="GN575" s="4"/>
      <c r="GO575" s="4"/>
      <c r="GP575" s="4"/>
      <c r="GQ575" s="4"/>
      <c r="GR575" s="4"/>
      <c r="GS575" s="4"/>
      <c r="GT575" s="4"/>
      <c r="GU575" s="4"/>
      <c r="GV575" s="4"/>
      <c r="GW575" s="4"/>
      <c r="GX575" s="4"/>
    </row>
    <row r="576">
      <c r="A576" s="2" t="s">
        <v>3707</v>
      </c>
      <c r="B576" s="2" t="s">
        <v>3640</v>
      </c>
      <c r="C576" s="2" t="s">
        <v>668</v>
      </c>
      <c r="D576" s="2" t="s">
        <v>3641</v>
      </c>
      <c r="E576" s="2" t="s">
        <v>3642</v>
      </c>
      <c r="F576" s="2" t="s">
        <v>3677</v>
      </c>
      <c r="G576" s="2" t="s">
        <v>227</v>
      </c>
      <c r="H576" s="2" t="s">
        <v>227</v>
      </c>
      <c r="I576" s="2" t="s">
        <v>3678</v>
      </c>
      <c r="J576" s="2" t="s">
        <v>648</v>
      </c>
      <c r="K576" s="2" t="s">
        <v>3702</v>
      </c>
      <c r="L576" s="3">
        <v>19.21</v>
      </c>
      <c r="M576" s="3">
        <v>20.17</v>
      </c>
      <c r="N576" s="3">
        <v>29.99</v>
      </c>
      <c r="O576" s="2" t="s">
        <v>224</v>
      </c>
      <c r="P576" s="2" t="s">
        <v>550</v>
      </c>
      <c r="Q576" s="2" t="s">
        <v>226</v>
      </c>
      <c r="R576" s="2" t="s">
        <v>227</v>
      </c>
      <c r="S576" s="2" t="s">
        <v>227</v>
      </c>
      <c r="T576" s="2" t="s">
        <v>227</v>
      </c>
      <c r="U576" s="2" t="s">
        <v>227</v>
      </c>
      <c r="V576" s="2" t="s">
        <v>566</v>
      </c>
      <c r="W576" s="2" t="s">
        <v>227</v>
      </c>
      <c r="X576" s="2" t="s">
        <v>227</v>
      </c>
      <c r="Y576" s="2" t="s">
        <v>3680</v>
      </c>
      <c r="Z576" s="4">
        <v>471</v>
      </c>
      <c r="AA576" s="4">
        <f>=ROUNDDOWN(471,0)</f>
      </c>
      <c r="AB576" s="5">
        <v>1</v>
      </c>
      <c r="AC576" s="2" t="s">
        <v>227</v>
      </c>
      <c r="AD576" s="4"/>
      <c r="AE576" s="4"/>
      <c r="AF576" s="6"/>
      <c r="AG576" s="6">
        <v>48</v>
      </c>
      <c r="AH576" s="7">
        <v>1</v>
      </c>
      <c r="AI576" s="4"/>
      <c r="AJ576" s="4">
        <f>=ROUNDDOWN({0},0)</f>
      </c>
      <c r="AK576" s="5"/>
      <c r="AL576" s="2" t="s">
        <v>227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 t="s">
        <v>227</v>
      </c>
      <c r="AW576" s="8" t="s">
        <v>227</v>
      </c>
      <c r="AX576" s="4" t="s">
        <v>227</v>
      </c>
      <c r="AY576" s="8" t="s">
        <v>227</v>
      </c>
      <c r="AZ576" s="7" t="s">
        <v>227</v>
      </c>
      <c r="BA576" s="7" t="s">
        <v>227</v>
      </c>
      <c r="BB576" s="7"/>
      <c r="BC576" s="4" t="s">
        <v>227</v>
      </c>
      <c r="BD576" s="8" t="s">
        <v>227</v>
      </c>
      <c r="BE576" s="4" t="s">
        <v>227</v>
      </c>
      <c r="BF576" s="8" t="s">
        <v>227</v>
      </c>
      <c r="BG576" s="7" t="s">
        <v>227</v>
      </c>
      <c r="BH576" s="7" t="s">
        <v>227</v>
      </c>
      <c r="BI576" s="7"/>
      <c r="BJ576" s="4">
        <v>4</v>
      </c>
      <c r="BK576" s="8">
        <v>86.4</v>
      </c>
      <c r="BL576" s="2" t="s">
        <v>3669</v>
      </c>
      <c r="BM576" s="7"/>
      <c r="BN576" s="7"/>
      <c r="BO576" s="4"/>
      <c r="BP576" s="8"/>
      <c r="BQ576" s="4"/>
      <c r="BR576" s="8"/>
      <c r="BS576" s="7"/>
      <c r="BT576" s="7"/>
      <c r="BU576" s="2" t="s">
        <v>3708</v>
      </c>
      <c r="BV576" s="2" t="s">
        <v>227</v>
      </c>
      <c r="BW576" s="2" t="s">
        <v>227</v>
      </c>
      <c r="BX576" s="2" t="s">
        <v>235</v>
      </c>
      <c r="BY576" s="2" t="s">
        <v>236</v>
      </c>
      <c r="BZ576" s="2" t="s">
        <v>224</v>
      </c>
      <c r="CA576" s="2" t="s">
        <v>3689</v>
      </c>
      <c r="CB576" s="2" t="s">
        <v>227</v>
      </c>
      <c r="CC576" s="2" t="s">
        <v>239</v>
      </c>
      <c r="CD576" s="2" t="s">
        <v>227</v>
      </c>
      <c r="CE576" s="4"/>
      <c r="CF576" s="4"/>
      <c r="CG576" s="4"/>
      <c r="CH576" s="4">
        <v>471</v>
      </c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  <c r="FG576" s="4"/>
      <c r="FH576" s="4"/>
      <c r="FI576" s="4"/>
      <c r="FJ576" s="4"/>
      <c r="FK576" s="4"/>
      <c r="FL576" s="4"/>
      <c r="FM576" s="4"/>
      <c r="FN576" s="4"/>
      <c r="FO576" s="4"/>
      <c r="FP576" s="4"/>
      <c r="FQ576" s="4"/>
      <c r="FR576" s="4"/>
      <c r="FS576" s="4"/>
      <c r="FT576" s="4"/>
      <c r="FU576" s="4"/>
      <c r="FV576" s="4"/>
      <c r="FW576" s="4"/>
      <c r="FX576" s="4"/>
      <c r="FY576" s="4"/>
      <c r="FZ576" s="4"/>
      <c r="GA576" s="4"/>
      <c r="GB576" s="4"/>
      <c r="GC576" s="4"/>
      <c r="GD576" s="4"/>
      <c r="GE576" s="4"/>
      <c r="GF576" s="4"/>
      <c r="GG576" s="4"/>
      <c r="GH576" s="4"/>
      <c r="GI576" s="4"/>
      <c r="GJ576" s="4"/>
      <c r="GK576" s="4"/>
      <c r="GL576" s="4"/>
      <c r="GM576" s="4"/>
      <c r="GN576" s="4"/>
      <c r="GO576" s="4"/>
      <c r="GP576" s="4"/>
      <c r="GQ576" s="4"/>
      <c r="GR576" s="4"/>
      <c r="GS576" s="4"/>
      <c r="GT576" s="4"/>
      <c r="GU576" s="4"/>
      <c r="GV576" s="4"/>
      <c r="GW576" s="4"/>
      <c r="GX576" s="4"/>
    </row>
    <row r="577">
      <c r="A577" s="2" t="s">
        <v>3709</v>
      </c>
      <c r="B577" s="2" t="s">
        <v>3640</v>
      </c>
      <c r="C577" s="2" t="s">
        <v>668</v>
      </c>
      <c r="D577" s="2" t="s">
        <v>3641</v>
      </c>
      <c r="E577" s="2" t="s">
        <v>3642</v>
      </c>
      <c r="F577" s="2" t="s">
        <v>3677</v>
      </c>
      <c r="G577" s="2" t="s">
        <v>227</v>
      </c>
      <c r="H577" s="2" t="s">
        <v>227</v>
      </c>
      <c r="I577" s="2" t="s">
        <v>3678</v>
      </c>
      <c r="J577" s="2" t="s">
        <v>653</v>
      </c>
      <c r="K577" s="2" t="s">
        <v>3702</v>
      </c>
      <c r="L577" s="3">
        <v>19.21</v>
      </c>
      <c r="M577" s="3">
        <v>20.17</v>
      </c>
      <c r="N577" s="3">
        <v>29.99</v>
      </c>
      <c r="O577" s="2" t="s">
        <v>224</v>
      </c>
      <c r="P577" s="2" t="s">
        <v>550</v>
      </c>
      <c r="Q577" s="2" t="s">
        <v>226</v>
      </c>
      <c r="R577" s="2" t="s">
        <v>227</v>
      </c>
      <c r="S577" s="2" t="s">
        <v>227</v>
      </c>
      <c r="T577" s="2" t="s">
        <v>227</v>
      </c>
      <c r="U577" s="2" t="s">
        <v>227</v>
      </c>
      <c r="V577" s="2" t="s">
        <v>566</v>
      </c>
      <c r="W577" s="2" t="s">
        <v>227</v>
      </c>
      <c r="X577" s="2" t="s">
        <v>227</v>
      </c>
      <c r="Y577" s="2" t="s">
        <v>3680</v>
      </c>
      <c r="Z577" s="4">
        <v>471</v>
      </c>
      <c r="AA577" s="4">
        <f>=ROUNDDOWN(87.2222222222222,0)</f>
      </c>
      <c r="AB577" s="5">
        <v>5.4</v>
      </c>
      <c r="AC577" s="2" t="s">
        <v>227</v>
      </c>
      <c r="AD577" s="4"/>
      <c r="AE577" s="4"/>
      <c r="AF577" s="6"/>
      <c r="AG577" s="6">
        <v>48</v>
      </c>
      <c r="AH577" s="7">
        <v>1</v>
      </c>
      <c r="AI577" s="4"/>
      <c r="AJ577" s="4">
        <f>=ROUNDDOWN({0},0)</f>
      </c>
      <c r="AK577" s="5"/>
      <c r="AL577" s="2" t="s">
        <v>227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 t="s">
        <v>227</v>
      </c>
      <c r="AW577" s="8" t="s">
        <v>227</v>
      </c>
      <c r="AX577" s="4" t="s">
        <v>227</v>
      </c>
      <c r="AY577" s="8" t="s">
        <v>227</v>
      </c>
      <c r="AZ577" s="7" t="s">
        <v>227</v>
      </c>
      <c r="BA577" s="7" t="s">
        <v>227</v>
      </c>
      <c r="BB577" s="7"/>
      <c r="BC577" s="4" t="s">
        <v>227</v>
      </c>
      <c r="BD577" s="8" t="s">
        <v>227</v>
      </c>
      <c r="BE577" s="4" t="s">
        <v>227</v>
      </c>
      <c r="BF577" s="8" t="s">
        <v>227</v>
      </c>
      <c r="BG577" s="7" t="s">
        <v>227</v>
      </c>
      <c r="BH577" s="7" t="s">
        <v>227</v>
      </c>
      <c r="BI577" s="7"/>
      <c r="BJ577" s="4">
        <v>3</v>
      </c>
      <c r="BK577" s="8">
        <v>53.8</v>
      </c>
      <c r="BL577" s="2" t="s">
        <v>3669</v>
      </c>
      <c r="BM577" s="7"/>
      <c r="BN577" s="7"/>
      <c r="BO577" s="4"/>
      <c r="BP577" s="8"/>
      <c r="BQ577" s="4"/>
      <c r="BR577" s="8"/>
      <c r="BS577" s="7"/>
      <c r="BT577" s="7"/>
      <c r="BU577" s="2" t="s">
        <v>3710</v>
      </c>
      <c r="BV577" s="2" t="s">
        <v>227</v>
      </c>
      <c r="BW577" s="2" t="s">
        <v>227</v>
      </c>
      <c r="BX577" s="2" t="s">
        <v>235</v>
      </c>
      <c r="BY577" s="2" t="s">
        <v>236</v>
      </c>
      <c r="BZ577" s="2" t="s">
        <v>224</v>
      </c>
      <c r="CA577" s="2" t="s">
        <v>3667</v>
      </c>
      <c r="CB577" s="2" t="s">
        <v>1759</v>
      </c>
      <c r="CC577" s="2" t="s">
        <v>239</v>
      </c>
      <c r="CD577" s="2" t="s">
        <v>227</v>
      </c>
      <c r="CE577" s="4"/>
      <c r="CF577" s="4"/>
      <c r="CG577" s="4"/>
      <c r="CH577" s="4">
        <v>471</v>
      </c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/>
      <c r="FI577" s="4"/>
      <c r="FJ577" s="4"/>
      <c r="FK577" s="4"/>
      <c r="FL577" s="4"/>
      <c r="FM577" s="4"/>
      <c r="FN577" s="4"/>
      <c r="FO577" s="4"/>
      <c r="FP577" s="4"/>
      <c r="FQ577" s="4"/>
      <c r="FR577" s="4"/>
      <c r="FS577" s="4"/>
      <c r="FT577" s="4"/>
      <c r="FU577" s="4"/>
      <c r="FV577" s="4"/>
      <c r="FW577" s="4"/>
      <c r="FX577" s="4"/>
      <c r="FY577" s="4"/>
      <c r="FZ577" s="4"/>
      <c r="GA577" s="4"/>
      <c r="GB577" s="4"/>
      <c r="GC577" s="4"/>
      <c r="GD577" s="4"/>
      <c r="GE577" s="4"/>
      <c r="GF577" s="4"/>
      <c r="GG577" s="4"/>
      <c r="GH577" s="4"/>
      <c r="GI577" s="4"/>
      <c r="GJ577" s="4"/>
      <c r="GK577" s="4"/>
      <c r="GL577" s="4"/>
      <c r="GM577" s="4"/>
      <c r="GN577" s="4"/>
      <c r="GO577" s="4"/>
      <c r="GP577" s="4"/>
      <c r="GQ577" s="4"/>
      <c r="GR577" s="4"/>
      <c r="GS577" s="4"/>
      <c r="GT577" s="4"/>
      <c r="GU577" s="4"/>
      <c r="GV577" s="4"/>
      <c r="GW577" s="4"/>
      <c r="GX577" s="4"/>
    </row>
    <row r="578">
      <c r="A578" s="2" t="s">
        <v>3711</v>
      </c>
      <c r="B578" s="2" t="s">
        <v>3640</v>
      </c>
      <c r="C578" s="2" t="s">
        <v>668</v>
      </c>
      <c r="D578" s="2" t="s">
        <v>3641</v>
      </c>
      <c r="E578" s="2" t="s">
        <v>3642</v>
      </c>
      <c r="F578" s="2" t="s">
        <v>3677</v>
      </c>
      <c r="G578" s="2" t="s">
        <v>227</v>
      </c>
      <c r="H578" s="2" t="s">
        <v>227</v>
      </c>
      <c r="I578" s="2" t="s">
        <v>3678</v>
      </c>
      <c r="J578" s="2" t="s">
        <v>3687</v>
      </c>
      <c r="K578" s="2" t="s">
        <v>3702</v>
      </c>
      <c r="L578" s="3">
        <v>19.21</v>
      </c>
      <c r="M578" s="3">
        <v>20.17</v>
      </c>
      <c r="N578" s="3">
        <v>29.99</v>
      </c>
      <c r="O578" s="2" t="s">
        <v>224</v>
      </c>
      <c r="P578" s="2" t="s">
        <v>550</v>
      </c>
      <c r="Q578" s="2" t="s">
        <v>226</v>
      </c>
      <c r="R578" s="2" t="s">
        <v>227</v>
      </c>
      <c r="S578" s="2" t="s">
        <v>227</v>
      </c>
      <c r="T578" s="2" t="s">
        <v>227</v>
      </c>
      <c r="U578" s="2" t="s">
        <v>227</v>
      </c>
      <c r="V578" s="2" t="s">
        <v>566</v>
      </c>
      <c r="W578" s="2" t="s">
        <v>227</v>
      </c>
      <c r="X578" s="2" t="s">
        <v>227</v>
      </c>
      <c r="Y578" s="2" t="s">
        <v>3680</v>
      </c>
      <c r="Z578" s="4">
        <v>427</v>
      </c>
      <c r="AA578" s="4">
        <f>=ROUNDDOWN(213.5,0)</f>
      </c>
      <c r="AB578" s="5">
        <v>2</v>
      </c>
      <c r="AC578" s="2" t="s">
        <v>227</v>
      </c>
      <c r="AD578" s="4"/>
      <c r="AE578" s="4"/>
      <c r="AF578" s="6"/>
      <c r="AG578" s="6">
        <v>48</v>
      </c>
      <c r="AH578" s="7">
        <v>1</v>
      </c>
      <c r="AI578" s="4"/>
      <c r="AJ578" s="4">
        <f>=ROUNDDOWN({0},0)</f>
      </c>
      <c r="AK578" s="5"/>
      <c r="AL578" s="2" t="s">
        <v>227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227</v>
      </c>
      <c r="AW578" s="8" t="s">
        <v>227</v>
      </c>
      <c r="AX578" s="4" t="s">
        <v>227</v>
      </c>
      <c r="AY578" s="8" t="s">
        <v>227</v>
      </c>
      <c r="AZ578" s="7" t="s">
        <v>227</v>
      </c>
      <c r="BA578" s="7" t="s">
        <v>227</v>
      </c>
      <c r="BB578" s="7"/>
      <c r="BC578" s="4" t="s">
        <v>227</v>
      </c>
      <c r="BD578" s="8" t="s">
        <v>227</v>
      </c>
      <c r="BE578" s="4" t="s">
        <v>227</v>
      </c>
      <c r="BF578" s="8" t="s">
        <v>227</v>
      </c>
      <c r="BG578" s="7" t="s">
        <v>227</v>
      </c>
      <c r="BH578" s="7" t="s">
        <v>227</v>
      </c>
      <c r="BI578" s="7"/>
      <c r="BJ578" s="4">
        <v>8</v>
      </c>
      <c r="BK578" s="8">
        <v>164</v>
      </c>
      <c r="BL578" s="2" t="s">
        <v>3712</v>
      </c>
      <c r="BM578" s="7"/>
      <c r="BN578" s="7"/>
      <c r="BO578" s="4"/>
      <c r="BP578" s="8"/>
      <c r="BQ578" s="4"/>
      <c r="BR578" s="8"/>
      <c r="BS578" s="7"/>
      <c r="BT578" s="7"/>
      <c r="BU578" s="2" t="s">
        <v>3713</v>
      </c>
      <c r="BV578" s="2" t="s">
        <v>227</v>
      </c>
      <c r="BW578" s="2" t="s">
        <v>227</v>
      </c>
      <c r="BX578" s="2" t="s">
        <v>235</v>
      </c>
      <c r="BY578" s="2" t="s">
        <v>236</v>
      </c>
      <c r="BZ578" s="2" t="s">
        <v>224</v>
      </c>
      <c r="CA578" s="2" t="s">
        <v>3689</v>
      </c>
      <c r="CB578" s="2" t="s">
        <v>227</v>
      </c>
      <c r="CC578" s="2" t="s">
        <v>239</v>
      </c>
      <c r="CD578" s="2" t="s">
        <v>227</v>
      </c>
      <c r="CE578" s="4"/>
      <c r="CF578" s="4"/>
      <c r="CG578" s="4"/>
      <c r="CH578" s="4">
        <v>427</v>
      </c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/>
      <c r="FG578" s="4"/>
      <c r="FH578" s="4"/>
      <c r="FI578" s="4"/>
      <c r="FJ578" s="4"/>
      <c r="FK578" s="4"/>
      <c r="FL578" s="4"/>
      <c r="FM578" s="4"/>
      <c r="FN578" s="4"/>
      <c r="FO578" s="4"/>
      <c r="FP578" s="4"/>
      <c r="FQ578" s="4"/>
      <c r="FR578" s="4"/>
      <c r="FS578" s="4"/>
      <c r="FT578" s="4"/>
      <c r="FU578" s="4"/>
      <c r="FV578" s="4"/>
      <c r="FW578" s="4"/>
      <c r="FX578" s="4"/>
      <c r="FY578" s="4"/>
      <c r="FZ578" s="4"/>
      <c r="GA578" s="4"/>
      <c r="GB578" s="4"/>
      <c r="GC578" s="4"/>
      <c r="GD578" s="4"/>
      <c r="GE578" s="4"/>
      <c r="GF578" s="4"/>
      <c r="GG578" s="4"/>
      <c r="GH578" s="4"/>
      <c r="GI578" s="4"/>
      <c r="GJ578" s="4"/>
      <c r="GK578" s="4"/>
      <c r="GL578" s="4"/>
      <c r="GM578" s="4"/>
      <c r="GN578" s="4"/>
      <c r="GO578" s="4"/>
      <c r="GP578" s="4"/>
      <c r="GQ578" s="4"/>
      <c r="GR578" s="4"/>
      <c r="GS578" s="4"/>
      <c r="GT578" s="4"/>
      <c r="GU578" s="4"/>
      <c r="GV578" s="4"/>
      <c r="GW578" s="4"/>
      <c r="GX578" s="4"/>
    </row>
    <row r="579">
      <c r="A579" s="2" t="s">
        <v>3714</v>
      </c>
      <c r="B579" s="2" t="s">
        <v>3640</v>
      </c>
      <c r="C579" s="2" t="s">
        <v>668</v>
      </c>
      <c r="D579" s="2" t="s">
        <v>3641</v>
      </c>
      <c r="E579" s="2" t="s">
        <v>3642</v>
      </c>
      <c r="F579" s="2" t="s">
        <v>3715</v>
      </c>
      <c r="G579" s="2" t="s">
        <v>3715</v>
      </c>
      <c r="H579" s="2" t="s">
        <v>3715</v>
      </c>
      <c r="I579" s="2" t="s">
        <v>3716</v>
      </c>
      <c r="J579" s="2" t="s">
        <v>3717</v>
      </c>
      <c r="K579" s="2" t="s">
        <v>3718</v>
      </c>
      <c r="L579" s="3">
        <v>20.34</v>
      </c>
      <c r="M579" s="3">
        <v>21.36</v>
      </c>
      <c r="N579" s="3"/>
      <c r="O579" s="2" t="s">
        <v>224</v>
      </c>
      <c r="P579" s="2" t="s">
        <v>550</v>
      </c>
      <c r="Q579" s="2" t="s">
        <v>226</v>
      </c>
      <c r="R579" s="2" t="s">
        <v>227</v>
      </c>
      <c r="S579" s="2" t="s">
        <v>227</v>
      </c>
      <c r="T579" s="2" t="s">
        <v>227</v>
      </c>
      <c r="U579" s="2" t="s">
        <v>552</v>
      </c>
      <c r="V579" s="2" t="s">
        <v>566</v>
      </c>
      <c r="W579" s="2" t="s">
        <v>227</v>
      </c>
      <c r="X579" s="2" t="s">
        <v>227</v>
      </c>
      <c r="Y579" s="2" t="s">
        <v>1154</v>
      </c>
      <c r="Z579" s="4">
        <v>168</v>
      </c>
      <c r="AA579" s="4">
        <f>=ROUNDDOWN(168,0)</f>
      </c>
      <c r="AB579" s="5">
        <v>1</v>
      </c>
      <c r="AC579" s="2" t="s">
        <v>227</v>
      </c>
      <c r="AD579" s="4"/>
      <c r="AE579" s="4"/>
      <c r="AF579" s="6"/>
      <c r="AG579" s="6">
        <v>73</v>
      </c>
      <c r="AH579" s="7">
        <v>1</v>
      </c>
      <c r="AI579" s="4"/>
      <c r="AJ579" s="4">
        <f>=ROUNDDOWN({0},0)</f>
      </c>
      <c r="AK579" s="5"/>
      <c r="AL579" s="2" t="s">
        <v>227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 t="s">
        <v>227</v>
      </c>
      <c r="AW579" s="8" t="s">
        <v>227</v>
      </c>
      <c r="AX579" s="4" t="s">
        <v>227</v>
      </c>
      <c r="AY579" s="8" t="s">
        <v>227</v>
      </c>
      <c r="AZ579" s="7" t="s">
        <v>227</v>
      </c>
      <c r="BA579" s="7" t="s">
        <v>227</v>
      </c>
      <c r="BB579" s="7"/>
      <c r="BC579" s="4" t="s">
        <v>227</v>
      </c>
      <c r="BD579" s="8" t="s">
        <v>227</v>
      </c>
      <c r="BE579" s="4" t="s">
        <v>227</v>
      </c>
      <c r="BF579" s="8" t="s">
        <v>227</v>
      </c>
      <c r="BG579" s="7" t="s">
        <v>227</v>
      </c>
      <c r="BH579" s="7" t="s">
        <v>227</v>
      </c>
      <c r="BI579" s="7"/>
      <c r="BJ579" s="4">
        <v>3</v>
      </c>
      <c r="BK579" s="8">
        <v>75.6</v>
      </c>
      <c r="BL579" s="2" t="s">
        <v>2126</v>
      </c>
      <c r="BM579" s="7"/>
      <c r="BN579" s="7"/>
      <c r="BO579" s="4"/>
      <c r="BP579" s="8"/>
      <c r="BQ579" s="4"/>
      <c r="BR579" s="8"/>
      <c r="BS579" s="7"/>
      <c r="BT579" s="7"/>
      <c r="BU579" s="2" t="s">
        <v>3719</v>
      </c>
      <c r="BV579" s="2" t="s">
        <v>227</v>
      </c>
      <c r="BW579" s="2" t="s">
        <v>227</v>
      </c>
      <c r="BX579" s="2" t="s">
        <v>235</v>
      </c>
      <c r="BY579" s="2" t="s">
        <v>236</v>
      </c>
      <c r="BZ579" s="2" t="s">
        <v>224</v>
      </c>
      <c r="CA579" s="2" t="s">
        <v>3674</v>
      </c>
      <c r="CB579" s="2" t="s">
        <v>227</v>
      </c>
      <c r="CC579" s="2" t="s">
        <v>239</v>
      </c>
      <c r="CD579" s="2" t="s">
        <v>227</v>
      </c>
      <c r="CE579" s="4"/>
      <c r="CF579" s="4"/>
      <c r="CG579" s="4"/>
      <c r="CH579" s="4">
        <v>168</v>
      </c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/>
      <c r="FG579" s="4"/>
      <c r="FH579" s="4"/>
      <c r="FI579" s="4"/>
      <c r="FJ579" s="4"/>
      <c r="FK579" s="4"/>
      <c r="FL579" s="4"/>
      <c r="FM579" s="4"/>
      <c r="FN579" s="4"/>
      <c r="FO579" s="4"/>
      <c r="FP579" s="4"/>
      <c r="FQ579" s="4"/>
      <c r="FR579" s="4"/>
      <c r="FS579" s="4"/>
      <c r="FT579" s="4"/>
      <c r="FU579" s="4"/>
      <c r="FV579" s="4"/>
      <c r="FW579" s="4"/>
      <c r="FX579" s="4"/>
      <c r="FY579" s="4"/>
      <c r="FZ579" s="4"/>
      <c r="GA579" s="4"/>
      <c r="GB579" s="4"/>
      <c r="GC579" s="4"/>
      <c r="GD579" s="4"/>
      <c r="GE579" s="4"/>
      <c r="GF579" s="4"/>
      <c r="GG579" s="4"/>
      <c r="GH579" s="4"/>
      <c r="GI579" s="4"/>
      <c r="GJ579" s="4"/>
      <c r="GK579" s="4"/>
      <c r="GL579" s="4"/>
      <c r="GM579" s="4"/>
      <c r="GN579" s="4"/>
      <c r="GO579" s="4"/>
      <c r="GP579" s="4"/>
      <c r="GQ579" s="4"/>
      <c r="GR579" s="4"/>
      <c r="GS579" s="4"/>
      <c r="GT579" s="4"/>
      <c r="GU579" s="4"/>
      <c r="GV579" s="4"/>
      <c r="GW579" s="4"/>
      <c r="GX579" s="4"/>
    </row>
    <row r="580">
      <c r="A580" s="2" t="s">
        <v>3720</v>
      </c>
      <c r="B580" s="2" t="s">
        <v>3640</v>
      </c>
      <c r="C580" s="2" t="s">
        <v>668</v>
      </c>
      <c r="D580" s="2" t="s">
        <v>3641</v>
      </c>
      <c r="E580" s="2" t="s">
        <v>3642</v>
      </c>
      <c r="F580" s="2" t="s">
        <v>3715</v>
      </c>
      <c r="G580" s="2" t="s">
        <v>3715</v>
      </c>
      <c r="H580" s="2" t="s">
        <v>3715</v>
      </c>
      <c r="I580" s="2" t="s">
        <v>3721</v>
      </c>
      <c r="J580" s="2" t="s">
        <v>3722</v>
      </c>
      <c r="K580" s="2" t="s">
        <v>3718</v>
      </c>
      <c r="L580" s="3">
        <v>20.34</v>
      </c>
      <c r="M580" s="3">
        <v>21.36</v>
      </c>
      <c r="N580" s="3"/>
      <c r="O580" s="2" t="s">
        <v>224</v>
      </c>
      <c r="P580" s="2" t="s">
        <v>550</v>
      </c>
      <c r="Q580" s="2" t="s">
        <v>226</v>
      </c>
      <c r="R580" s="2" t="s">
        <v>227</v>
      </c>
      <c r="S580" s="2" t="s">
        <v>227</v>
      </c>
      <c r="T580" s="2" t="s">
        <v>227</v>
      </c>
      <c r="U580" s="2" t="s">
        <v>552</v>
      </c>
      <c r="V580" s="2" t="s">
        <v>566</v>
      </c>
      <c r="W580" s="2" t="s">
        <v>227</v>
      </c>
      <c r="X580" s="2" t="s">
        <v>227</v>
      </c>
      <c r="Y580" s="2" t="s">
        <v>1154</v>
      </c>
      <c r="Z580" s="4">
        <v>242</v>
      </c>
      <c r="AA580" s="4">
        <f>=ROUNDDOWN(35.0724637681159,0)</f>
      </c>
      <c r="AB580" s="5">
        <v>6.9</v>
      </c>
      <c r="AC580" s="2" t="s">
        <v>227</v>
      </c>
      <c r="AD580" s="4"/>
      <c r="AE580" s="4"/>
      <c r="AF580" s="6"/>
      <c r="AG580" s="6">
        <v>73</v>
      </c>
      <c r="AH580" s="7">
        <v>1</v>
      </c>
      <c r="AI580" s="4"/>
      <c r="AJ580" s="4">
        <f>=ROUNDDOWN({0},0)</f>
      </c>
      <c r="AK580" s="5"/>
      <c r="AL580" s="2" t="s">
        <v>227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227</v>
      </c>
      <c r="AW580" s="8" t="s">
        <v>227</v>
      </c>
      <c r="AX580" s="4" t="s">
        <v>227</v>
      </c>
      <c r="AY580" s="8" t="s">
        <v>227</v>
      </c>
      <c r="AZ580" s="7" t="s">
        <v>227</v>
      </c>
      <c r="BA580" s="7" t="s">
        <v>227</v>
      </c>
      <c r="BB580" s="7"/>
      <c r="BC580" s="4" t="s">
        <v>227</v>
      </c>
      <c r="BD580" s="8" t="s">
        <v>227</v>
      </c>
      <c r="BE580" s="4" t="s">
        <v>227</v>
      </c>
      <c r="BF580" s="8" t="s">
        <v>227</v>
      </c>
      <c r="BG580" s="7" t="s">
        <v>227</v>
      </c>
      <c r="BH580" s="7" t="s">
        <v>227</v>
      </c>
      <c r="BI580" s="7"/>
      <c r="BJ580" s="4">
        <v>22</v>
      </c>
      <c r="BK580" s="8">
        <v>553.56</v>
      </c>
      <c r="BL580" s="2" t="s">
        <v>3657</v>
      </c>
      <c r="BM580" s="7"/>
      <c r="BN580" s="7"/>
      <c r="BO580" s="4"/>
      <c r="BP580" s="8"/>
      <c r="BQ580" s="4"/>
      <c r="BR580" s="8"/>
      <c r="BS580" s="7"/>
      <c r="BT580" s="7"/>
      <c r="BU580" s="2" t="s">
        <v>3723</v>
      </c>
      <c r="BV580" s="2" t="s">
        <v>227</v>
      </c>
      <c r="BW580" s="2" t="s">
        <v>227</v>
      </c>
      <c r="BX580" s="2" t="s">
        <v>235</v>
      </c>
      <c r="BY580" s="2" t="s">
        <v>236</v>
      </c>
      <c r="BZ580" s="2" t="s">
        <v>224</v>
      </c>
      <c r="CA580" s="2" t="s">
        <v>3674</v>
      </c>
      <c r="CB580" s="2" t="s">
        <v>3724</v>
      </c>
      <c r="CC580" s="2" t="s">
        <v>239</v>
      </c>
      <c r="CD580" s="2" t="s">
        <v>227</v>
      </c>
      <c r="CE580" s="4"/>
      <c r="CF580" s="4"/>
      <c r="CG580" s="4"/>
      <c r="CH580" s="4">
        <v>242</v>
      </c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/>
      <c r="FG580" s="4"/>
      <c r="FH580" s="4"/>
      <c r="FI580" s="4"/>
      <c r="FJ580" s="4"/>
      <c r="FK580" s="4"/>
      <c r="FL580" s="4"/>
      <c r="FM580" s="4"/>
      <c r="FN580" s="4"/>
      <c r="FO580" s="4"/>
      <c r="FP580" s="4"/>
      <c r="FQ580" s="4"/>
      <c r="FR580" s="4"/>
      <c r="FS580" s="4"/>
      <c r="FT580" s="4"/>
      <c r="FU580" s="4"/>
      <c r="FV580" s="4"/>
      <c r="FW580" s="4"/>
      <c r="FX580" s="4"/>
      <c r="FY580" s="4"/>
      <c r="FZ580" s="4"/>
      <c r="GA580" s="4"/>
      <c r="GB580" s="4"/>
      <c r="GC580" s="4"/>
      <c r="GD580" s="4"/>
      <c r="GE580" s="4"/>
      <c r="GF580" s="4"/>
      <c r="GG580" s="4"/>
      <c r="GH580" s="4"/>
      <c r="GI580" s="4"/>
      <c r="GJ580" s="4"/>
      <c r="GK580" s="4"/>
      <c r="GL580" s="4"/>
      <c r="GM580" s="4"/>
      <c r="GN580" s="4"/>
      <c r="GO580" s="4"/>
      <c r="GP580" s="4"/>
      <c r="GQ580" s="4"/>
      <c r="GR580" s="4"/>
      <c r="GS580" s="4"/>
      <c r="GT580" s="4"/>
      <c r="GU580" s="4"/>
      <c r="GV580" s="4"/>
      <c r="GW580" s="4"/>
      <c r="GX580" s="4"/>
    </row>
    <row r="581">
      <c r="A581" s="2" t="s">
        <v>3725</v>
      </c>
      <c r="B581" s="2" t="s">
        <v>3640</v>
      </c>
      <c r="C581" s="2" t="s">
        <v>668</v>
      </c>
      <c r="D581" s="2" t="s">
        <v>3641</v>
      </c>
      <c r="E581" s="2" t="s">
        <v>3642</v>
      </c>
      <c r="F581" s="2" t="s">
        <v>3715</v>
      </c>
      <c r="G581" s="2" t="s">
        <v>3715</v>
      </c>
      <c r="H581" s="2" t="s">
        <v>3715</v>
      </c>
      <c r="I581" s="2" t="s">
        <v>3726</v>
      </c>
      <c r="J581" s="2" t="s">
        <v>3727</v>
      </c>
      <c r="K581" s="2" t="s">
        <v>3718</v>
      </c>
      <c r="L581" s="3">
        <v>20.34</v>
      </c>
      <c r="M581" s="3">
        <v>21.36</v>
      </c>
      <c r="N581" s="3"/>
      <c r="O581" s="2" t="s">
        <v>224</v>
      </c>
      <c r="P581" s="2" t="s">
        <v>550</v>
      </c>
      <c r="Q581" s="2" t="s">
        <v>226</v>
      </c>
      <c r="R581" s="2" t="s">
        <v>227</v>
      </c>
      <c r="S581" s="2" t="s">
        <v>227</v>
      </c>
      <c r="T581" s="2" t="s">
        <v>227</v>
      </c>
      <c r="U581" s="2" t="s">
        <v>552</v>
      </c>
      <c r="V581" s="2" t="s">
        <v>566</v>
      </c>
      <c r="W581" s="2" t="s">
        <v>227</v>
      </c>
      <c r="X581" s="2" t="s">
        <v>227</v>
      </c>
      <c r="Y581" s="2" t="s">
        <v>1154</v>
      </c>
      <c r="Z581" s="4">
        <v>221</v>
      </c>
      <c r="AA581" s="4">
        <f>=ROUNDDOWN(32.9850746268657,0)</f>
      </c>
      <c r="AB581" s="5">
        <v>6.7</v>
      </c>
      <c r="AC581" s="2" t="s">
        <v>227</v>
      </c>
      <c r="AD581" s="4"/>
      <c r="AE581" s="4"/>
      <c r="AF581" s="6"/>
      <c r="AG581" s="6">
        <v>73</v>
      </c>
      <c r="AH581" s="7">
        <v>1</v>
      </c>
      <c r="AI581" s="4"/>
      <c r="AJ581" s="4">
        <f>=ROUNDDOWN({0},0)</f>
      </c>
      <c r="AK581" s="5"/>
      <c r="AL581" s="2" t="s">
        <v>227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227</v>
      </c>
      <c r="AW581" s="8" t="s">
        <v>227</v>
      </c>
      <c r="AX581" s="4" t="s">
        <v>227</v>
      </c>
      <c r="AY581" s="8" t="s">
        <v>227</v>
      </c>
      <c r="AZ581" s="7" t="s">
        <v>227</v>
      </c>
      <c r="BA581" s="7" t="s">
        <v>227</v>
      </c>
      <c r="BB581" s="7"/>
      <c r="BC581" s="4" t="s">
        <v>227</v>
      </c>
      <c r="BD581" s="8" t="s">
        <v>227</v>
      </c>
      <c r="BE581" s="4" t="s">
        <v>227</v>
      </c>
      <c r="BF581" s="8" t="s">
        <v>227</v>
      </c>
      <c r="BG581" s="7" t="s">
        <v>227</v>
      </c>
      <c r="BH581" s="7" t="s">
        <v>227</v>
      </c>
      <c r="BI581" s="7"/>
      <c r="BJ581" s="4">
        <v>15</v>
      </c>
      <c r="BK581" s="8">
        <v>376.11</v>
      </c>
      <c r="BL581" s="2" t="s">
        <v>3657</v>
      </c>
      <c r="BM581" s="7"/>
      <c r="BN581" s="7"/>
      <c r="BO581" s="4"/>
      <c r="BP581" s="8"/>
      <c r="BQ581" s="4"/>
      <c r="BR581" s="8"/>
      <c r="BS581" s="7"/>
      <c r="BT581" s="7"/>
      <c r="BU581" s="2" t="s">
        <v>3728</v>
      </c>
      <c r="BV581" s="2" t="s">
        <v>227</v>
      </c>
      <c r="BW581" s="2" t="s">
        <v>227</v>
      </c>
      <c r="BX581" s="2" t="s">
        <v>235</v>
      </c>
      <c r="BY581" s="2" t="s">
        <v>236</v>
      </c>
      <c r="BZ581" s="2" t="s">
        <v>224</v>
      </c>
      <c r="CA581" s="2" t="s">
        <v>3674</v>
      </c>
      <c r="CB581" s="2" t="s">
        <v>3729</v>
      </c>
      <c r="CC581" s="2" t="s">
        <v>239</v>
      </c>
      <c r="CD581" s="2" t="s">
        <v>227</v>
      </c>
      <c r="CE581" s="4"/>
      <c r="CF581" s="4"/>
      <c r="CG581" s="4"/>
      <c r="CH581" s="4">
        <v>221</v>
      </c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  <c r="FG581" s="4"/>
      <c r="FH581" s="4"/>
      <c r="FI581" s="4"/>
      <c r="FJ581" s="4"/>
      <c r="FK581" s="4"/>
      <c r="FL581" s="4"/>
      <c r="FM581" s="4"/>
      <c r="FN581" s="4"/>
      <c r="FO581" s="4"/>
      <c r="FP581" s="4"/>
      <c r="FQ581" s="4"/>
      <c r="FR581" s="4"/>
      <c r="FS581" s="4"/>
      <c r="FT581" s="4"/>
      <c r="FU581" s="4"/>
      <c r="FV581" s="4"/>
      <c r="FW581" s="4"/>
      <c r="FX581" s="4"/>
      <c r="FY581" s="4"/>
      <c r="FZ581" s="4"/>
      <c r="GA581" s="4"/>
      <c r="GB581" s="4"/>
      <c r="GC581" s="4"/>
      <c r="GD581" s="4"/>
      <c r="GE581" s="4"/>
      <c r="GF581" s="4"/>
      <c r="GG581" s="4"/>
      <c r="GH581" s="4"/>
      <c r="GI581" s="4"/>
      <c r="GJ581" s="4"/>
      <c r="GK581" s="4"/>
      <c r="GL581" s="4"/>
      <c r="GM581" s="4"/>
      <c r="GN581" s="4"/>
      <c r="GO581" s="4"/>
      <c r="GP581" s="4"/>
      <c r="GQ581" s="4"/>
      <c r="GR581" s="4"/>
      <c r="GS581" s="4"/>
      <c r="GT581" s="4"/>
      <c r="GU581" s="4"/>
      <c r="GV581" s="4"/>
      <c r="GW581" s="4"/>
      <c r="GX581" s="4"/>
    </row>
    <row r="582">
      <c r="A582" s="2" t="s">
        <v>3730</v>
      </c>
      <c r="B582" s="2" t="s">
        <v>3640</v>
      </c>
      <c r="C582" s="2" t="s">
        <v>668</v>
      </c>
      <c r="D582" s="2" t="s">
        <v>3641</v>
      </c>
      <c r="E582" s="2" t="s">
        <v>3642</v>
      </c>
      <c r="F582" s="2" t="s">
        <v>3715</v>
      </c>
      <c r="G582" s="2" t="s">
        <v>3715</v>
      </c>
      <c r="H582" s="2" t="s">
        <v>3715</v>
      </c>
      <c r="I582" s="2" t="s">
        <v>3731</v>
      </c>
      <c r="J582" s="2" t="s">
        <v>3717</v>
      </c>
      <c r="K582" s="2" t="s">
        <v>3732</v>
      </c>
      <c r="L582" s="3">
        <v>20.34</v>
      </c>
      <c r="M582" s="3">
        <v>21.36</v>
      </c>
      <c r="N582" s="3">
        <v>44.99</v>
      </c>
      <c r="O582" s="2" t="s">
        <v>224</v>
      </c>
      <c r="P582" s="2" t="s">
        <v>550</v>
      </c>
      <c r="Q582" s="2" t="s">
        <v>226</v>
      </c>
      <c r="R582" s="2" t="s">
        <v>227</v>
      </c>
      <c r="S582" s="2" t="s">
        <v>227</v>
      </c>
      <c r="T582" s="2" t="s">
        <v>227</v>
      </c>
      <c r="U582" s="2" t="s">
        <v>552</v>
      </c>
      <c r="V582" s="2" t="s">
        <v>566</v>
      </c>
      <c r="W582" s="2" t="s">
        <v>227</v>
      </c>
      <c r="X582" s="2" t="s">
        <v>227</v>
      </c>
      <c r="Y582" s="2" t="s">
        <v>3733</v>
      </c>
      <c r="Z582" s="4">
        <v>127</v>
      </c>
      <c r="AA582" s="4">
        <f>=ROUNDDOWN(97.6923076923077,0)</f>
      </c>
      <c r="AB582" s="5">
        <v>1.3</v>
      </c>
      <c r="AC582" s="2" t="s">
        <v>227</v>
      </c>
      <c r="AD582" s="4"/>
      <c r="AE582" s="4"/>
      <c r="AF582" s="6"/>
      <c r="AG582" s="6">
        <v>73</v>
      </c>
      <c r="AH582" s="7">
        <v>1</v>
      </c>
      <c r="AI582" s="4"/>
      <c r="AJ582" s="4">
        <f>=ROUNDDOWN({0},0)</f>
      </c>
      <c r="AK582" s="5"/>
      <c r="AL582" s="2" t="s">
        <v>227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 t="s">
        <v>227</v>
      </c>
      <c r="AW582" s="8" t="s">
        <v>227</v>
      </c>
      <c r="AX582" s="4" t="s">
        <v>227</v>
      </c>
      <c r="AY582" s="8" t="s">
        <v>227</v>
      </c>
      <c r="AZ582" s="7" t="s">
        <v>227</v>
      </c>
      <c r="BA582" s="7" t="s">
        <v>227</v>
      </c>
      <c r="BB582" s="7"/>
      <c r="BC582" s="4" t="s">
        <v>227</v>
      </c>
      <c r="BD582" s="8" t="s">
        <v>227</v>
      </c>
      <c r="BE582" s="4" t="s">
        <v>227</v>
      </c>
      <c r="BF582" s="8" t="s">
        <v>227</v>
      </c>
      <c r="BG582" s="7" t="s">
        <v>227</v>
      </c>
      <c r="BH582" s="7" t="s">
        <v>227</v>
      </c>
      <c r="BI582" s="7"/>
      <c r="BJ582" s="4">
        <v>2</v>
      </c>
      <c r="BK582" s="8">
        <v>50.4</v>
      </c>
      <c r="BL582" s="2" t="s">
        <v>2126</v>
      </c>
      <c r="BM582" s="7"/>
      <c r="BN582" s="7"/>
      <c r="BO582" s="4"/>
      <c r="BP582" s="8"/>
      <c r="BQ582" s="4"/>
      <c r="BR582" s="8"/>
      <c r="BS582" s="7"/>
      <c r="BT582" s="7"/>
      <c r="BU582" s="2" t="s">
        <v>3734</v>
      </c>
      <c r="BV582" s="2" t="s">
        <v>227</v>
      </c>
      <c r="BW582" s="2" t="s">
        <v>227</v>
      </c>
      <c r="BX582" s="2" t="s">
        <v>235</v>
      </c>
      <c r="BY582" s="2" t="s">
        <v>236</v>
      </c>
      <c r="BZ582" s="2" t="s">
        <v>224</v>
      </c>
      <c r="CA582" s="2" t="s">
        <v>3674</v>
      </c>
      <c r="CB582" s="2" t="s">
        <v>227</v>
      </c>
      <c r="CC582" s="2" t="s">
        <v>239</v>
      </c>
      <c r="CD582" s="2" t="s">
        <v>227</v>
      </c>
      <c r="CE582" s="4"/>
      <c r="CF582" s="4"/>
      <c r="CG582" s="4"/>
      <c r="CH582" s="4">
        <v>127</v>
      </c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/>
      <c r="FE582" s="4"/>
      <c r="FF582" s="4"/>
      <c r="FG582" s="4"/>
      <c r="FH582" s="4"/>
      <c r="FI582" s="4"/>
      <c r="FJ582" s="4"/>
      <c r="FK582" s="4"/>
      <c r="FL582" s="4"/>
      <c r="FM582" s="4"/>
      <c r="FN582" s="4"/>
      <c r="FO582" s="4"/>
      <c r="FP582" s="4"/>
      <c r="FQ582" s="4"/>
      <c r="FR582" s="4"/>
      <c r="FS582" s="4"/>
      <c r="FT582" s="4"/>
      <c r="FU582" s="4"/>
      <c r="FV582" s="4"/>
      <c r="FW582" s="4"/>
      <c r="FX582" s="4"/>
      <c r="FY582" s="4"/>
      <c r="FZ582" s="4"/>
      <c r="GA582" s="4"/>
      <c r="GB582" s="4"/>
      <c r="GC582" s="4"/>
      <c r="GD582" s="4"/>
      <c r="GE582" s="4"/>
      <c r="GF582" s="4"/>
      <c r="GG582" s="4"/>
      <c r="GH582" s="4"/>
      <c r="GI582" s="4"/>
      <c r="GJ582" s="4"/>
      <c r="GK582" s="4"/>
      <c r="GL582" s="4"/>
      <c r="GM582" s="4"/>
      <c r="GN582" s="4"/>
      <c r="GO582" s="4"/>
      <c r="GP582" s="4"/>
      <c r="GQ582" s="4"/>
      <c r="GR582" s="4"/>
      <c r="GS582" s="4"/>
      <c r="GT582" s="4"/>
      <c r="GU582" s="4"/>
      <c r="GV582" s="4"/>
      <c r="GW582" s="4"/>
      <c r="GX582" s="4"/>
    </row>
    <row r="583">
      <c r="A583" s="2" t="s">
        <v>3735</v>
      </c>
      <c r="B583" s="2" t="s">
        <v>3640</v>
      </c>
      <c r="C583" s="2" t="s">
        <v>668</v>
      </c>
      <c r="D583" s="2" t="s">
        <v>3641</v>
      </c>
      <c r="E583" s="2" t="s">
        <v>3642</v>
      </c>
      <c r="F583" s="2" t="s">
        <v>3715</v>
      </c>
      <c r="G583" s="2" t="s">
        <v>3715</v>
      </c>
      <c r="H583" s="2" t="s">
        <v>3715</v>
      </c>
      <c r="I583" s="2" t="s">
        <v>3731</v>
      </c>
      <c r="J583" s="2" t="s">
        <v>3722</v>
      </c>
      <c r="K583" s="2" t="s">
        <v>3732</v>
      </c>
      <c r="L583" s="3">
        <v>20.34</v>
      </c>
      <c r="M583" s="3">
        <v>21.36</v>
      </c>
      <c r="N583" s="3">
        <v>44.99</v>
      </c>
      <c r="O583" s="2" t="s">
        <v>224</v>
      </c>
      <c r="P583" s="2" t="s">
        <v>550</v>
      </c>
      <c r="Q583" s="2" t="s">
        <v>226</v>
      </c>
      <c r="R583" s="2" t="s">
        <v>227</v>
      </c>
      <c r="S583" s="2" t="s">
        <v>227</v>
      </c>
      <c r="T583" s="2" t="s">
        <v>227</v>
      </c>
      <c r="U583" s="2" t="s">
        <v>552</v>
      </c>
      <c r="V583" s="2" t="s">
        <v>566</v>
      </c>
      <c r="W583" s="2" t="s">
        <v>227</v>
      </c>
      <c r="X583" s="2" t="s">
        <v>227</v>
      </c>
      <c r="Y583" s="2" t="s">
        <v>3733</v>
      </c>
      <c r="Z583" s="4">
        <v>323</v>
      </c>
      <c r="AA583" s="4">
        <f>=ROUNDDOWN(95,0)</f>
      </c>
      <c r="AB583" s="5">
        <v>3.4</v>
      </c>
      <c r="AC583" s="2" t="s">
        <v>227</v>
      </c>
      <c r="AD583" s="4"/>
      <c r="AE583" s="4"/>
      <c r="AF583" s="6"/>
      <c r="AG583" s="6">
        <v>73</v>
      </c>
      <c r="AH583" s="7">
        <v>1</v>
      </c>
      <c r="AI583" s="4"/>
      <c r="AJ583" s="4">
        <f>=ROUNDDOWN({0},0)</f>
      </c>
      <c r="AK583" s="5"/>
      <c r="AL583" s="2" t="s">
        <v>227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 t="s">
        <v>227</v>
      </c>
      <c r="AW583" s="8" t="s">
        <v>227</v>
      </c>
      <c r="AX583" s="4" t="s">
        <v>227</v>
      </c>
      <c r="AY583" s="8" t="s">
        <v>227</v>
      </c>
      <c r="AZ583" s="7" t="s">
        <v>227</v>
      </c>
      <c r="BA583" s="7" t="s">
        <v>227</v>
      </c>
      <c r="BB583" s="7"/>
      <c r="BC583" s="4" t="s">
        <v>227</v>
      </c>
      <c r="BD583" s="8" t="s">
        <v>227</v>
      </c>
      <c r="BE583" s="4" t="s">
        <v>227</v>
      </c>
      <c r="BF583" s="8" t="s">
        <v>227</v>
      </c>
      <c r="BG583" s="7" t="s">
        <v>227</v>
      </c>
      <c r="BH583" s="7" t="s">
        <v>227</v>
      </c>
      <c r="BI583" s="7"/>
      <c r="BJ583" s="4">
        <v>9</v>
      </c>
      <c r="BK583" s="8">
        <v>226.17</v>
      </c>
      <c r="BL583" s="2" t="s">
        <v>1750</v>
      </c>
      <c r="BM583" s="7"/>
      <c r="BN583" s="7"/>
      <c r="BO583" s="4"/>
      <c r="BP583" s="8"/>
      <c r="BQ583" s="4"/>
      <c r="BR583" s="8"/>
      <c r="BS583" s="7"/>
      <c r="BT583" s="7"/>
      <c r="BU583" s="2" t="s">
        <v>3736</v>
      </c>
      <c r="BV583" s="2" t="s">
        <v>227</v>
      </c>
      <c r="BW583" s="2" t="s">
        <v>227</v>
      </c>
      <c r="BX583" s="2" t="s">
        <v>235</v>
      </c>
      <c r="BY583" s="2" t="s">
        <v>236</v>
      </c>
      <c r="BZ583" s="2" t="s">
        <v>224</v>
      </c>
      <c r="CA583" s="2" t="s">
        <v>3674</v>
      </c>
      <c r="CB583" s="2" t="s">
        <v>3737</v>
      </c>
      <c r="CC583" s="2" t="s">
        <v>239</v>
      </c>
      <c r="CD583" s="2" t="s">
        <v>227</v>
      </c>
      <c r="CE583" s="4"/>
      <c r="CF583" s="4"/>
      <c r="CG583" s="4"/>
      <c r="CH583" s="4">
        <v>323</v>
      </c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/>
      <c r="FG583" s="4"/>
      <c r="FH583" s="4"/>
      <c r="FI583" s="4"/>
      <c r="FJ583" s="4"/>
      <c r="FK583" s="4"/>
      <c r="FL583" s="4"/>
      <c r="FM583" s="4"/>
      <c r="FN583" s="4"/>
      <c r="FO583" s="4"/>
      <c r="FP583" s="4"/>
      <c r="FQ583" s="4"/>
      <c r="FR583" s="4"/>
      <c r="FS583" s="4"/>
      <c r="FT583" s="4"/>
      <c r="FU583" s="4"/>
      <c r="FV583" s="4"/>
      <c r="FW583" s="4"/>
      <c r="FX583" s="4"/>
      <c r="FY583" s="4"/>
      <c r="FZ583" s="4"/>
      <c r="GA583" s="4"/>
      <c r="GB583" s="4"/>
      <c r="GC583" s="4"/>
      <c r="GD583" s="4"/>
      <c r="GE583" s="4"/>
      <c r="GF583" s="4"/>
      <c r="GG583" s="4"/>
      <c r="GH583" s="4"/>
      <c r="GI583" s="4"/>
      <c r="GJ583" s="4"/>
      <c r="GK583" s="4"/>
      <c r="GL583" s="4"/>
      <c r="GM583" s="4"/>
      <c r="GN583" s="4"/>
      <c r="GO583" s="4"/>
      <c r="GP583" s="4"/>
      <c r="GQ583" s="4"/>
      <c r="GR583" s="4"/>
      <c r="GS583" s="4"/>
      <c r="GT583" s="4"/>
      <c r="GU583" s="4"/>
      <c r="GV583" s="4"/>
      <c r="GW583" s="4"/>
      <c r="GX583" s="4"/>
    </row>
    <row r="584">
      <c r="A584" s="2" t="s">
        <v>3738</v>
      </c>
      <c r="B584" s="2" t="s">
        <v>3640</v>
      </c>
      <c r="C584" s="2" t="s">
        <v>668</v>
      </c>
      <c r="D584" s="2" t="s">
        <v>3641</v>
      </c>
      <c r="E584" s="2" t="s">
        <v>3642</v>
      </c>
      <c r="F584" s="2" t="s">
        <v>3715</v>
      </c>
      <c r="G584" s="2" t="s">
        <v>3715</v>
      </c>
      <c r="H584" s="2" t="s">
        <v>3715</v>
      </c>
      <c r="I584" s="2" t="s">
        <v>3731</v>
      </c>
      <c r="J584" s="2" t="s">
        <v>3727</v>
      </c>
      <c r="K584" s="2" t="s">
        <v>3732</v>
      </c>
      <c r="L584" s="3">
        <v>20.34</v>
      </c>
      <c r="M584" s="3">
        <v>21.36</v>
      </c>
      <c r="N584" s="3">
        <v>44.99</v>
      </c>
      <c r="O584" s="2" t="s">
        <v>224</v>
      </c>
      <c r="P584" s="2" t="s">
        <v>550</v>
      </c>
      <c r="Q584" s="2" t="s">
        <v>226</v>
      </c>
      <c r="R584" s="2" t="s">
        <v>227</v>
      </c>
      <c r="S584" s="2" t="s">
        <v>227</v>
      </c>
      <c r="T584" s="2" t="s">
        <v>227</v>
      </c>
      <c r="U584" s="2" t="s">
        <v>552</v>
      </c>
      <c r="V584" s="2" t="s">
        <v>566</v>
      </c>
      <c r="W584" s="2" t="s">
        <v>227</v>
      </c>
      <c r="X584" s="2" t="s">
        <v>227</v>
      </c>
      <c r="Y584" s="2" t="s">
        <v>3733</v>
      </c>
      <c r="Z584" s="4">
        <v>321</v>
      </c>
      <c r="AA584" s="4">
        <f>=ROUNDDOWN(80.25,0)</f>
      </c>
      <c r="AB584" s="5">
        <v>4</v>
      </c>
      <c r="AC584" s="2" t="s">
        <v>227</v>
      </c>
      <c r="AD584" s="4"/>
      <c r="AE584" s="4"/>
      <c r="AF584" s="6"/>
      <c r="AG584" s="6">
        <v>73</v>
      </c>
      <c r="AH584" s="7">
        <v>1</v>
      </c>
      <c r="AI584" s="4"/>
      <c r="AJ584" s="4">
        <f>=ROUNDDOWN({0},0)</f>
      </c>
      <c r="AK584" s="5"/>
      <c r="AL584" s="2" t="s">
        <v>227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227</v>
      </c>
      <c r="AW584" s="8" t="s">
        <v>227</v>
      </c>
      <c r="AX584" s="4" t="s">
        <v>227</v>
      </c>
      <c r="AY584" s="8" t="s">
        <v>227</v>
      </c>
      <c r="AZ584" s="7" t="s">
        <v>227</v>
      </c>
      <c r="BA584" s="7" t="s">
        <v>227</v>
      </c>
      <c r="BB584" s="7"/>
      <c r="BC584" s="4" t="s">
        <v>227</v>
      </c>
      <c r="BD584" s="8" t="s">
        <v>227</v>
      </c>
      <c r="BE584" s="4" t="s">
        <v>227</v>
      </c>
      <c r="BF584" s="8" t="s">
        <v>227</v>
      </c>
      <c r="BG584" s="7" t="s">
        <v>227</v>
      </c>
      <c r="BH584" s="7" t="s">
        <v>227</v>
      </c>
      <c r="BI584" s="7"/>
      <c r="BJ584" s="4">
        <v>12</v>
      </c>
      <c r="BK584" s="8">
        <v>301.77</v>
      </c>
      <c r="BL584" s="2" t="s">
        <v>3657</v>
      </c>
      <c r="BM584" s="7"/>
      <c r="BN584" s="7"/>
      <c r="BO584" s="4"/>
      <c r="BP584" s="8"/>
      <c r="BQ584" s="4"/>
      <c r="BR584" s="8"/>
      <c r="BS584" s="7"/>
      <c r="BT584" s="7"/>
      <c r="BU584" s="2" t="s">
        <v>3739</v>
      </c>
      <c r="BV584" s="2" t="s">
        <v>227</v>
      </c>
      <c r="BW584" s="2" t="s">
        <v>227</v>
      </c>
      <c r="BX584" s="2" t="s">
        <v>235</v>
      </c>
      <c r="BY584" s="2" t="s">
        <v>236</v>
      </c>
      <c r="BZ584" s="2" t="s">
        <v>224</v>
      </c>
      <c r="CA584" s="2" t="s">
        <v>3674</v>
      </c>
      <c r="CB584" s="2" t="s">
        <v>3740</v>
      </c>
      <c r="CC584" s="2" t="s">
        <v>239</v>
      </c>
      <c r="CD584" s="2" t="s">
        <v>227</v>
      </c>
      <c r="CE584" s="4"/>
      <c r="CF584" s="4"/>
      <c r="CG584" s="4"/>
      <c r="CH584" s="4">
        <v>321</v>
      </c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/>
      <c r="FG584" s="4"/>
      <c r="FH584" s="4"/>
      <c r="FI584" s="4"/>
      <c r="FJ584" s="4"/>
      <c r="FK584" s="4"/>
      <c r="FL584" s="4"/>
      <c r="FM584" s="4"/>
      <c r="FN584" s="4"/>
      <c r="FO584" s="4"/>
      <c r="FP584" s="4"/>
      <c r="FQ584" s="4"/>
      <c r="FR584" s="4"/>
      <c r="FS584" s="4"/>
      <c r="FT584" s="4"/>
      <c r="FU584" s="4"/>
      <c r="FV584" s="4"/>
      <c r="FW584" s="4"/>
      <c r="FX584" s="4"/>
      <c r="FY584" s="4"/>
      <c r="FZ584" s="4"/>
      <c r="GA584" s="4"/>
      <c r="GB584" s="4"/>
      <c r="GC584" s="4"/>
      <c r="GD584" s="4"/>
      <c r="GE584" s="4"/>
      <c r="GF584" s="4"/>
      <c r="GG584" s="4"/>
      <c r="GH584" s="4"/>
      <c r="GI584" s="4"/>
      <c r="GJ584" s="4"/>
      <c r="GK584" s="4"/>
      <c r="GL584" s="4"/>
      <c r="GM584" s="4"/>
      <c r="GN584" s="4"/>
      <c r="GO584" s="4"/>
      <c r="GP584" s="4"/>
      <c r="GQ584" s="4"/>
      <c r="GR584" s="4"/>
      <c r="GS584" s="4"/>
      <c r="GT584" s="4"/>
      <c r="GU584" s="4"/>
      <c r="GV584" s="4"/>
      <c r="GW584" s="4"/>
      <c r="GX584" s="4"/>
    </row>
    <row r="585">
      <c r="A585" s="2" t="s">
        <v>3741</v>
      </c>
      <c r="B585" s="2" t="s">
        <v>3640</v>
      </c>
      <c r="C585" s="2" t="s">
        <v>668</v>
      </c>
      <c r="D585" s="2" t="s">
        <v>3641</v>
      </c>
      <c r="E585" s="2" t="s">
        <v>3642</v>
      </c>
      <c r="F585" s="2" t="s">
        <v>3715</v>
      </c>
      <c r="G585" s="2" t="s">
        <v>3715</v>
      </c>
      <c r="H585" s="2" t="s">
        <v>3715</v>
      </c>
      <c r="I585" s="2" t="s">
        <v>3731</v>
      </c>
      <c r="J585" s="2" t="s">
        <v>3717</v>
      </c>
      <c r="K585" s="2" t="s">
        <v>3742</v>
      </c>
      <c r="L585" s="3">
        <v>20.34</v>
      </c>
      <c r="M585" s="3">
        <v>21.36</v>
      </c>
      <c r="N585" s="3">
        <v>44.99</v>
      </c>
      <c r="O585" s="2" t="s">
        <v>224</v>
      </c>
      <c r="P585" s="2" t="s">
        <v>550</v>
      </c>
      <c r="Q585" s="2" t="s">
        <v>226</v>
      </c>
      <c r="R585" s="2" t="s">
        <v>227</v>
      </c>
      <c r="S585" s="2" t="s">
        <v>227</v>
      </c>
      <c r="T585" s="2" t="s">
        <v>227</v>
      </c>
      <c r="U585" s="2" t="s">
        <v>552</v>
      </c>
      <c r="V585" s="2" t="s">
        <v>566</v>
      </c>
      <c r="W585" s="2" t="s">
        <v>227</v>
      </c>
      <c r="X585" s="2" t="s">
        <v>227</v>
      </c>
      <c r="Y585" s="2" t="s">
        <v>3733</v>
      </c>
      <c r="Z585" s="4">
        <v>74</v>
      </c>
      <c r="AA585" s="4">
        <f>=ROUNDDOWN(61.6666666666667,0)</f>
      </c>
      <c r="AB585" s="5">
        <v>1.2</v>
      </c>
      <c r="AC585" s="2" t="s">
        <v>227</v>
      </c>
      <c r="AD585" s="4"/>
      <c r="AE585" s="4"/>
      <c r="AF585" s="6"/>
      <c r="AG585" s="6">
        <v>73</v>
      </c>
      <c r="AH585" s="7">
        <v>1</v>
      </c>
      <c r="AI585" s="4"/>
      <c r="AJ585" s="4">
        <f>=ROUNDDOWN({0},0)</f>
      </c>
      <c r="AK585" s="5"/>
      <c r="AL585" s="2" t="s">
        <v>227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 t="s">
        <v>227</v>
      </c>
      <c r="AW585" s="8" t="s">
        <v>227</v>
      </c>
      <c r="AX585" s="4" t="s">
        <v>227</v>
      </c>
      <c r="AY585" s="8" t="s">
        <v>227</v>
      </c>
      <c r="AZ585" s="7" t="s">
        <v>227</v>
      </c>
      <c r="BA585" s="7" t="s">
        <v>227</v>
      </c>
      <c r="BB585" s="7"/>
      <c r="BC585" s="4" t="s">
        <v>227</v>
      </c>
      <c r="BD585" s="8" t="s">
        <v>227</v>
      </c>
      <c r="BE585" s="4" t="s">
        <v>227</v>
      </c>
      <c r="BF585" s="8" t="s">
        <v>227</v>
      </c>
      <c r="BG585" s="7" t="s">
        <v>227</v>
      </c>
      <c r="BH585" s="7" t="s">
        <v>227</v>
      </c>
      <c r="BI585" s="7"/>
      <c r="BJ585" s="4"/>
      <c r="BK585" s="8"/>
      <c r="BL585" s="2" t="s">
        <v>2126</v>
      </c>
      <c r="BM585" s="7"/>
      <c r="BN585" s="7"/>
      <c r="BO585" s="4"/>
      <c r="BP585" s="8"/>
      <c r="BQ585" s="4"/>
      <c r="BR585" s="8"/>
      <c r="BS585" s="7"/>
      <c r="BT585" s="7"/>
      <c r="BU585" s="2" t="s">
        <v>3743</v>
      </c>
      <c r="BV585" s="2" t="s">
        <v>227</v>
      </c>
      <c r="BW585" s="2" t="s">
        <v>227</v>
      </c>
      <c r="BX585" s="2" t="s">
        <v>235</v>
      </c>
      <c r="BY585" s="2" t="s">
        <v>236</v>
      </c>
      <c r="BZ585" s="2" t="s">
        <v>224</v>
      </c>
      <c r="CA585" s="2" t="s">
        <v>3674</v>
      </c>
      <c r="CB585" s="2" t="s">
        <v>227</v>
      </c>
      <c r="CC585" s="2" t="s">
        <v>239</v>
      </c>
      <c r="CD585" s="2" t="s">
        <v>227</v>
      </c>
      <c r="CE585" s="4"/>
      <c r="CF585" s="4"/>
      <c r="CG585" s="4"/>
      <c r="CH585" s="4">
        <v>74</v>
      </c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  <c r="FG585" s="4"/>
      <c r="FH585" s="4"/>
      <c r="FI585" s="4"/>
      <c r="FJ585" s="4"/>
      <c r="FK585" s="4"/>
      <c r="FL585" s="4"/>
      <c r="FM585" s="4"/>
      <c r="FN585" s="4"/>
      <c r="FO585" s="4"/>
      <c r="FP585" s="4"/>
      <c r="FQ585" s="4"/>
      <c r="FR585" s="4"/>
      <c r="FS585" s="4"/>
      <c r="FT585" s="4"/>
      <c r="FU585" s="4"/>
      <c r="FV585" s="4"/>
      <c r="FW585" s="4"/>
      <c r="FX585" s="4"/>
      <c r="FY585" s="4"/>
      <c r="FZ585" s="4"/>
      <c r="GA585" s="4"/>
      <c r="GB585" s="4"/>
      <c r="GC585" s="4"/>
      <c r="GD585" s="4"/>
      <c r="GE585" s="4"/>
      <c r="GF585" s="4"/>
      <c r="GG585" s="4"/>
      <c r="GH585" s="4"/>
      <c r="GI585" s="4"/>
      <c r="GJ585" s="4"/>
      <c r="GK585" s="4"/>
      <c r="GL585" s="4"/>
      <c r="GM585" s="4"/>
      <c r="GN585" s="4"/>
      <c r="GO585" s="4"/>
      <c r="GP585" s="4"/>
      <c r="GQ585" s="4"/>
      <c r="GR585" s="4"/>
      <c r="GS585" s="4"/>
      <c r="GT585" s="4"/>
      <c r="GU585" s="4"/>
      <c r="GV585" s="4"/>
      <c r="GW585" s="4"/>
      <c r="GX585" s="4"/>
    </row>
    <row r="586">
      <c r="A586" s="2" t="s">
        <v>3744</v>
      </c>
      <c r="B586" s="2" t="s">
        <v>3640</v>
      </c>
      <c r="C586" s="2" t="s">
        <v>668</v>
      </c>
      <c r="D586" s="2" t="s">
        <v>3641</v>
      </c>
      <c r="E586" s="2" t="s">
        <v>3642</v>
      </c>
      <c r="F586" s="2" t="s">
        <v>3715</v>
      </c>
      <c r="G586" s="2" t="s">
        <v>3715</v>
      </c>
      <c r="H586" s="2" t="s">
        <v>3715</v>
      </c>
      <c r="I586" s="2" t="s">
        <v>3731</v>
      </c>
      <c r="J586" s="2" t="s">
        <v>3722</v>
      </c>
      <c r="K586" s="2" t="s">
        <v>3742</v>
      </c>
      <c r="L586" s="3">
        <v>20.34</v>
      </c>
      <c r="M586" s="3">
        <v>21.36</v>
      </c>
      <c r="N586" s="3">
        <v>44.99</v>
      </c>
      <c r="O586" s="2" t="s">
        <v>224</v>
      </c>
      <c r="P586" s="2" t="s">
        <v>550</v>
      </c>
      <c r="Q586" s="2" t="s">
        <v>226</v>
      </c>
      <c r="R586" s="2" t="s">
        <v>227</v>
      </c>
      <c r="S586" s="2" t="s">
        <v>227</v>
      </c>
      <c r="T586" s="2" t="s">
        <v>227</v>
      </c>
      <c r="U586" s="2" t="s">
        <v>552</v>
      </c>
      <c r="V586" s="2" t="s">
        <v>566</v>
      </c>
      <c r="W586" s="2" t="s">
        <v>227</v>
      </c>
      <c r="X586" s="2" t="s">
        <v>227</v>
      </c>
      <c r="Y586" s="2" t="s">
        <v>3733</v>
      </c>
      <c r="Z586" s="4">
        <v>287</v>
      </c>
      <c r="AA586" s="4">
        <f>=ROUNDDOWN(70,0)</f>
      </c>
      <c r="AB586" s="5">
        <v>4.1</v>
      </c>
      <c r="AC586" s="2" t="s">
        <v>227</v>
      </c>
      <c r="AD586" s="4"/>
      <c r="AE586" s="4"/>
      <c r="AF586" s="6"/>
      <c r="AG586" s="6">
        <v>73</v>
      </c>
      <c r="AH586" s="7">
        <v>1</v>
      </c>
      <c r="AI586" s="4"/>
      <c r="AJ586" s="4">
        <f>=ROUNDDOWN({0},0)</f>
      </c>
      <c r="AK586" s="5"/>
      <c r="AL586" s="2" t="s">
        <v>227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227</v>
      </c>
      <c r="AW586" s="8" t="s">
        <v>227</v>
      </c>
      <c r="AX586" s="4" t="s">
        <v>227</v>
      </c>
      <c r="AY586" s="8" t="s">
        <v>227</v>
      </c>
      <c r="AZ586" s="7" t="s">
        <v>227</v>
      </c>
      <c r="BA586" s="7" t="s">
        <v>227</v>
      </c>
      <c r="BB586" s="7"/>
      <c r="BC586" s="4" t="s">
        <v>227</v>
      </c>
      <c r="BD586" s="8" t="s">
        <v>227</v>
      </c>
      <c r="BE586" s="4" t="s">
        <v>227</v>
      </c>
      <c r="BF586" s="8" t="s">
        <v>227</v>
      </c>
      <c r="BG586" s="7" t="s">
        <v>227</v>
      </c>
      <c r="BH586" s="7" t="s">
        <v>227</v>
      </c>
      <c r="BI586" s="7"/>
      <c r="BJ586" s="4">
        <v>11</v>
      </c>
      <c r="BK586" s="8">
        <v>276.36</v>
      </c>
      <c r="BL586" s="2" t="s">
        <v>3657</v>
      </c>
      <c r="BM586" s="7"/>
      <c r="BN586" s="7"/>
      <c r="BO586" s="4"/>
      <c r="BP586" s="8"/>
      <c r="BQ586" s="4"/>
      <c r="BR586" s="8"/>
      <c r="BS586" s="7"/>
      <c r="BT586" s="7"/>
      <c r="BU586" s="2" t="s">
        <v>3745</v>
      </c>
      <c r="BV586" s="2" t="s">
        <v>227</v>
      </c>
      <c r="BW586" s="2" t="s">
        <v>227</v>
      </c>
      <c r="BX586" s="2" t="s">
        <v>235</v>
      </c>
      <c r="BY586" s="2" t="s">
        <v>236</v>
      </c>
      <c r="BZ586" s="2" t="s">
        <v>224</v>
      </c>
      <c r="CA586" s="2" t="s">
        <v>3674</v>
      </c>
      <c r="CB586" s="2" t="s">
        <v>1710</v>
      </c>
      <c r="CC586" s="2" t="s">
        <v>239</v>
      </c>
      <c r="CD586" s="2" t="s">
        <v>227</v>
      </c>
      <c r="CE586" s="4"/>
      <c r="CF586" s="4"/>
      <c r="CG586" s="4"/>
      <c r="CH586" s="4">
        <v>287</v>
      </c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/>
      <c r="FH586" s="4"/>
      <c r="FI586" s="4"/>
      <c r="FJ586" s="4"/>
      <c r="FK586" s="4"/>
      <c r="FL586" s="4"/>
      <c r="FM586" s="4"/>
      <c r="FN586" s="4"/>
      <c r="FO586" s="4"/>
      <c r="FP586" s="4"/>
      <c r="FQ586" s="4"/>
      <c r="FR586" s="4"/>
      <c r="FS586" s="4"/>
      <c r="FT586" s="4"/>
      <c r="FU586" s="4"/>
      <c r="FV586" s="4"/>
      <c r="FW586" s="4"/>
      <c r="FX586" s="4"/>
      <c r="FY586" s="4"/>
      <c r="FZ586" s="4"/>
      <c r="GA586" s="4"/>
      <c r="GB586" s="4"/>
      <c r="GC586" s="4"/>
      <c r="GD586" s="4"/>
      <c r="GE586" s="4"/>
      <c r="GF586" s="4"/>
      <c r="GG586" s="4"/>
      <c r="GH586" s="4"/>
      <c r="GI586" s="4"/>
      <c r="GJ586" s="4"/>
      <c r="GK586" s="4"/>
      <c r="GL586" s="4"/>
      <c r="GM586" s="4"/>
      <c r="GN586" s="4"/>
      <c r="GO586" s="4"/>
      <c r="GP586" s="4"/>
      <c r="GQ586" s="4"/>
      <c r="GR586" s="4"/>
      <c r="GS586" s="4"/>
      <c r="GT586" s="4"/>
      <c r="GU586" s="4"/>
      <c r="GV586" s="4"/>
      <c r="GW586" s="4"/>
      <c r="GX586" s="4"/>
    </row>
    <row r="587">
      <c r="A587" s="2" t="s">
        <v>3746</v>
      </c>
      <c r="B587" s="2" t="s">
        <v>3640</v>
      </c>
      <c r="C587" s="2" t="s">
        <v>668</v>
      </c>
      <c r="D587" s="2" t="s">
        <v>3641</v>
      </c>
      <c r="E587" s="2" t="s">
        <v>3642</v>
      </c>
      <c r="F587" s="2" t="s">
        <v>3715</v>
      </c>
      <c r="G587" s="2" t="s">
        <v>3715</v>
      </c>
      <c r="H587" s="2" t="s">
        <v>3715</v>
      </c>
      <c r="I587" s="2" t="s">
        <v>3731</v>
      </c>
      <c r="J587" s="2" t="s">
        <v>3717</v>
      </c>
      <c r="K587" s="2" t="s">
        <v>3747</v>
      </c>
      <c r="L587" s="3">
        <v>20.34</v>
      </c>
      <c r="M587" s="3">
        <v>21.36</v>
      </c>
      <c r="N587" s="3">
        <v>44.99</v>
      </c>
      <c r="O587" s="2" t="s">
        <v>224</v>
      </c>
      <c r="P587" s="2" t="s">
        <v>550</v>
      </c>
      <c r="Q587" s="2" t="s">
        <v>226</v>
      </c>
      <c r="R587" s="2" t="s">
        <v>227</v>
      </c>
      <c r="S587" s="2" t="s">
        <v>227</v>
      </c>
      <c r="T587" s="2" t="s">
        <v>227</v>
      </c>
      <c r="U587" s="2" t="s">
        <v>552</v>
      </c>
      <c r="V587" s="2" t="s">
        <v>566</v>
      </c>
      <c r="W587" s="2" t="s">
        <v>227</v>
      </c>
      <c r="X587" s="2" t="s">
        <v>227</v>
      </c>
      <c r="Y587" s="2" t="s">
        <v>3733</v>
      </c>
      <c r="Z587" s="4">
        <v>166</v>
      </c>
      <c r="AA587" s="4">
        <f>=ROUNDDOWN(138.333333333333,0)</f>
      </c>
      <c r="AB587" s="5">
        <v>1.2</v>
      </c>
      <c r="AC587" s="2" t="s">
        <v>227</v>
      </c>
      <c r="AD587" s="4"/>
      <c r="AE587" s="4"/>
      <c r="AF587" s="6"/>
      <c r="AG587" s="6">
        <v>73</v>
      </c>
      <c r="AH587" s="7">
        <v>1</v>
      </c>
      <c r="AI587" s="4"/>
      <c r="AJ587" s="4">
        <f>=ROUNDDOWN({0},0)</f>
      </c>
      <c r="AK587" s="5"/>
      <c r="AL587" s="2" t="s">
        <v>227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227</v>
      </c>
      <c r="AW587" s="8" t="s">
        <v>227</v>
      </c>
      <c r="AX587" s="4" t="s">
        <v>227</v>
      </c>
      <c r="AY587" s="8" t="s">
        <v>227</v>
      </c>
      <c r="AZ587" s="7" t="s">
        <v>227</v>
      </c>
      <c r="BA587" s="7" t="s">
        <v>227</v>
      </c>
      <c r="BB587" s="7"/>
      <c r="BC587" s="4" t="s">
        <v>227</v>
      </c>
      <c r="BD587" s="8" t="s">
        <v>227</v>
      </c>
      <c r="BE587" s="4" t="s">
        <v>227</v>
      </c>
      <c r="BF587" s="8" t="s">
        <v>227</v>
      </c>
      <c r="BG587" s="7" t="s">
        <v>227</v>
      </c>
      <c r="BH587" s="7" t="s">
        <v>227</v>
      </c>
      <c r="BI587" s="7"/>
      <c r="BJ587" s="4">
        <v>6</v>
      </c>
      <c r="BK587" s="8">
        <v>151.2</v>
      </c>
      <c r="BL587" s="2" t="s">
        <v>2126</v>
      </c>
      <c r="BM587" s="7"/>
      <c r="BN587" s="7"/>
      <c r="BO587" s="4"/>
      <c r="BP587" s="8"/>
      <c r="BQ587" s="4"/>
      <c r="BR587" s="8"/>
      <c r="BS587" s="7"/>
      <c r="BT587" s="7"/>
      <c r="BU587" s="2" t="s">
        <v>3748</v>
      </c>
      <c r="BV587" s="2" t="s">
        <v>227</v>
      </c>
      <c r="BW587" s="2" t="s">
        <v>227</v>
      </c>
      <c r="BX587" s="2" t="s">
        <v>235</v>
      </c>
      <c r="BY587" s="2" t="s">
        <v>236</v>
      </c>
      <c r="BZ587" s="2" t="s">
        <v>224</v>
      </c>
      <c r="CA587" s="2" t="s">
        <v>3674</v>
      </c>
      <c r="CB587" s="2" t="s">
        <v>227</v>
      </c>
      <c r="CC587" s="2" t="s">
        <v>239</v>
      </c>
      <c r="CD587" s="2" t="s">
        <v>227</v>
      </c>
      <c r="CE587" s="4"/>
      <c r="CF587" s="4"/>
      <c r="CG587" s="4"/>
      <c r="CH587" s="4">
        <v>166</v>
      </c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/>
      <c r="FG587" s="4"/>
      <c r="FH587" s="4"/>
      <c r="FI587" s="4"/>
      <c r="FJ587" s="4"/>
      <c r="FK587" s="4"/>
      <c r="FL587" s="4"/>
      <c r="FM587" s="4"/>
      <c r="FN587" s="4"/>
      <c r="FO587" s="4"/>
      <c r="FP587" s="4"/>
      <c r="FQ587" s="4"/>
      <c r="FR587" s="4"/>
      <c r="FS587" s="4"/>
      <c r="FT587" s="4"/>
      <c r="FU587" s="4"/>
      <c r="FV587" s="4"/>
      <c r="FW587" s="4"/>
      <c r="FX587" s="4"/>
      <c r="FY587" s="4"/>
      <c r="FZ587" s="4"/>
      <c r="GA587" s="4"/>
      <c r="GB587" s="4"/>
      <c r="GC587" s="4"/>
      <c r="GD587" s="4"/>
      <c r="GE587" s="4"/>
      <c r="GF587" s="4"/>
      <c r="GG587" s="4"/>
      <c r="GH587" s="4"/>
      <c r="GI587" s="4"/>
      <c r="GJ587" s="4"/>
      <c r="GK587" s="4"/>
      <c r="GL587" s="4"/>
      <c r="GM587" s="4"/>
      <c r="GN587" s="4"/>
      <c r="GO587" s="4"/>
      <c r="GP587" s="4"/>
      <c r="GQ587" s="4"/>
      <c r="GR587" s="4"/>
      <c r="GS587" s="4"/>
      <c r="GT587" s="4"/>
      <c r="GU587" s="4"/>
      <c r="GV587" s="4"/>
      <c r="GW587" s="4"/>
      <c r="GX587" s="4"/>
    </row>
    <row r="588">
      <c r="A588" s="2" t="s">
        <v>3749</v>
      </c>
      <c r="B588" s="2" t="s">
        <v>3640</v>
      </c>
      <c r="C588" s="2" t="s">
        <v>668</v>
      </c>
      <c r="D588" s="2" t="s">
        <v>3641</v>
      </c>
      <c r="E588" s="2" t="s">
        <v>3642</v>
      </c>
      <c r="F588" s="2" t="s">
        <v>3715</v>
      </c>
      <c r="G588" s="2" t="s">
        <v>3715</v>
      </c>
      <c r="H588" s="2" t="s">
        <v>3715</v>
      </c>
      <c r="I588" s="2" t="s">
        <v>3731</v>
      </c>
      <c r="J588" s="2" t="s">
        <v>3722</v>
      </c>
      <c r="K588" s="2" t="s">
        <v>3747</v>
      </c>
      <c r="L588" s="3">
        <v>20.34</v>
      </c>
      <c r="M588" s="3">
        <v>21.36</v>
      </c>
      <c r="N588" s="3">
        <v>44.99</v>
      </c>
      <c r="O588" s="2" t="s">
        <v>224</v>
      </c>
      <c r="P588" s="2" t="s">
        <v>550</v>
      </c>
      <c r="Q588" s="2" t="s">
        <v>226</v>
      </c>
      <c r="R588" s="2" t="s">
        <v>227</v>
      </c>
      <c r="S588" s="2" t="s">
        <v>227</v>
      </c>
      <c r="T588" s="2" t="s">
        <v>227</v>
      </c>
      <c r="U588" s="2" t="s">
        <v>552</v>
      </c>
      <c r="V588" s="2" t="s">
        <v>566</v>
      </c>
      <c r="W588" s="2" t="s">
        <v>227</v>
      </c>
      <c r="X588" s="2" t="s">
        <v>227</v>
      </c>
      <c r="Y588" s="2" t="s">
        <v>3733</v>
      </c>
      <c r="Z588" s="4">
        <v>556</v>
      </c>
      <c r="AA588" s="4">
        <f>=ROUNDDOWN(86.875,0)</f>
      </c>
      <c r="AB588" s="5">
        <v>6.4</v>
      </c>
      <c r="AC588" s="2" t="s">
        <v>227</v>
      </c>
      <c r="AD588" s="4"/>
      <c r="AE588" s="4"/>
      <c r="AF588" s="6"/>
      <c r="AG588" s="6">
        <v>73</v>
      </c>
      <c r="AH588" s="7">
        <v>1</v>
      </c>
      <c r="AI588" s="4"/>
      <c r="AJ588" s="4">
        <f>=ROUNDDOWN({0},0)</f>
      </c>
      <c r="AK588" s="5"/>
      <c r="AL588" s="2" t="s">
        <v>227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 t="s">
        <v>227</v>
      </c>
      <c r="AW588" s="8" t="s">
        <v>227</v>
      </c>
      <c r="AX588" s="4" t="s">
        <v>227</v>
      </c>
      <c r="AY588" s="8" t="s">
        <v>227</v>
      </c>
      <c r="AZ588" s="7" t="s">
        <v>227</v>
      </c>
      <c r="BA588" s="7" t="s">
        <v>227</v>
      </c>
      <c r="BB588" s="7"/>
      <c r="BC588" s="4" t="s">
        <v>227</v>
      </c>
      <c r="BD588" s="8" t="s">
        <v>227</v>
      </c>
      <c r="BE588" s="4" t="s">
        <v>227</v>
      </c>
      <c r="BF588" s="8" t="s">
        <v>227</v>
      </c>
      <c r="BG588" s="7" t="s">
        <v>227</v>
      </c>
      <c r="BH588" s="7" t="s">
        <v>227</v>
      </c>
      <c r="BI588" s="7"/>
      <c r="BJ588" s="4">
        <v>23</v>
      </c>
      <c r="BK588" s="8">
        <v>578.13</v>
      </c>
      <c r="BL588" s="2" t="s">
        <v>3657</v>
      </c>
      <c r="BM588" s="7"/>
      <c r="BN588" s="7"/>
      <c r="BO588" s="4"/>
      <c r="BP588" s="8"/>
      <c r="BQ588" s="4"/>
      <c r="BR588" s="8"/>
      <c r="BS588" s="7"/>
      <c r="BT588" s="7"/>
      <c r="BU588" s="2" t="s">
        <v>3750</v>
      </c>
      <c r="BV588" s="2" t="s">
        <v>227</v>
      </c>
      <c r="BW588" s="2" t="s">
        <v>227</v>
      </c>
      <c r="BX588" s="2" t="s">
        <v>235</v>
      </c>
      <c r="BY588" s="2" t="s">
        <v>236</v>
      </c>
      <c r="BZ588" s="2" t="s">
        <v>224</v>
      </c>
      <c r="CA588" s="2" t="s">
        <v>3674</v>
      </c>
      <c r="CB588" s="2" t="s">
        <v>227</v>
      </c>
      <c r="CC588" s="2" t="s">
        <v>239</v>
      </c>
      <c r="CD588" s="2" t="s">
        <v>227</v>
      </c>
      <c r="CE588" s="4"/>
      <c r="CF588" s="4"/>
      <c r="CG588" s="4"/>
      <c r="CH588" s="4">
        <v>556</v>
      </c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/>
      <c r="FG588" s="4"/>
      <c r="FH588" s="4"/>
      <c r="FI588" s="4"/>
      <c r="FJ588" s="4"/>
      <c r="FK588" s="4"/>
      <c r="FL588" s="4"/>
      <c r="FM588" s="4"/>
      <c r="FN588" s="4"/>
      <c r="FO588" s="4"/>
      <c r="FP588" s="4"/>
      <c r="FQ588" s="4"/>
      <c r="FR588" s="4"/>
      <c r="FS588" s="4"/>
      <c r="FT588" s="4"/>
      <c r="FU588" s="4"/>
      <c r="FV588" s="4"/>
      <c r="FW588" s="4"/>
      <c r="FX588" s="4"/>
      <c r="FY588" s="4"/>
      <c r="FZ588" s="4"/>
      <c r="GA588" s="4"/>
      <c r="GB588" s="4"/>
      <c r="GC588" s="4"/>
      <c r="GD588" s="4"/>
      <c r="GE588" s="4"/>
      <c r="GF588" s="4"/>
      <c r="GG588" s="4"/>
      <c r="GH588" s="4"/>
      <c r="GI588" s="4"/>
      <c r="GJ588" s="4"/>
      <c r="GK588" s="4"/>
      <c r="GL588" s="4"/>
      <c r="GM588" s="4"/>
      <c r="GN588" s="4"/>
      <c r="GO588" s="4"/>
      <c r="GP588" s="4"/>
      <c r="GQ588" s="4"/>
      <c r="GR588" s="4"/>
      <c r="GS588" s="4"/>
      <c r="GT588" s="4"/>
      <c r="GU588" s="4"/>
      <c r="GV588" s="4"/>
      <c r="GW588" s="4"/>
      <c r="GX588" s="4"/>
    </row>
    <row r="589">
      <c r="A589" s="2" t="s">
        <v>3751</v>
      </c>
      <c r="B589" s="2" t="s">
        <v>3640</v>
      </c>
      <c r="C589" s="2" t="s">
        <v>668</v>
      </c>
      <c r="D589" s="2" t="s">
        <v>3641</v>
      </c>
      <c r="E589" s="2" t="s">
        <v>3642</v>
      </c>
      <c r="F589" s="2" t="s">
        <v>3715</v>
      </c>
      <c r="G589" s="2" t="s">
        <v>3715</v>
      </c>
      <c r="H589" s="2" t="s">
        <v>3715</v>
      </c>
      <c r="I589" s="2" t="s">
        <v>3731</v>
      </c>
      <c r="J589" s="2" t="s">
        <v>3727</v>
      </c>
      <c r="K589" s="2" t="s">
        <v>3747</v>
      </c>
      <c r="L589" s="3">
        <v>20.34</v>
      </c>
      <c r="M589" s="3">
        <v>21.36</v>
      </c>
      <c r="N589" s="3">
        <v>44.99</v>
      </c>
      <c r="O589" s="2" t="s">
        <v>224</v>
      </c>
      <c r="P589" s="2" t="s">
        <v>550</v>
      </c>
      <c r="Q589" s="2" t="s">
        <v>226</v>
      </c>
      <c r="R589" s="2" t="s">
        <v>227</v>
      </c>
      <c r="S589" s="2" t="s">
        <v>227</v>
      </c>
      <c r="T589" s="2" t="s">
        <v>227</v>
      </c>
      <c r="U589" s="2" t="s">
        <v>552</v>
      </c>
      <c r="V589" s="2" t="s">
        <v>566</v>
      </c>
      <c r="W589" s="2" t="s">
        <v>227</v>
      </c>
      <c r="X589" s="2" t="s">
        <v>227</v>
      </c>
      <c r="Y589" s="2" t="s">
        <v>3733</v>
      </c>
      <c r="Z589" s="4">
        <v>450</v>
      </c>
      <c r="AA589" s="4">
        <f>=ROUNDDOWN(72.5806451612903,0)</f>
      </c>
      <c r="AB589" s="5">
        <v>6.2</v>
      </c>
      <c r="AC589" s="2" t="s">
        <v>227</v>
      </c>
      <c r="AD589" s="4"/>
      <c r="AE589" s="4"/>
      <c r="AF589" s="6"/>
      <c r="AG589" s="6">
        <v>73</v>
      </c>
      <c r="AH589" s="7">
        <v>1</v>
      </c>
      <c r="AI589" s="4"/>
      <c r="AJ589" s="4">
        <f>=ROUNDDOWN({0},0)</f>
      </c>
      <c r="AK589" s="5"/>
      <c r="AL589" s="2" t="s">
        <v>227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227</v>
      </c>
      <c r="AW589" s="8" t="s">
        <v>227</v>
      </c>
      <c r="AX589" s="4" t="s">
        <v>227</v>
      </c>
      <c r="AY589" s="8" t="s">
        <v>227</v>
      </c>
      <c r="AZ589" s="7" t="s">
        <v>227</v>
      </c>
      <c r="BA589" s="7" t="s">
        <v>227</v>
      </c>
      <c r="BB589" s="7"/>
      <c r="BC589" s="4" t="s">
        <v>227</v>
      </c>
      <c r="BD589" s="8" t="s">
        <v>227</v>
      </c>
      <c r="BE589" s="4" t="s">
        <v>227</v>
      </c>
      <c r="BF589" s="8" t="s">
        <v>227</v>
      </c>
      <c r="BG589" s="7" t="s">
        <v>227</v>
      </c>
      <c r="BH589" s="7" t="s">
        <v>227</v>
      </c>
      <c r="BI589" s="7"/>
      <c r="BJ589" s="4">
        <v>8</v>
      </c>
      <c r="BK589" s="8">
        <v>200.34</v>
      </c>
      <c r="BL589" s="2" t="s">
        <v>3657</v>
      </c>
      <c r="BM589" s="7"/>
      <c r="BN589" s="7"/>
      <c r="BO589" s="4"/>
      <c r="BP589" s="8"/>
      <c r="BQ589" s="4"/>
      <c r="BR589" s="8"/>
      <c r="BS589" s="7"/>
      <c r="BT589" s="7"/>
      <c r="BU589" s="2" t="s">
        <v>3752</v>
      </c>
      <c r="BV589" s="2" t="s">
        <v>227</v>
      </c>
      <c r="BW589" s="2" t="s">
        <v>227</v>
      </c>
      <c r="BX589" s="2" t="s">
        <v>235</v>
      </c>
      <c r="BY589" s="2" t="s">
        <v>236</v>
      </c>
      <c r="BZ589" s="2" t="s">
        <v>224</v>
      </c>
      <c r="CA589" s="2" t="s">
        <v>3674</v>
      </c>
      <c r="CB589" s="2" t="s">
        <v>3737</v>
      </c>
      <c r="CC589" s="2" t="s">
        <v>239</v>
      </c>
      <c r="CD589" s="2" t="s">
        <v>227</v>
      </c>
      <c r="CE589" s="4"/>
      <c r="CF589" s="4"/>
      <c r="CG589" s="4"/>
      <c r="CH589" s="4">
        <v>450</v>
      </c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/>
      <c r="FB589" s="4"/>
      <c r="FC589" s="4"/>
      <c r="FD589" s="4"/>
      <c r="FE589" s="4"/>
      <c r="FF589" s="4"/>
      <c r="FG589" s="4"/>
      <c r="FH589" s="4"/>
      <c r="FI589" s="4"/>
      <c r="FJ589" s="4"/>
      <c r="FK589" s="4"/>
      <c r="FL589" s="4"/>
      <c r="FM589" s="4"/>
      <c r="FN589" s="4"/>
      <c r="FO589" s="4"/>
      <c r="FP589" s="4"/>
      <c r="FQ589" s="4"/>
      <c r="FR589" s="4"/>
      <c r="FS589" s="4"/>
      <c r="FT589" s="4"/>
      <c r="FU589" s="4"/>
      <c r="FV589" s="4"/>
      <c r="FW589" s="4"/>
      <c r="FX589" s="4"/>
      <c r="FY589" s="4"/>
      <c r="FZ589" s="4"/>
      <c r="GA589" s="4"/>
      <c r="GB589" s="4"/>
      <c r="GC589" s="4"/>
      <c r="GD589" s="4"/>
      <c r="GE589" s="4"/>
      <c r="GF589" s="4"/>
      <c r="GG589" s="4"/>
      <c r="GH589" s="4"/>
      <c r="GI589" s="4"/>
      <c r="GJ589" s="4"/>
      <c r="GK589" s="4"/>
      <c r="GL589" s="4"/>
      <c r="GM589" s="4"/>
      <c r="GN589" s="4"/>
      <c r="GO589" s="4"/>
      <c r="GP589" s="4"/>
      <c r="GQ589" s="4"/>
      <c r="GR589" s="4"/>
      <c r="GS589" s="4"/>
      <c r="GT589" s="4"/>
      <c r="GU589" s="4"/>
      <c r="GV589" s="4"/>
      <c r="GW589" s="4"/>
      <c r="GX589" s="4"/>
    </row>
    <row r="590">
      <c r="A590" s="2" t="s">
        <v>3753</v>
      </c>
      <c r="B590" s="2" t="s">
        <v>3640</v>
      </c>
      <c r="C590" s="2" t="s">
        <v>668</v>
      </c>
      <c r="D590" s="2" t="s">
        <v>3641</v>
      </c>
      <c r="E590" s="2" t="s">
        <v>3642</v>
      </c>
      <c r="F590" s="2" t="s">
        <v>3715</v>
      </c>
      <c r="G590" s="2" t="s">
        <v>3715</v>
      </c>
      <c r="H590" s="2" t="s">
        <v>3715</v>
      </c>
      <c r="I590" s="2" t="s">
        <v>3731</v>
      </c>
      <c r="J590" s="2" t="s">
        <v>3717</v>
      </c>
      <c r="K590" s="2" t="s">
        <v>3754</v>
      </c>
      <c r="L590" s="3">
        <v>20.34</v>
      </c>
      <c r="M590" s="3">
        <v>21.36</v>
      </c>
      <c r="N590" s="3">
        <v>44.99</v>
      </c>
      <c r="O590" s="2" t="s">
        <v>224</v>
      </c>
      <c r="P590" s="2" t="s">
        <v>550</v>
      </c>
      <c r="Q590" s="2" t="s">
        <v>226</v>
      </c>
      <c r="R590" s="2" t="s">
        <v>227</v>
      </c>
      <c r="S590" s="2" t="s">
        <v>227</v>
      </c>
      <c r="T590" s="2" t="s">
        <v>227</v>
      </c>
      <c r="U590" s="2" t="s">
        <v>552</v>
      </c>
      <c r="V590" s="2" t="s">
        <v>566</v>
      </c>
      <c r="W590" s="2" t="s">
        <v>227</v>
      </c>
      <c r="X590" s="2" t="s">
        <v>227</v>
      </c>
      <c r="Y590" s="2" t="s">
        <v>3733</v>
      </c>
      <c r="Z590" s="4">
        <v>104</v>
      </c>
      <c r="AA590" s="4">
        <f>=ROUNDDOWN(104,0)</f>
      </c>
      <c r="AB590" s="5">
        <v>1</v>
      </c>
      <c r="AC590" s="2" t="s">
        <v>227</v>
      </c>
      <c r="AD590" s="4"/>
      <c r="AE590" s="4"/>
      <c r="AF590" s="6"/>
      <c r="AG590" s="6">
        <v>73</v>
      </c>
      <c r="AH590" s="7">
        <v>1</v>
      </c>
      <c r="AI590" s="4"/>
      <c r="AJ590" s="4">
        <f>=ROUNDDOWN({0},0)</f>
      </c>
      <c r="AK590" s="5"/>
      <c r="AL590" s="2" t="s">
        <v>227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227</v>
      </c>
      <c r="AW590" s="8" t="s">
        <v>227</v>
      </c>
      <c r="AX590" s="4" t="s">
        <v>227</v>
      </c>
      <c r="AY590" s="8" t="s">
        <v>227</v>
      </c>
      <c r="AZ590" s="7" t="s">
        <v>227</v>
      </c>
      <c r="BA590" s="7" t="s">
        <v>227</v>
      </c>
      <c r="BB590" s="7"/>
      <c r="BC590" s="4" t="s">
        <v>227</v>
      </c>
      <c r="BD590" s="8" t="s">
        <v>227</v>
      </c>
      <c r="BE590" s="4" t="s">
        <v>227</v>
      </c>
      <c r="BF590" s="8" t="s">
        <v>227</v>
      </c>
      <c r="BG590" s="7" t="s">
        <v>227</v>
      </c>
      <c r="BH590" s="7" t="s">
        <v>227</v>
      </c>
      <c r="BI590" s="7"/>
      <c r="BJ590" s="4">
        <v>4</v>
      </c>
      <c r="BK590" s="8">
        <v>100.8</v>
      </c>
      <c r="BL590" s="2" t="s">
        <v>3669</v>
      </c>
      <c r="BM590" s="7"/>
      <c r="BN590" s="7"/>
      <c r="BO590" s="4"/>
      <c r="BP590" s="8"/>
      <c r="BQ590" s="4"/>
      <c r="BR590" s="8"/>
      <c r="BS590" s="7"/>
      <c r="BT590" s="7"/>
      <c r="BU590" s="2" t="s">
        <v>3755</v>
      </c>
      <c r="BV590" s="2" t="s">
        <v>227</v>
      </c>
      <c r="BW590" s="2" t="s">
        <v>227</v>
      </c>
      <c r="BX590" s="2" t="s">
        <v>235</v>
      </c>
      <c r="BY590" s="2" t="s">
        <v>236</v>
      </c>
      <c r="BZ590" s="2" t="s">
        <v>224</v>
      </c>
      <c r="CA590" s="2" t="s">
        <v>3674</v>
      </c>
      <c r="CB590" s="2" t="s">
        <v>227</v>
      </c>
      <c r="CC590" s="2" t="s">
        <v>239</v>
      </c>
      <c r="CD590" s="2" t="s">
        <v>227</v>
      </c>
      <c r="CE590" s="4"/>
      <c r="CF590" s="4"/>
      <c r="CG590" s="4"/>
      <c r="CH590" s="4">
        <v>104</v>
      </c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/>
      <c r="FG590" s="4"/>
      <c r="FH590" s="4"/>
      <c r="FI590" s="4"/>
      <c r="FJ590" s="4"/>
      <c r="FK590" s="4"/>
      <c r="FL590" s="4"/>
      <c r="FM590" s="4"/>
      <c r="FN590" s="4"/>
      <c r="FO590" s="4"/>
      <c r="FP590" s="4"/>
      <c r="FQ590" s="4"/>
      <c r="FR590" s="4"/>
      <c r="FS590" s="4"/>
      <c r="FT590" s="4"/>
      <c r="FU590" s="4"/>
      <c r="FV590" s="4"/>
      <c r="FW590" s="4"/>
      <c r="FX590" s="4"/>
      <c r="FY590" s="4"/>
      <c r="FZ590" s="4"/>
      <c r="GA590" s="4"/>
      <c r="GB590" s="4"/>
      <c r="GC590" s="4"/>
      <c r="GD590" s="4"/>
      <c r="GE590" s="4"/>
      <c r="GF590" s="4"/>
      <c r="GG590" s="4"/>
      <c r="GH590" s="4"/>
      <c r="GI590" s="4"/>
      <c r="GJ590" s="4"/>
      <c r="GK590" s="4"/>
      <c r="GL590" s="4"/>
      <c r="GM590" s="4"/>
      <c r="GN590" s="4"/>
      <c r="GO590" s="4"/>
      <c r="GP590" s="4"/>
      <c r="GQ590" s="4"/>
      <c r="GR590" s="4"/>
      <c r="GS590" s="4"/>
      <c r="GT590" s="4"/>
      <c r="GU590" s="4"/>
      <c r="GV590" s="4"/>
      <c r="GW590" s="4"/>
      <c r="GX590" s="4"/>
    </row>
    <row r="591">
      <c r="A591" s="2" t="s">
        <v>3756</v>
      </c>
      <c r="B591" s="2" t="s">
        <v>3640</v>
      </c>
      <c r="C591" s="2" t="s">
        <v>668</v>
      </c>
      <c r="D591" s="2" t="s">
        <v>3641</v>
      </c>
      <c r="E591" s="2" t="s">
        <v>3642</v>
      </c>
      <c r="F591" s="2" t="s">
        <v>3715</v>
      </c>
      <c r="G591" s="2" t="s">
        <v>3715</v>
      </c>
      <c r="H591" s="2" t="s">
        <v>3715</v>
      </c>
      <c r="I591" s="2" t="s">
        <v>3731</v>
      </c>
      <c r="J591" s="2" t="s">
        <v>3722</v>
      </c>
      <c r="K591" s="2" t="s">
        <v>3754</v>
      </c>
      <c r="L591" s="3">
        <v>20.34</v>
      </c>
      <c r="M591" s="3">
        <v>21.36</v>
      </c>
      <c r="N591" s="3">
        <v>44.99</v>
      </c>
      <c r="O591" s="2" t="s">
        <v>224</v>
      </c>
      <c r="P591" s="2" t="s">
        <v>550</v>
      </c>
      <c r="Q591" s="2" t="s">
        <v>226</v>
      </c>
      <c r="R591" s="2" t="s">
        <v>227</v>
      </c>
      <c r="S591" s="2" t="s">
        <v>227</v>
      </c>
      <c r="T591" s="2" t="s">
        <v>227</v>
      </c>
      <c r="U591" s="2" t="s">
        <v>552</v>
      </c>
      <c r="V591" s="2" t="s">
        <v>566</v>
      </c>
      <c r="W591" s="2" t="s">
        <v>227</v>
      </c>
      <c r="X591" s="2" t="s">
        <v>227</v>
      </c>
      <c r="Y591" s="2" t="s">
        <v>3733</v>
      </c>
      <c r="Z591" s="4">
        <v>337</v>
      </c>
      <c r="AA591" s="4">
        <f>=ROUNDDOWN(67.4,0)</f>
      </c>
      <c r="AB591" s="5">
        <v>5</v>
      </c>
      <c r="AC591" s="2" t="s">
        <v>227</v>
      </c>
      <c r="AD591" s="4"/>
      <c r="AE591" s="4"/>
      <c r="AF591" s="6"/>
      <c r="AG591" s="6">
        <v>73</v>
      </c>
      <c r="AH591" s="7">
        <v>1</v>
      </c>
      <c r="AI591" s="4"/>
      <c r="AJ591" s="4">
        <f>=ROUNDDOWN({0},0)</f>
      </c>
      <c r="AK591" s="5"/>
      <c r="AL591" s="2" t="s">
        <v>227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227</v>
      </c>
      <c r="AW591" s="8" t="s">
        <v>227</v>
      </c>
      <c r="AX591" s="4" t="s">
        <v>227</v>
      </c>
      <c r="AY591" s="8" t="s">
        <v>227</v>
      </c>
      <c r="AZ591" s="7" t="s">
        <v>227</v>
      </c>
      <c r="BA591" s="7" t="s">
        <v>227</v>
      </c>
      <c r="BB591" s="7"/>
      <c r="BC591" s="4" t="s">
        <v>227</v>
      </c>
      <c r="BD591" s="8" t="s">
        <v>227</v>
      </c>
      <c r="BE591" s="4" t="s">
        <v>227</v>
      </c>
      <c r="BF591" s="8" t="s">
        <v>227</v>
      </c>
      <c r="BG591" s="7" t="s">
        <v>227</v>
      </c>
      <c r="BH591" s="7" t="s">
        <v>227</v>
      </c>
      <c r="BI591" s="7"/>
      <c r="BJ591" s="4">
        <v>10</v>
      </c>
      <c r="BK591" s="8">
        <v>251.79</v>
      </c>
      <c r="BL591" s="2" t="s">
        <v>1750</v>
      </c>
      <c r="BM591" s="7"/>
      <c r="BN591" s="7"/>
      <c r="BO591" s="4"/>
      <c r="BP591" s="8"/>
      <c r="BQ591" s="4"/>
      <c r="BR591" s="8"/>
      <c r="BS591" s="7"/>
      <c r="BT591" s="7"/>
      <c r="BU591" s="2" t="s">
        <v>3757</v>
      </c>
      <c r="BV591" s="2" t="s">
        <v>227</v>
      </c>
      <c r="BW591" s="2" t="s">
        <v>227</v>
      </c>
      <c r="BX591" s="2" t="s">
        <v>235</v>
      </c>
      <c r="BY591" s="2" t="s">
        <v>236</v>
      </c>
      <c r="BZ591" s="2" t="s">
        <v>224</v>
      </c>
      <c r="CA591" s="2" t="s">
        <v>3674</v>
      </c>
      <c r="CB591" s="2" t="s">
        <v>3758</v>
      </c>
      <c r="CC591" s="2" t="s">
        <v>239</v>
      </c>
      <c r="CD591" s="2" t="s">
        <v>227</v>
      </c>
      <c r="CE591" s="4"/>
      <c r="CF591" s="4"/>
      <c r="CG591" s="4"/>
      <c r="CH591" s="4">
        <v>337</v>
      </c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  <c r="FG591" s="4"/>
      <c r="FH591" s="4"/>
      <c r="FI591" s="4"/>
      <c r="FJ591" s="4"/>
      <c r="FK591" s="4"/>
      <c r="FL591" s="4"/>
      <c r="FM591" s="4"/>
      <c r="FN591" s="4"/>
      <c r="FO591" s="4"/>
      <c r="FP591" s="4"/>
      <c r="FQ591" s="4"/>
      <c r="FR591" s="4"/>
      <c r="FS591" s="4"/>
      <c r="FT591" s="4"/>
      <c r="FU591" s="4"/>
      <c r="FV591" s="4"/>
      <c r="FW591" s="4"/>
      <c r="FX591" s="4"/>
      <c r="FY591" s="4"/>
      <c r="FZ591" s="4"/>
      <c r="GA591" s="4"/>
      <c r="GB591" s="4"/>
      <c r="GC591" s="4"/>
      <c r="GD591" s="4"/>
      <c r="GE591" s="4"/>
      <c r="GF591" s="4"/>
      <c r="GG591" s="4"/>
      <c r="GH591" s="4"/>
      <c r="GI591" s="4"/>
      <c r="GJ591" s="4"/>
      <c r="GK591" s="4"/>
      <c r="GL591" s="4"/>
      <c r="GM591" s="4"/>
      <c r="GN591" s="4"/>
      <c r="GO591" s="4"/>
      <c r="GP591" s="4"/>
      <c r="GQ591" s="4"/>
      <c r="GR591" s="4"/>
      <c r="GS591" s="4"/>
      <c r="GT591" s="4"/>
      <c r="GU591" s="4"/>
      <c r="GV591" s="4"/>
      <c r="GW591" s="4"/>
      <c r="GX591" s="4"/>
    </row>
    <row r="592">
      <c r="A592" s="2" t="s">
        <v>3759</v>
      </c>
      <c r="B592" s="2" t="s">
        <v>3640</v>
      </c>
      <c r="C592" s="2" t="s">
        <v>668</v>
      </c>
      <c r="D592" s="2" t="s">
        <v>3641</v>
      </c>
      <c r="E592" s="2" t="s">
        <v>3642</v>
      </c>
      <c r="F592" s="2" t="s">
        <v>3715</v>
      </c>
      <c r="G592" s="2" t="s">
        <v>3715</v>
      </c>
      <c r="H592" s="2" t="s">
        <v>3715</v>
      </c>
      <c r="I592" s="2" t="s">
        <v>3731</v>
      </c>
      <c r="J592" s="2" t="s">
        <v>3727</v>
      </c>
      <c r="K592" s="2" t="s">
        <v>3754</v>
      </c>
      <c r="L592" s="3">
        <v>20.34</v>
      </c>
      <c r="M592" s="3">
        <v>21.36</v>
      </c>
      <c r="N592" s="3">
        <v>44.99</v>
      </c>
      <c r="O592" s="2" t="s">
        <v>224</v>
      </c>
      <c r="P592" s="2" t="s">
        <v>550</v>
      </c>
      <c r="Q592" s="2" t="s">
        <v>226</v>
      </c>
      <c r="R592" s="2" t="s">
        <v>227</v>
      </c>
      <c r="S592" s="2" t="s">
        <v>227</v>
      </c>
      <c r="T592" s="2" t="s">
        <v>227</v>
      </c>
      <c r="U592" s="2" t="s">
        <v>552</v>
      </c>
      <c r="V592" s="2" t="s">
        <v>566</v>
      </c>
      <c r="W592" s="2" t="s">
        <v>227</v>
      </c>
      <c r="X592" s="2" t="s">
        <v>227</v>
      </c>
      <c r="Y592" s="2" t="s">
        <v>3733</v>
      </c>
      <c r="Z592" s="4">
        <v>313</v>
      </c>
      <c r="AA592" s="4">
        <f>=ROUNDDOWN(76.3414634146341,0)</f>
      </c>
      <c r="AB592" s="5">
        <v>4.1</v>
      </c>
      <c r="AC592" s="2" t="s">
        <v>227</v>
      </c>
      <c r="AD592" s="4"/>
      <c r="AE592" s="4"/>
      <c r="AF592" s="6"/>
      <c r="AG592" s="6">
        <v>73</v>
      </c>
      <c r="AH592" s="7">
        <v>1</v>
      </c>
      <c r="AI592" s="4"/>
      <c r="AJ592" s="4">
        <f>=ROUNDDOWN({0},0)</f>
      </c>
      <c r="AK592" s="5"/>
      <c r="AL592" s="2" t="s">
        <v>227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227</v>
      </c>
      <c r="AW592" s="8" t="s">
        <v>227</v>
      </c>
      <c r="AX592" s="4" t="s">
        <v>227</v>
      </c>
      <c r="AY592" s="8" t="s">
        <v>227</v>
      </c>
      <c r="AZ592" s="7" t="s">
        <v>227</v>
      </c>
      <c r="BA592" s="7" t="s">
        <v>227</v>
      </c>
      <c r="BB592" s="7"/>
      <c r="BC592" s="4" t="s">
        <v>227</v>
      </c>
      <c r="BD592" s="8" t="s">
        <v>227</v>
      </c>
      <c r="BE592" s="4" t="s">
        <v>227</v>
      </c>
      <c r="BF592" s="8" t="s">
        <v>227</v>
      </c>
      <c r="BG592" s="7" t="s">
        <v>227</v>
      </c>
      <c r="BH592" s="7" t="s">
        <v>227</v>
      </c>
      <c r="BI592" s="7"/>
      <c r="BJ592" s="4">
        <v>6</v>
      </c>
      <c r="BK592" s="8">
        <v>150.15</v>
      </c>
      <c r="BL592" s="2" t="s">
        <v>3657</v>
      </c>
      <c r="BM592" s="7"/>
      <c r="BN592" s="7"/>
      <c r="BO592" s="4"/>
      <c r="BP592" s="8"/>
      <c r="BQ592" s="4"/>
      <c r="BR592" s="8"/>
      <c r="BS592" s="7"/>
      <c r="BT592" s="7"/>
      <c r="BU592" s="2" t="s">
        <v>3760</v>
      </c>
      <c r="BV592" s="2" t="s">
        <v>227</v>
      </c>
      <c r="BW592" s="2" t="s">
        <v>227</v>
      </c>
      <c r="BX592" s="2" t="s">
        <v>235</v>
      </c>
      <c r="BY592" s="2" t="s">
        <v>236</v>
      </c>
      <c r="BZ592" s="2" t="s">
        <v>224</v>
      </c>
      <c r="CA592" s="2" t="s">
        <v>3674</v>
      </c>
      <c r="CB592" s="2" t="s">
        <v>3761</v>
      </c>
      <c r="CC592" s="2" t="s">
        <v>239</v>
      </c>
      <c r="CD592" s="2" t="s">
        <v>227</v>
      </c>
      <c r="CE592" s="4"/>
      <c r="CF592" s="4"/>
      <c r="CG592" s="4"/>
      <c r="CH592" s="4">
        <v>313</v>
      </c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/>
      <c r="FB592" s="4"/>
      <c r="FC592" s="4"/>
      <c r="FD592" s="4"/>
      <c r="FE592" s="4"/>
      <c r="FF592" s="4"/>
      <c r="FG592" s="4"/>
      <c r="FH592" s="4"/>
      <c r="FI592" s="4"/>
      <c r="FJ592" s="4"/>
      <c r="FK592" s="4"/>
      <c r="FL592" s="4"/>
      <c r="FM592" s="4"/>
      <c r="FN592" s="4"/>
      <c r="FO592" s="4"/>
      <c r="FP592" s="4"/>
      <c r="FQ592" s="4"/>
      <c r="FR592" s="4"/>
      <c r="FS592" s="4"/>
      <c r="FT592" s="4"/>
      <c r="FU592" s="4"/>
      <c r="FV592" s="4"/>
      <c r="FW592" s="4"/>
      <c r="FX592" s="4"/>
      <c r="FY592" s="4"/>
      <c r="FZ592" s="4"/>
      <c r="GA592" s="4"/>
      <c r="GB592" s="4"/>
      <c r="GC592" s="4"/>
      <c r="GD592" s="4"/>
      <c r="GE592" s="4"/>
      <c r="GF592" s="4"/>
      <c r="GG592" s="4"/>
      <c r="GH592" s="4"/>
      <c r="GI592" s="4"/>
      <c r="GJ592" s="4"/>
      <c r="GK592" s="4"/>
      <c r="GL592" s="4"/>
      <c r="GM592" s="4"/>
      <c r="GN592" s="4"/>
      <c r="GO592" s="4"/>
      <c r="GP592" s="4"/>
      <c r="GQ592" s="4"/>
      <c r="GR592" s="4"/>
      <c r="GS592" s="4"/>
      <c r="GT592" s="4"/>
      <c r="GU592" s="4"/>
      <c r="GV592" s="4"/>
      <c r="GW592" s="4"/>
      <c r="GX592" s="4"/>
    </row>
    <row r="593">
      <c r="A593" s="2" t="s">
        <v>3762</v>
      </c>
      <c r="B593" s="2" t="s">
        <v>3640</v>
      </c>
      <c r="C593" s="2" t="s">
        <v>668</v>
      </c>
      <c r="D593" s="2" t="s">
        <v>3641</v>
      </c>
      <c r="E593" s="2" t="s">
        <v>3642</v>
      </c>
      <c r="F593" s="2" t="s">
        <v>3715</v>
      </c>
      <c r="G593" s="2" t="s">
        <v>3715</v>
      </c>
      <c r="H593" s="2" t="s">
        <v>3715</v>
      </c>
      <c r="I593" s="2" t="s">
        <v>3731</v>
      </c>
      <c r="J593" s="2" t="s">
        <v>3717</v>
      </c>
      <c r="K593" s="2" t="s">
        <v>3763</v>
      </c>
      <c r="L593" s="3">
        <v>20.34</v>
      </c>
      <c r="M593" s="3">
        <v>21.36</v>
      </c>
      <c r="N593" s="3">
        <v>44.99</v>
      </c>
      <c r="O593" s="2" t="s">
        <v>224</v>
      </c>
      <c r="P593" s="2" t="s">
        <v>550</v>
      </c>
      <c r="Q593" s="2" t="s">
        <v>226</v>
      </c>
      <c r="R593" s="2" t="s">
        <v>227</v>
      </c>
      <c r="S593" s="2" t="s">
        <v>227</v>
      </c>
      <c r="T593" s="2" t="s">
        <v>227</v>
      </c>
      <c r="U593" s="2" t="s">
        <v>552</v>
      </c>
      <c r="V593" s="2" t="s">
        <v>566</v>
      </c>
      <c r="W593" s="2" t="s">
        <v>227</v>
      </c>
      <c r="X593" s="2" t="s">
        <v>227</v>
      </c>
      <c r="Y593" s="2" t="s">
        <v>3733</v>
      </c>
      <c r="Z593" s="4">
        <v>177</v>
      </c>
      <c r="AA593" s="4">
        <f>=ROUNDDOWN(177,0)</f>
      </c>
      <c r="AB593" s="5">
        <v>1</v>
      </c>
      <c r="AC593" s="2" t="s">
        <v>227</v>
      </c>
      <c r="AD593" s="4"/>
      <c r="AE593" s="4"/>
      <c r="AF593" s="6"/>
      <c r="AG593" s="6">
        <v>73</v>
      </c>
      <c r="AH593" s="7">
        <v>1</v>
      </c>
      <c r="AI593" s="4"/>
      <c r="AJ593" s="4">
        <f>=ROUNDDOWN({0},0)</f>
      </c>
      <c r="AK593" s="5"/>
      <c r="AL593" s="2" t="s">
        <v>227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/>
      <c r="AW593" s="8"/>
      <c r="AX593" s="4"/>
      <c r="AY593" s="8"/>
      <c r="AZ593" s="7"/>
      <c r="BA593" s="7"/>
      <c r="BB593" s="7"/>
      <c r="BC593" s="4" t="s">
        <v>227</v>
      </c>
      <c r="BD593" s="8" t="s">
        <v>227</v>
      </c>
      <c r="BE593" s="4" t="s">
        <v>227</v>
      </c>
      <c r="BF593" s="8" t="s">
        <v>227</v>
      </c>
      <c r="BG593" s="7" t="s">
        <v>227</v>
      </c>
      <c r="BH593" s="7" t="s">
        <v>227</v>
      </c>
      <c r="BI593" s="7"/>
      <c r="BJ593" s="4"/>
      <c r="BK593" s="8"/>
      <c r="BL593" s="2" t="s">
        <v>227</v>
      </c>
      <c r="BM593" s="7"/>
      <c r="BN593" s="7"/>
      <c r="BO593" s="4"/>
      <c r="BP593" s="8"/>
      <c r="BQ593" s="4"/>
      <c r="BR593" s="8"/>
      <c r="BS593" s="7"/>
      <c r="BT593" s="7"/>
      <c r="BU593" s="2" t="s">
        <v>3764</v>
      </c>
      <c r="BV593" s="2" t="s">
        <v>227</v>
      </c>
      <c r="BW593" s="2" t="s">
        <v>227</v>
      </c>
      <c r="BX593" s="2" t="s">
        <v>235</v>
      </c>
      <c r="BY593" s="2" t="s">
        <v>236</v>
      </c>
      <c r="BZ593" s="2" t="s">
        <v>224</v>
      </c>
      <c r="CA593" s="2" t="s">
        <v>3674</v>
      </c>
      <c r="CB593" s="2" t="s">
        <v>3765</v>
      </c>
      <c r="CC593" s="2" t="s">
        <v>239</v>
      </c>
      <c r="CD593" s="2" t="s">
        <v>227</v>
      </c>
      <c r="CE593" s="4"/>
      <c r="CF593" s="4"/>
      <c r="CG593" s="4"/>
      <c r="CH593" s="4">
        <v>177</v>
      </c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  <c r="FM593" s="4"/>
      <c r="FN593" s="4"/>
      <c r="FO593" s="4"/>
      <c r="FP593" s="4"/>
      <c r="FQ593" s="4"/>
      <c r="FR593" s="4"/>
      <c r="FS593" s="4"/>
      <c r="FT593" s="4"/>
      <c r="FU593" s="4"/>
      <c r="FV593" s="4"/>
      <c r="FW593" s="4"/>
      <c r="FX593" s="4"/>
      <c r="FY593" s="4"/>
      <c r="FZ593" s="4"/>
      <c r="GA593" s="4"/>
      <c r="GB593" s="4"/>
      <c r="GC593" s="4"/>
      <c r="GD593" s="4"/>
      <c r="GE593" s="4"/>
      <c r="GF593" s="4"/>
      <c r="GG593" s="4"/>
      <c r="GH593" s="4"/>
      <c r="GI593" s="4"/>
      <c r="GJ593" s="4"/>
      <c r="GK593" s="4"/>
      <c r="GL593" s="4"/>
      <c r="GM593" s="4"/>
      <c r="GN593" s="4"/>
      <c r="GO593" s="4"/>
      <c r="GP593" s="4"/>
      <c r="GQ593" s="4"/>
      <c r="GR593" s="4"/>
      <c r="GS593" s="4"/>
      <c r="GT593" s="4"/>
      <c r="GU593" s="4"/>
      <c r="GV593" s="4"/>
      <c r="GW593" s="4"/>
      <c r="GX593" s="4"/>
    </row>
    <row r="594">
      <c r="A594" s="2" t="s">
        <v>3766</v>
      </c>
      <c r="B594" s="2" t="s">
        <v>667</v>
      </c>
      <c r="C594" s="2" t="s">
        <v>668</v>
      </c>
      <c r="D594" s="2" t="s">
        <v>620</v>
      </c>
      <c r="E594" s="2" t="s">
        <v>669</v>
      </c>
      <c r="F594" s="2" t="s">
        <v>3767</v>
      </c>
      <c r="G594" s="2" t="s">
        <v>3767</v>
      </c>
      <c r="H594" s="2" t="s">
        <v>3767</v>
      </c>
      <c r="I594" s="2" t="s">
        <v>3768</v>
      </c>
      <c r="J594" s="2" t="s">
        <v>626</v>
      </c>
      <c r="K594" s="2" t="s">
        <v>3126</v>
      </c>
      <c r="L594" s="3">
        <v>51.3</v>
      </c>
      <c r="M594" s="3">
        <v>53.86</v>
      </c>
      <c r="N594" s="3">
        <v>109.99</v>
      </c>
      <c r="O594" s="2" t="s">
        <v>224</v>
      </c>
      <c r="P594" s="2" t="s">
        <v>225</v>
      </c>
      <c r="Q594" s="2" t="s">
        <v>226</v>
      </c>
      <c r="R594" s="2" t="s">
        <v>227</v>
      </c>
      <c r="S594" s="2" t="s">
        <v>3769</v>
      </c>
      <c r="T594" s="2" t="s">
        <v>286</v>
      </c>
      <c r="U594" s="2" t="s">
        <v>674</v>
      </c>
      <c r="V594" s="2" t="s">
        <v>3278</v>
      </c>
      <c r="W594" s="2" t="s">
        <v>1381</v>
      </c>
      <c r="X594" s="2" t="s">
        <v>3770</v>
      </c>
      <c r="Y594" s="2" t="s">
        <v>3771</v>
      </c>
      <c r="Z594" s="4">
        <v>339</v>
      </c>
      <c r="AA594" s="4">
        <f>=ROUNDDOWN(67.8,0)</f>
      </c>
      <c r="AB594" s="5">
        <v>5</v>
      </c>
      <c r="AC594" s="2" t="s">
        <v>186</v>
      </c>
      <c r="AD594" s="4">
        <v>50</v>
      </c>
      <c r="AE594" s="4">
        <v>50</v>
      </c>
      <c r="AF594" s="6">
        <v>69</v>
      </c>
      <c r="AG594" s="6">
        <v>77</v>
      </c>
      <c r="AH594" s="7">
        <v>1</v>
      </c>
      <c r="AI594" s="4"/>
      <c r="AJ594" s="4">
        <f>=ROUNDDOWN({0},0)</f>
      </c>
      <c r="AK594" s="5"/>
      <c r="AL594" s="2" t="s">
        <v>227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227</v>
      </c>
      <c r="AW594" s="8" t="s">
        <v>227</v>
      </c>
      <c r="AX594" s="4" t="s">
        <v>227</v>
      </c>
      <c r="AY594" s="8" t="s">
        <v>227</v>
      </c>
      <c r="AZ594" s="7" t="s">
        <v>227</v>
      </c>
      <c r="BA594" s="7" t="s">
        <v>227</v>
      </c>
      <c r="BB594" s="7"/>
      <c r="BC594" s="4" t="s">
        <v>227</v>
      </c>
      <c r="BD594" s="8" t="s">
        <v>227</v>
      </c>
      <c r="BE594" s="4" t="s">
        <v>227</v>
      </c>
      <c r="BF594" s="8" t="s">
        <v>227</v>
      </c>
      <c r="BG594" s="7" t="s">
        <v>227</v>
      </c>
      <c r="BH594" s="7" t="s">
        <v>227</v>
      </c>
      <c r="BI594" s="7"/>
      <c r="BJ594" s="4">
        <v>12</v>
      </c>
      <c r="BK594" s="8">
        <v>697.19</v>
      </c>
      <c r="BL594" s="2" t="s">
        <v>3772</v>
      </c>
      <c r="BM594" s="7"/>
      <c r="BN594" s="7"/>
      <c r="BO594" s="4"/>
      <c r="BP594" s="8"/>
      <c r="BQ594" s="4"/>
      <c r="BR594" s="8"/>
      <c r="BS594" s="7"/>
      <c r="BT594" s="7"/>
      <c r="BU594" s="2" t="s">
        <v>3773</v>
      </c>
      <c r="BV594" s="2" t="s">
        <v>227</v>
      </c>
      <c r="BW594" s="2" t="s">
        <v>227</v>
      </c>
      <c r="BX594" s="2" t="s">
        <v>235</v>
      </c>
      <c r="BY594" s="2" t="s">
        <v>236</v>
      </c>
      <c r="BZ594" s="2" t="s">
        <v>224</v>
      </c>
      <c r="CA594" s="2" t="s">
        <v>3771</v>
      </c>
      <c r="CB594" s="2" t="s">
        <v>3774</v>
      </c>
      <c r="CC594" s="2" t="s">
        <v>239</v>
      </c>
      <c r="CD594" s="2" t="s">
        <v>227</v>
      </c>
      <c r="CE594" s="4">
        <v>261</v>
      </c>
      <c r="CF594" s="4"/>
      <c r="CG594" s="4"/>
      <c r="CH594" s="4">
        <v>78</v>
      </c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/>
      <c r="FI594" s="4"/>
      <c r="FJ594" s="4"/>
      <c r="FK594" s="4"/>
      <c r="FL594" s="4"/>
      <c r="FM594" s="4"/>
      <c r="FN594" s="4"/>
      <c r="FO594" s="4"/>
      <c r="FP594" s="4"/>
      <c r="FQ594" s="4"/>
      <c r="FR594" s="4"/>
      <c r="FS594" s="4"/>
      <c r="FT594" s="4"/>
      <c r="FU594" s="4"/>
      <c r="FV594" s="4">
        <v>50</v>
      </c>
      <c r="FW594" s="4"/>
      <c r="FX594" s="4"/>
      <c r="FY594" s="4"/>
      <c r="FZ594" s="4"/>
      <c r="GA594" s="4"/>
      <c r="GB594" s="4"/>
      <c r="GC594" s="4"/>
      <c r="GD594" s="4"/>
      <c r="GE594" s="4"/>
      <c r="GF594" s="4"/>
      <c r="GG594" s="4"/>
      <c r="GH594" s="4"/>
      <c r="GI594" s="4"/>
      <c r="GJ594" s="4"/>
      <c r="GK594" s="4"/>
      <c r="GL594" s="4"/>
      <c r="GM594" s="4"/>
      <c r="GN594" s="4"/>
      <c r="GO594" s="4"/>
      <c r="GP594" s="4"/>
      <c r="GQ594" s="4"/>
      <c r="GR594" s="4"/>
      <c r="GS594" s="4"/>
      <c r="GT594" s="4"/>
      <c r="GU594" s="4"/>
      <c r="GV594" s="4"/>
      <c r="GW594" s="4"/>
      <c r="GX594" s="4"/>
    </row>
    <row r="595">
      <c r="A595" s="2" t="s">
        <v>3775</v>
      </c>
      <c r="B595" s="2" t="s">
        <v>667</v>
      </c>
      <c r="C595" s="2" t="s">
        <v>668</v>
      </c>
      <c r="D595" s="2" t="s">
        <v>620</v>
      </c>
      <c r="E595" s="2" t="s">
        <v>669</v>
      </c>
      <c r="F595" s="2" t="s">
        <v>3767</v>
      </c>
      <c r="G595" s="2" t="s">
        <v>3767</v>
      </c>
      <c r="H595" s="2" t="s">
        <v>3767</v>
      </c>
      <c r="I595" s="2" t="s">
        <v>3768</v>
      </c>
      <c r="J595" s="2" t="s">
        <v>682</v>
      </c>
      <c r="K595" s="2" t="s">
        <v>3126</v>
      </c>
      <c r="L595" s="3">
        <v>65.55</v>
      </c>
      <c r="M595" s="3">
        <v>68.83</v>
      </c>
      <c r="N595" s="3">
        <v>139.99</v>
      </c>
      <c r="O595" s="2" t="s">
        <v>224</v>
      </c>
      <c r="P595" s="2" t="s">
        <v>225</v>
      </c>
      <c r="Q595" s="2" t="s">
        <v>226</v>
      </c>
      <c r="R595" s="2" t="s">
        <v>227</v>
      </c>
      <c r="S595" s="2" t="s">
        <v>3769</v>
      </c>
      <c r="T595" s="2" t="s">
        <v>286</v>
      </c>
      <c r="U595" s="2" t="s">
        <v>674</v>
      </c>
      <c r="V595" s="2" t="s">
        <v>3278</v>
      </c>
      <c r="W595" s="2" t="s">
        <v>1381</v>
      </c>
      <c r="X595" s="2" t="s">
        <v>3770</v>
      </c>
      <c r="Y595" s="2" t="s">
        <v>3776</v>
      </c>
      <c r="Z595" s="4">
        <v>521</v>
      </c>
      <c r="AA595" s="4">
        <f>=ROUNDDOWN(52.1,0)</f>
      </c>
      <c r="AB595" s="5">
        <v>10</v>
      </c>
      <c r="AC595" s="2" t="s">
        <v>186</v>
      </c>
      <c r="AD595" s="4">
        <v>100</v>
      </c>
      <c r="AE595" s="4">
        <v>100</v>
      </c>
      <c r="AF595" s="6">
        <v>69</v>
      </c>
      <c r="AG595" s="6">
        <v>77</v>
      </c>
      <c r="AH595" s="7">
        <v>1</v>
      </c>
      <c r="AI595" s="4"/>
      <c r="AJ595" s="4">
        <f>=ROUNDDOWN({0},0)</f>
      </c>
      <c r="AK595" s="5"/>
      <c r="AL595" s="2" t="s">
        <v>227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227</v>
      </c>
      <c r="AW595" s="8" t="s">
        <v>227</v>
      </c>
      <c r="AX595" s="4" t="s">
        <v>227</v>
      </c>
      <c r="AY595" s="8" t="s">
        <v>227</v>
      </c>
      <c r="AZ595" s="7" t="s">
        <v>227</v>
      </c>
      <c r="BA595" s="7" t="s">
        <v>227</v>
      </c>
      <c r="BB595" s="7"/>
      <c r="BC595" s="4" t="s">
        <v>227</v>
      </c>
      <c r="BD595" s="8" t="s">
        <v>227</v>
      </c>
      <c r="BE595" s="4" t="s">
        <v>227</v>
      </c>
      <c r="BF595" s="8" t="s">
        <v>227</v>
      </c>
      <c r="BG595" s="7" t="s">
        <v>227</v>
      </c>
      <c r="BH595" s="7" t="s">
        <v>227</v>
      </c>
      <c r="BI595" s="7"/>
      <c r="BJ595" s="4">
        <v>20</v>
      </c>
      <c r="BK595" s="8">
        <v>1430.64</v>
      </c>
      <c r="BL595" s="2" t="s">
        <v>3777</v>
      </c>
      <c r="BM595" s="7"/>
      <c r="BN595" s="7"/>
      <c r="BO595" s="4"/>
      <c r="BP595" s="8"/>
      <c r="BQ595" s="4"/>
      <c r="BR595" s="8"/>
      <c r="BS595" s="7"/>
      <c r="BT595" s="7"/>
      <c r="BU595" s="2" t="s">
        <v>3778</v>
      </c>
      <c r="BV595" s="2" t="s">
        <v>227</v>
      </c>
      <c r="BW595" s="2" t="s">
        <v>227</v>
      </c>
      <c r="BX595" s="2" t="s">
        <v>235</v>
      </c>
      <c r="BY595" s="2" t="s">
        <v>236</v>
      </c>
      <c r="BZ595" s="2" t="s">
        <v>224</v>
      </c>
      <c r="CA595" s="2" t="s">
        <v>3776</v>
      </c>
      <c r="CB595" s="2" t="s">
        <v>3779</v>
      </c>
      <c r="CC595" s="2" t="s">
        <v>239</v>
      </c>
      <c r="CD595" s="2" t="s">
        <v>227</v>
      </c>
      <c r="CE595" s="4">
        <v>434</v>
      </c>
      <c r="CF595" s="4"/>
      <c r="CG595" s="4"/>
      <c r="CH595" s="4">
        <v>87</v>
      </c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/>
      <c r="FI595" s="4"/>
      <c r="FJ595" s="4"/>
      <c r="FK595" s="4"/>
      <c r="FL595" s="4"/>
      <c r="FM595" s="4"/>
      <c r="FN595" s="4"/>
      <c r="FO595" s="4"/>
      <c r="FP595" s="4"/>
      <c r="FQ595" s="4"/>
      <c r="FR595" s="4"/>
      <c r="FS595" s="4"/>
      <c r="FT595" s="4"/>
      <c r="FU595" s="4"/>
      <c r="FV595" s="4">
        <v>100</v>
      </c>
      <c r="FW595" s="4"/>
      <c r="FX595" s="4"/>
      <c r="FY595" s="4"/>
      <c r="FZ595" s="4"/>
      <c r="GA595" s="4"/>
      <c r="GB595" s="4"/>
      <c r="GC595" s="4"/>
      <c r="GD595" s="4"/>
      <c r="GE595" s="4"/>
      <c r="GF595" s="4"/>
      <c r="GG595" s="4"/>
      <c r="GH595" s="4"/>
      <c r="GI595" s="4"/>
      <c r="GJ595" s="4"/>
      <c r="GK595" s="4"/>
      <c r="GL595" s="4"/>
      <c r="GM595" s="4"/>
      <c r="GN595" s="4"/>
      <c r="GO595" s="4"/>
      <c r="GP595" s="4"/>
      <c r="GQ595" s="4"/>
      <c r="GR595" s="4"/>
      <c r="GS595" s="4"/>
      <c r="GT595" s="4"/>
      <c r="GU595" s="4"/>
      <c r="GV595" s="4"/>
      <c r="GW595" s="4"/>
      <c r="GX595" s="4"/>
    </row>
    <row r="596">
      <c r="A596" s="2" t="s">
        <v>3780</v>
      </c>
      <c r="B596" s="2" t="s">
        <v>542</v>
      </c>
      <c r="C596" s="2" t="s">
        <v>543</v>
      </c>
      <c r="D596" s="2" t="s">
        <v>1039</v>
      </c>
      <c r="E596" s="2" t="s">
        <v>545</v>
      </c>
      <c r="F596" s="2" t="s">
        <v>3781</v>
      </c>
      <c r="G596" s="2" t="s">
        <v>3781</v>
      </c>
      <c r="H596" s="2" t="s">
        <v>3781</v>
      </c>
      <c r="I596" s="2" t="s">
        <v>3782</v>
      </c>
      <c r="J596" s="2" t="s">
        <v>548</v>
      </c>
      <c r="K596" s="2" t="s">
        <v>223</v>
      </c>
      <c r="L596" s="3">
        <v>40.8</v>
      </c>
      <c r="M596" s="3">
        <v>42.84</v>
      </c>
      <c r="N596" s="3">
        <v>84.99</v>
      </c>
      <c r="O596" s="2" t="s">
        <v>224</v>
      </c>
      <c r="P596" s="2" t="s">
        <v>580</v>
      </c>
      <c r="Q596" s="2" t="s">
        <v>226</v>
      </c>
      <c r="R596" s="2" t="s">
        <v>227</v>
      </c>
      <c r="S596" s="2" t="s">
        <v>3783</v>
      </c>
      <c r="T596" s="2" t="s">
        <v>227</v>
      </c>
      <c r="U596" s="2" t="s">
        <v>552</v>
      </c>
      <c r="V596" s="2" t="s">
        <v>1045</v>
      </c>
      <c r="W596" s="2" t="s">
        <v>836</v>
      </c>
      <c r="X596" s="2" t="s">
        <v>837</v>
      </c>
      <c r="Y596" s="2" t="s">
        <v>1061</v>
      </c>
      <c r="Z596" s="4">
        <v>79</v>
      </c>
      <c r="AA596" s="4">
        <f>=ROUNDDOWN(19.75,0)</f>
      </c>
      <c r="AB596" s="5">
        <v>4</v>
      </c>
      <c r="AC596" s="2" t="s">
        <v>227</v>
      </c>
      <c r="AD596" s="4"/>
      <c r="AE596" s="4"/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227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/>
      <c r="BD596" s="8"/>
      <c r="BE596" s="4"/>
      <c r="BF596" s="8"/>
      <c r="BG596" s="7"/>
      <c r="BH596" s="7"/>
      <c r="BI596" s="7"/>
      <c r="BJ596" s="4">
        <v>19</v>
      </c>
      <c r="BK596" s="8">
        <v>771.2</v>
      </c>
      <c r="BL596" s="2" t="s">
        <v>3784</v>
      </c>
      <c r="BM596" s="7"/>
      <c r="BN596" s="7"/>
      <c r="BO596" s="4"/>
      <c r="BP596" s="8"/>
      <c r="BQ596" s="4"/>
      <c r="BR596" s="8"/>
      <c r="BS596" s="7"/>
      <c r="BT596" s="7"/>
      <c r="BU596" s="2" t="s">
        <v>3785</v>
      </c>
      <c r="BV596" s="2" t="s">
        <v>227</v>
      </c>
      <c r="BW596" s="2" t="s">
        <v>227</v>
      </c>
      <c r="BX596" s="2" t="s">
        <v>235</v>
      </c>
      <c r="BY596" s="2" t="s">
        <v>236</v>
      </c>
      <c r="BZ596" s="2" t="s">
        <v>224</v>
      </c>
      <c r="CA596" s="2" t="s">
        <v>1049</v>
      </c>
      <c r="CB596" s="2" t="s">
        <v>3290</v>
      </c>
      <c r="CC596" s="2" t="s">
        <v>239</v>
      </c>
      <c r="CD596" s="2" t="s">
        <v>227</v>
      </c>
      <c r="CE596" s="4"/>
      <c r="CF596" s="4">
        <v>79</v>
      </c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/>
      <c r="FH596" s="4"/>
      <c r="FI596" s="4"/>
      <c r="FJ596" s="4"/>
      <c r="FK596" s="4"/>
      <c r="FL596" s="4"/>
      <c r="FM596" s="4"/>
      <c r="FN596" s="4"/>
      <c r="FO596" s="4"/>
      <c r="FP596" s="4"/>
      <c r="FQ596" s="4"/>
      <c r="FR596" s="4"/>
      <c r="FS596" s="4"/>
      <c r="FT596" s="4"/>
      <c r="FU596" s="4"/>
      <c r="FV596" s="4"/>
      <c r="FW596" s="4"/>
      <c r="FX596" s="4"/>
      <c r="FY596" s="4"/>
      <c r="FZ596" s="4"/>
      <c r="GA596" s="4"/>
      <c r="GB596" s="4"/>
      <c r="GC596" s="4"/>
      <c r="GD596" s="4"/>
      <c r="GE596" s="4"/>
      <c r="GF596" s="4"/>
      <c r="GG596" s="4"/>
      <c r="GH596" s="4"/>
      <c r="GI596" s="4"/>
      <c r="GJ596" s="4"/>
      <c r="GK596" s="4"/>
      <c r="GL596" s="4"/>
      <c r="GM596" s="4"/>
      <c r="GN596" s="4"/>
      <c r="GO596" s="4"/>
      <c r="GP596" s="4"/>
      <c r="GQ596" s="4"/>
      <c r="GR596" s="4"/>
      <c r="GS596" s="4"/>
      <c r="GT596" s="4"/>
      <c r="GU596" s="4"/>
      <c r="GV596" s="4"/>
      <c r="GW596" s="4"/>
      <c r="GX596" s="4"/>
    </row>
    <row r="597">
      <c r="A597" s="2" t="s">
        <v>3786</v>
      </c>
      <c r="B597" s="2" t="s">
        <v>715</v>
      </c>
      <c r="C597" s="2" t="s">
        <v>360</v>
      </c>
      <c r="D597" s="2" t="s">
        <v>716</v>
      </c>
      <c r="E597" s="2" t="s">
        <v>1078</v>
      </c>
      <c r="F597" s="2" t="s">
        <v>3787</v>
      </c>
      <c r="G597" s="2" t="s">
        <v>3788</v>
      </c>
      <c r="H597" s="2" t="s">
        <v>3789</v>
      </c>
      <c r="I597" s="2" t="s">
        <v>3790</v>
      </c>
      <c r="J597" s="2" t="s">
        <v>722</v>
      </c>
      <c r="K597" s="2" t="s">
        <v>410</v>
      </c>
      <c r="L597" s="3">
        <v>14.1</v>
      </c>
      <c r="M597" s="3">
        <v>14.8</v>
      </c>
      <c r="N597" s="3">
        <v>29.99</v>
      </c>
      <c r="O597" s="2" t="s">
        <v>224</v>
      </c>
      <c r="P597" s="2" t="s">
        <v>225</v>
      </c>
      <c r="Q597" s="2" t="s">
        <v>226</v>
      </c>
      <c r="R597" s="2" t="s">
        <v>227</v>
      </c>
      <c r="S597" s="2" t="s">
        <v>3791</v>
      </c>
      <c r="T597" s="2" t="s">
        <v>227</v>
      </c>
      <c r="U597" s="2" t="s">
        <v>227</v>
      </c>
      <c r="V597" s="2" t="s">
        <v>877</v>
      </c>
      <c r="W597" s="2" t="s">
        <v>581</v>
      </c>
      <c r="X597" s="2" t="s">
        <v>1078</v>
      </c>
      <c r="Y597" s="2" t="s">
        <v>232</v>
      </c>
      <c r="Z597" s="4">
        <v>298</v>
      </c>
      <c r="AA597" s="4">
        <f>=ROUNDDOWN(49.6666666666667,0)</f>
      </c>
      <c r="AB597" s="5">
        <v>6</v>
      </c>
      <c r="AC597" s="2" t="s">
        <v>227</v>
      </c>
      <c r="AD597" s="4"/>
      <c r="AE597" s="4"/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227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/>
      <c r="AW597" s="8"/>
      <c r="AX597" s="4"/>
      <c r="AY597" s="8"/>
      <c r="AZ597" s="7"/>
      <c r="BA597" s="7"/>
      <c r="BB597" s="7"/>
      <c r="BC597" s="4" t="s">
        <v>227</v>
      </c>
      <c r="BD597" s="8" t="s">
        <v>227</v>
      </c>
      <c r="BE597" s="4" t="s">
        <v>227</v>
      </c>
      <c r="BF597" s="8" t="s">
        <v>227</v>
      </c>
      <c r="BG597" s="7" t="s">
        <v>227</v>
      </c>
      <c r="BH597" s="7" t="s">
        <v>227</v>
      </c>
      <c r="BI597" s="7"/>
      <c r="BJ597" s="4">
        <v>24</v>
      </c>
      <c r="BK597" s="8">
        <v>289.56</v>
      </c>
      <c r="BL597" s="2" t="s">
        <v>3792</v>
      </c>
      <c r="BM597" s="7"/>
      <c r="BN597" s="7"/>
      <c r="BO597" s="4"/>
      <c r="BP597" s="8"/>
      <c r="BQ597" s="4"/>
      <c r="BR597" s="8"/>
      <c r="BS597" s="7"/>
      <c r="BT597" s="7"/>
      <c r="BU597" s="2" t="s">
        <v>3793</v>
      </c>
      <c r="BV597" s="2" t="s">
        <v>227</v>
      </c>
      <c r="BW597" s="2" t="s">
        <v>227</v>
      </c>
      <c r="BX597" s="2" t="s">
        <v>235</v>
      </c>
      <c r="BY597" s="2" t="s">
        <v>236</v>
      </c>
      <c r="BZ597" s="2" t="s">
        <v>224</v>
      </c>
      <c r="CA597" s="2" t="s">
        <v>237</v>
      </c>
      <c r="CB597" s="2" t="s">
        <v>439</v>
      </c>
      <c r="CC597" s="2" t="s">
        <v>239</v>
      </c>
      <c r="CD597" s="2" t="s">
        <v>227</v>
      </c>
      <c r="CE597" s="4">
        <v>298</v>
      </c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/>
      <c r="FH597" s="4"/>
      <c r="FI597" s="4"/>
      <c r="FJ597" s="4"/>
      <c r="FK597" s="4"/>
      <c r="FL597" s="4"/>
      <c r="FM597" s="4"/>
      <c r="FN597" s="4"/>
      <c r="FO597" s="4"/>
      <c r="FP597" s="4"/>
      <c r="FQ597" s="4"/>
      <c r="FR597" s="4"/>
      <c r="FS597" s="4"/>
      <c r="FT597" s="4"/>
      <c r="FU597" s="4"/>
      <c r="FV597" s="4"/>
      <c r="FW597" s="4"/>
      <c r="FX597" s="4"/>
      <c r="FY597" s="4"/>
      <c r="FZ597" s="4"/>
      <c r="GA597" s="4"/>
      <c r="GB597" s="4"/>
      <c r="GC597" s="4"/>
      <c r="GD597" s="4"/>
      <c r="GE597" s="4"/>
      <c r="GF597" s="4"/>
      <c r="GG597" s="4"/>
      <c r="GH597" s="4"/>
      <c r="GI597" s="4"/>
      <c r="GJ597" s="4"/>
      <c r="GK597" s="4"/>
      <c r="GL597" s="4"/>
      <c r="GM597" s="4"/>
      <c r="GN597" s="4"/>
      <c r="GO597" s="4"/>
      <c r="GP597" s="4"/>
      <c r="GQ597" s="4"/>
      <c r="GR597" s="4"/>
      <c r="GS597" s="4"/>
      <c r="GT597" s="4"/>
      <c r="GU597" s="4"/>
      <c r="GV597" s="4"/>
      <c r="GW597" s="4"/>
      <c r="GX597" s="4"/>
    </row>
    <row r="598">
      <c r="A598" s="2" t="s">
        <v>3794</v>
      </c>
      <c r="B598" s="2" t="s">
        <v>715</v>
      </c>
      <c r="C598" s="2" t="s">
        <v>360</v>
      </c>
      <c r="D598" s="2" t="s">
        <v>716</v>
      </c>
      <c r="E598" s="2" t="s">
        <v>1078</v>
      </c>
      <c r="F598" s="2" t="s">
        <v>3787</v>
      </c>
      <c r="G598" s="2" t="s">
        <v>3788</v>
      </c>
      <c r="H598" s="2" t="s">
        <v>3789</v>
      </c>
      <c r="I598" s="2" t="s">
        <v>3790</v>
      </c>
      <c r="J598" s="2" t="s">
        <v>808</v>
      </c>
      <c r="K598" s="2" t="s">
        <v>363</v>
      </c>
      <c r="L598" s="3">
        <v>16.45</v>
      </c>
      <c r="M598" s="3">
        <v>17.27</v>
      </c>
      <c r="N598" s="3">
        <v>34.99</v>
      </c>
      <c r="O598" s="2" t="s">
        <v>224</v>
      </c>
      <c r="P598" s="2" t="s">
        <v>225</v>
      </c>
      <c r="Q598" s="2" t="s">
        <v>226</v>
      </c>
      <c r="R598" s="2" t="s">
        <v>227</v>
      </c>
      <c r="S598" s="2" t="s">
        <v>3795</v>
      </c>
      <c r="T598" s="2" t="s">
        <v>227</v>
      </c>
      <c r="U598" s="2" t="s">
        <v>227</v>
      </c>
      <c r="V598" s="2" t="s">
        <v>877</v>
      </c>
      <c r="W598" s="2" t="s">
        <v>581</v>
      </c>
      <c r="X598" s="2" t="s">
        <v>1078</v>
      </c>
      <c r="Y598" s="2" t="s">
        <v>232</v>
      </c>
      <c r="Z598" s="4">
        <v>177</v>
      </c>
      <c r="AA598" s="4">
        <f>=ROUNDDOWN(44.25,0)</f>
      </c>
      <c r="AB598" s="5">
        <v>4</v>
      </c>
      <c r="AC598" s="2" t="s">
        <v>227</v>
      </c>
      <c r="AD598" s="4"/>
      <c r="AE598" s="4"/>
      <c r="AF598" s="6">
        <v>65</v>
      </c>
      <c r="AG598" s="6"/>
      <c r="AH598" s="7">
        <v>1</v>
      </c>
      <c r="AI598" s="4"/>
      <c r="AJ598" s="4">
        <f>=ROUNDDOWN({0},0)</f>
      </c>
      <c r="AK598" s="5"/>
      <c r="AL598" s="2" t="s">
        <v>227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227</v>
      </c>
      <c r="AW598" s="8" t="s">
        <v>227</v>
      </c>
      <c r="AX598" s="4" t="s">
        <v>227</v>
      </c>
      <c r="AY598" s="8" t="s">
        <v>227</v>
      </c>
      <c r="AZ598" s="7" t="s">
        <v>227</v>
      </c>
      <c r="BA598" s="7" t="s">
        <v>227</v>
      </c>
      <c r="BB598" s="7"/>
      <c r="BC598" s="4" t="s">
        <v>227</v>
      </c>
      <c r="BD598" s="8" t="s">
        <v>227</v>
      </c>
      <c r="BE598" s="4" t="s">
        <v>227</v>
      </c>
      <c r="BF598" s="8" t="s">
        <v>227</v>
      </c>
      <c r="BG598" s="7" t="s">
        <v>227</v>
      </c>
      <c r="BH598" s="7" t="s">
        <v>227</v>
      </c>
      <c r="BI598" s="7"/>
      <c r="BJ598" s="4">
        <v>6</v>
      </c>
      <c r="BK598" s="8">
        <v>89.42</v>
      </c>
      <c r="BL598" s="2" t="s">
        <v>3796</v>
      </c>
      <c r="BM598" s="7"/>
      <c r="BN598" s="7"/>
      <c r="BO598" s="4"/>
      <c r="BP598" s="8"/>
      <c r="BQ598" s="4"/>
      <c r="BR598" s="8"/>
      <c r="BS598" s="7"/>
      <c r="BT598" s="7"/>
      <c r="BU598" s="2" t="s">
        <v>3797</v>
      </c>
      <c r="BV598" s="2" t="s">
        <v>227</v>
      </c>
      <c r="BW598" s="2" t="s">
        <v>227</v>
      </c>
      <c r="BX598" s="2" t="s">
        <v>235</v>
      </c>
      <c r="BY598" s="2" t="s">
        <v>236</v>
      </c>
      <c r="BZ598" s="2" t="s">
        <v>224</v>
      </c>
      <c r="CA598" s="2" t="s">
        <v>237</v>
      </c>
      <c r="CB598" s="2" t="s">
        <v>3798</v>
      </c>
      <c r="CC598" s="2" t="s">
        <v>239</v>
      </c>
      <c r="CD598" s="2" t="s">
        <v>227</v>
      </c>
      <c r="CE598" s="4">
        <v>177</v>
      </c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/>
      <c r="FH598" s="4"/>
      <c r="FI598" s="4"/>
      <c r="FJ598" s="4"/>
      <c r="FK598" s="4"/>
      <c r="FL598" s="4"/>
      <c r="FM598" s="4"/>
      <c r="FN598" s="4"/>
      <c r="FO598" s="4"/>
      <c r="FP598" s="4"/>
      <c r="FQ598" s="4"/>
      <c r="FR598" s="4"/>
      <c r="FS598" s="4"/>
      <c r="FT598" s="4"/>
      <c r="FU598" s="4"/>
      <c r="FV598" s="4"/>
      <c r="FW598" s="4"/>
      <c r="FX598" s="4"/>
      <c r="FY598" s="4"/>
      <c r="FZ598" s="4"/>
      <c r="GA598" s="4"/>
      <c r="GB598" s="4"/>
      <c r="GC598" s="4"/>
      <c r="GD598" s="4"/>
      <c r="GE598" s="4"/>
      <c r="GF598" s="4"/>
      <c r="GG598" s="4"/>
      <c r="GH598" s="4"/>
      <c r="GI598" s="4"/>
      <c r="GJ598" s="4"/>
      <c r="GK598" s="4"/>
      <c r="GL598" s="4"/>
      <c r="GM598" s="4"/>
      <c r="GN598" s="4"/>
      <c r="GO598" s="4"/>
      <c r="GP598" s="4"/>
      <c r="GQ598" s="4"/>
      <c r="GR598" s="4"/>
      <c r="GS598" s="4"/>
      <c r="GT598" s="4"/>
      <c r="GU598" s="4"/>
      <c r="GV598" s="4"/>
      <c r="GW598" s="4"/>
      <c r="GX598" s="4"/>
    </row>
    <row r="599">
      <c r="A599" s="2" t="s">
        <v>3799</v>
      </c>
      <c r="B599" s="2" t="s">
        <v>715</v>
      </c>
      <c r="C599" s="2" t="s">
        <v>360</v>
      </c>
      <c r="D599" s="2" t="s">
        <v>815</v>
      </c>
      <c r="E599" s="2" t="s">
        <v>816</v>
      </c>
      <c r="F599" s="2" t="s">
        <v>3787</v>
      </c>
      <c r="G599" s="2" t="s">
        <v>3788</v>
      </c>
      <c r="H599" s="2" t="s">
        <v>3789</v>
      </c>
      <c r="I599" s="2" t="s">
        <v>3800</v>
      </c>
      <c r="J599" s="2" t="s">
        <v>1097</v>
      </c>
      <c r="K599" s="2" t="s">
        <v>363</v>
      </c>
      <c r="L599" s="3">
        <v>12.42</v>
      </c>
      <c r="M599" s="3">
        <v>13.04</v>
      </c>
      <c r="N599" s="3">
        <v>26.99</v>
      </c>
      <c r="O599" s="2" t="s">
        <v>224</v>
      </c>
      <c r="P599" s="2" t="s">
        <v>225</v>
      </c>
      <c r="Q599" s="2" t="s">
        <v>226</v>
      </c>
      <c r="R599" s="2" t="s">
        <v>227</v>
      </c>
      <c r="S599" s="2" t="s">
        <v>3795</v>
      </c>
      <c r="T599" s="2" t="s">
        <v>227</v>
      </c>
      <c r="U599" s="2" t="s">
        <v>227</v>
      </c>
      <c r="V599" s="2" t="s">
        <v>877</v>
      </c>
      <c r="W599" s="2" t="s">
        <v>581</v>
      </c>
      <c r="X599" s="2" t="s">
        <v>227</v>
      </c>
      <c r="Y599" s="2" t="s">
        <v>3801</v>
      </c>
      <c r="Z599" s="4">
        <v>247</v>
      </c>
      <c r="AA599" s="4">
        <f>=ROUNDDOWN(19,0)</f>
      </c>
      <c r="AB599" s="5">
        <v>13</v>
      </c>
      <c r="AC599" s="2" t="s">
        <v>1085</v>
      </c>
      <c r="AD599" s="4">
        <v>216</v>
      </c>
      <c r="AE599" s="4">
        <v>216</v>
      </c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227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227</v>
      </c>
      <c r="AW599" s="8" t="s">
        <v>227</v>
      </c>
      <c r="AX599" s="4" t="s">
        <v>227</v>
      </c>
      <c r="AY599" s="8" t="s">
        <v>227</v>
      </c>
      <c r="AZ599" s="7" t="s">
        <v>227</v>
      </c>
      <c r="BA599" s="7" t="s">
        <v>227</v>
      </c>
      <c r="BB599" s="7"/>
      <c r="BC599" s="4" t="s">
        <v>227</v>
      </c>
      <c r="BD599" s="8" t="s">
        <v>227</v>
      </c>
      <c r="BE599" s="4" t="s">
        <v>227</v>
      </c>
      <c r="BF599" s="8" t="s">
        <v>227</v>
      </c>
      <c r="BG599" s="7" t="s">
        <v>227</v>
      </c>
      <c r="BH599" s="7" t="s">
        <v>227</v>
      </c>
      <c r="BI599" s="7"/>
      <c r="BJ599" s="4">
        <v>3</v>
      </c>
      <c r="BK599" s="8">
        <v>39.81</v>
      </c>
      <c r="BL599" s="2" t="s">
        <v>2008</v>
      </c>
      <c r="BM599" s="7"/>
      <c r="BN599" s="7"/>
      <c r="BO599" s="4"/>
      <c r="BP599" s="8"/>
      <c r="BQ599" s="4"/>
      <c r="BR599" s="8"/>
      <c r="BS599" s="7"/>
      <c r="BT599" s="7"/>
      <c r="BU599" s="2" t="s">
        <v>3802</v>
      </c>
      <c r="BV599" s="2" t="s">
        <v>227</v>
      </c>
      <c r="BW599" s="2" t="s">
        <v>227</v>
      </c>
      <c r="BX599" s="2" t="s">
        <v>235</v>
      </c>
      <c r="BY599" s="2" t="s">
        <v>236</v>
      </c>
      <c r="BZ599" s="2" t="s">
        <v>224</v>
      </c>
      <c r="CA599" s="2" t="s">
        <v>2185</v>
      </c>
      <c r="CB599" s="2" t="s">
        <v>3573</v>
      </c>
      <c r="CC599" s="2" t="s">
        <v>239</v>
      </c>
      <c r="CD599" s="2" t="s">
        <v>227</v>
      </c>
      <c r="CE599" s="4">
        <v>247</v>
      </c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>
        <v>216</v>
      </c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/>
      <c r="FG599" s="4"/>
      <c r="FH599" s="4"/>
      <c r="FI599" s="4"/>
      <c r="FJ599" s="4"/>
      <c r="FK599" s="4"/>
      <c r="FL599" s="4"/>
      <c r="FM599" s="4"/>
      <c r="FN599" s="4"/>
      <c r="FO599" s="4"/>
      <c r="FP599" s="4"/>
      <c r="FQ599" s="4"/>
      <c r="FR599" s="4"/>
      <c r="FS599" s="4"/>
      <c r="FT599" s="4"/>
      <c r="FU599" s="4"/>
      <c r="FV599" s="4"/>
      <c r="FW599" s="4"/>
      <c r="FX599" s="4"/>
      <c r="FY599" s="4"/>
      <c r="FZ599" s="4"/>
      <c r="GA599" s="4"/>
      <c r="GB599" s="4"/>
      <c r="GC599" s="4"/>
      <c r="GD599" s="4"/>
      <c r="GE599" s="4"/>
      <c r="GF599" s="4"/>
      <c r="GG599" s="4"/>
      <c r="GH599" s="4"/>
      <c r="GI599" s="4"/>
      <c r="GJ599" s="4"/>
      <c r="GK599" s="4"/>
      <c r="GL599" s="4"/>
      <c r="GM599" s="4"/>
      <c r="GN599" s="4"/>
      <c r="GO599" s="4"/>
      <c r="GP599" s="4"/>
      <c r="GQ599" s="4"/>
      <c r="GR599" s="4"/>
      <c r="GS599" s="4"/>
      <c r="GT599" s="4"/>
      <c r="GU599" s="4"/>
      <c r="GV599" s="4"/>
      <c r="GW599" s="4"/>
      <c r="GX599" s="4"/>
    </row>
    <row r="600">
      <c r="A600" s="2" t="s">
        <v>3803</v>
      </c>
      <c r="B600" s="2" t="s">
        <v>715</v>
      </c>
      <c r="C600" s="2" t="s">
        <v>360</v>
      </c>
      <c r="D600" s="2" t="s">
        <v>716</v>
      </c>
      <c r="E600" s="2" t="s">
        <v>3401</v>
      </c>
      <c r="F600" s="2" t="s">
        <v>3787</v>
      </c>
      <c r="G600" s="2" t="s">
        <v>3788</v>
      </c>
      <c r="H600" s="2" t="s">
        <v>3789</v>
      </c>
      <c r="I600" s="2" t="s">
        <v>3804</v>
      </c>
      <c r="J600" s="2" t="s">
        <v>3805</v>
      </c>
      <c r="K600" s="2" t="s">
        <v>363</v>
      </c>
      <c r="L600" s="3">
        <v>21.15</v>
      </c>
      <c r="M600" s="3">
        <v>22.21</v>
      </c>
      <c r="N600" s="3">
        <v>44.99</v>
      </c>
      <c r="O600" s="2" t="s">
        <v>224</v>
      </c>
      <c r="P600" s="2" t="s">
        <v>225</v>
      </c>
      <c r="Q600" s="2" t="s">
        <v>226</v>
      </c>
      <c r="R600" s="2" t="s">
        <v>227</v>
      </c>
      <c r="S600" s="2" t="s">
        <v>3795</v>
      </c>
      <c r="T600" s="2" t="s">
        <v>227</v>
      </c>
      <c r="U600" s="2" t="s">
        <v>227</v>
      </c>
      <c r="V600" s="2" t="s">
        <v>877</v>
      </c>
      <c r="W600" s="2" t="s">
        <v>581</v>
      </c>
      <c r="X600" s="2" t="s">
        <v>227</v>
      </c>
      <c r="Y600" s="2" t="s">
        <v>3801</v>
      </c>
      <c r="Z600" s="4">
        <v>58</v>
      </c>
      <c r="AA600" s="4">
        <f>=ROUNDDOWN(8.28571428571428,0)</f>
      </c>
      <c r="AB600" s="5">
        <v>7</v>
      </c>
      <c r="AC600" s="2" t="s">
        <v>1085</v>
      </c>
      <c r="AD600" s="4">
        <v>136</v>
      </c>
      <c r="AE600" s="4">
        <v>136</v>
      </c>
      <c r="AF600" s="6">
        <v>65</v>
      </c>
      <c r="AG600" s="6"/>
      <c r="AH600" s="7">
        <v>1</v>
      </c>
      <c r="AI600" s="4"/>
      <c r="AJ600" s="4">
        <f>=ROUNDDOWN({0},0)</f>
      </c>
      <c r="AK600" s="5"/>
      <c r="AL600" s="2" t="s">
        <v>227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227</v>
      </c>
      <c r="AW600" s="8" t="s">
        <v>227</v>
      </c>
      <c r="AX600" s="4" t="s">
        <v>227</v>
      </c>
      <c r="AY600" s="8" t="s">
        <v>227</v>
      </c>
      <c r="AZ600" s="7" t="s">
        <v>227</v>
      </c>
      <c r="BA600" s="7" t="s">
        <v>227</v>
      </c>
      <c r="BB600" s="7"/>
      <c r="BC600" s="4" t="s">
        <v>227</v>
      </c>
      <c r="BD600" s="8" t="s">
        <v>227</v>
      </c>
      <c r="BE600" s="4" t="s">
        <v>227</v>
      </c>
      <c r="BF600" s="8" t="s">
        <v>227</v>
      </c>
      <c r="BG600" s="7" t="s">
        <v>227</v>
      </c>
      <c r="BH600" s="7" t="s">
        <v>227</v>
      </c>
      <c r="BI600" s="7"/>
      <c r="BJ600" s="4">
        <v>24</v>
      </c>
      <c r="BK600" s="8">
        <v>558.7</v>
      </c>
      <c r="BL600" s="2" t="s">
        <v>3806</v>
      </c>
      <c r="BM600" s="7"/>
      <c r="BN600" s="7"/>
      <c r="BO600" s="4"/>
      <c r="BP600" s="8"/>
      <c r="BQ600" s="4"/>
      <c r="BR600" s="8"/>
      <c r="BS600" s="7"/>
      <c r="BT600" s="7"/>
      <c r="BU600" s="2" t="s">
        <v>3807</v>
      </c>
      <c r="BV600" s="2" t="s">
        <v>227</v>
      </c>
      <c r="BW600" s="2" t="s">
        <v>227</v>
      </c>
      <c r="BX600" s="2" t="s">
        <v>235</v>
      </c>
      <c r="BY600" s="2" t="s">
        <v>236</v>
      </c>
      <c r="BZ600" s="2" t="s">
        <v>224</v>
      </c>
      <c r="CA600" s="2" t="s">
        <v>2185</v>
      </c>
      <c r="CB600" s="2" t="s">
        <v>735</v>
      </c>
      <c r="CC600" s="2" t="s">
        <v>239</v>
      </c>
      <c r="CD600" s="2" t="s">
        <v>227</v>
      </c>
      <c r="CE600" s="4">
        <v>58</v>
      </c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>
        <v>136</v>
      </c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/>
      <c r="FI600" s="4"/>
      <c r="FJ600" s="4"/>
      <c r="FK600" s="4"/>
      <c r="FL600" s="4"/>
      <c r="FM600" s="4"/>
      <c r="FN600" s="4"/>
      <c r="FO600" s="4"/>
      <c r="FP600" s="4"/>
      <c r="FQ600" s="4"/>
      <c r="FR600" s="4"/>
      <c r="FS600" s="4"/>
      <c r="FT600" s="4"/>
      <c r="FU600" s="4"/>
      <c r="FV600" s="4"/>
      <c r="FW600" s="4"/>
      <c r="FX600" s="4"/>
      <c r="FY600" s="4"/>
      <c r="FZ600" s="4"/>
      <c r="GA600" s="4"/>
      <c r="GB600" s="4"/>
      <c r="GC600" s="4"/>
      <c r="GD600" s="4"/>
      <c r="GE600" s="4"/>
      <c r="GF600" s="4"/>
      <c r="GG600" s="4"/>
      <c r="GH600" s="4"/>
      <c r="GI600" s="4"/>
      <c r="GJ600" s="4"/>
      <c r="GK600" s="4"/>
      <c r="GL600" s="4"/>
      <c r="GM600" s="4"/>
      <c r="GN600" s="4"/>
      <c r="GO600" s="4"/>
      <c r="GP600" s="4"/>
      <c r="GQ600" s="4"/>
      <c r="GR600" s="4"/>
      <c r="GS600" s="4"/>
      <c r="GT600" s="4"/>
      <c r="GU600" s="4"/>
      <c r="GV600" s="4"/>
      <c r="GW600" s="4"/>
      <c r="GX600" s="4"/>
    </row>
    <row r="601">
      <c r="A601" s="2" t="s">
        <v>3808</v>
      </c>
      <c r="B601" s="2" t="s">
        <v>715</v>
      </c>
      <c r="C601" s="2" t="s">
        <v>360</v>
      </c>
      <c r="D601" s="2" t="s">
        <v>716</v>
      </c>
      <c r="E601" s="2" t="s">
        <v>1078</v>
      </c>
      <c r="F601" s="2" t="s">
        <v>3787</v>
      </c>
      <c r="G601" s="2" t="s">
        <v>3788</v>
      </c>
      <c r="H601" s="2" t="s">
        <v>3789</v>
      </c>
      <c r="I601" s="2" t="s">
        <v>3790</v>
      </c>
      <c r="J601" s="2" t="s">
        <v>808</v>
      </c>
      <c r="K601" s="2" t="s">
        <v>264</v>
      </c>
      <c r="L601" s="3">
        <v>16.45</v>
      </c>
      <c r="M601" s="3">
        <v>17.27</v>
      </c>
      <c r="N601" s="3">
        <v>34.99</v>
      </c>
      <c r="O601" s="2" t="s">
        <v>224</v>
      </c>
      <c r="P601" s="2" t="s">
        <v>225</v>
      </c>
      <c r="Q601" s="2" t="s">
        <v>226</v>
      </c>
      <c r="R601" s="2" t="s">
        <v>227</v>
      </c>
      <c r="S601" s="2" t="s">
        <v>3809</v>
      </c>
      <c r="T601" s="2" t="s">
        <v>227</v>
      </c>
      <c r="U601" s="2" t="s">
        <v>227</v>
      </c>
      <c r="V601" s="2" t="s">
        <v>877</v>
      </c>
      <c r="W601" s="2" t="s">
        <v>581</v>
      </c>
      <c r="X601" s="2" t="s">
        <v>1078</v>
      </c>
      <c r="Y601" s="2" t="s">
        <v>232</v>
      </c>
      <c r="Z601" s="4">
        <v>97</v>
      </c>
      <c r="AA601" s="4">
        <f>=ROUNDDOWN(19.4,0)</f>
      </c>
      <c r="AB601" s="5">
        <v>5</v>
      </c>
      <c r="AC601" s="2" t="s">
        <v>166</v>
      </c>
      <c r="AD601" s="4">
        <v>52</v>
      </c>
      <c r="AE601" s="4">
        <v>52</v>
      </c>
      <c r="AF601" s="6">
        <v>65</v>
      </c>
      <c r="AG601" s="6"/>
      <c r="AH601" s="7">
        <v>1</v>
      </c>
      <c r="AI601" s="4"/>
      <c r="AJ601" s="4">
        <f>=ROUNDDOWN({0},0)</f>
      </c>
      <c r="AK601" s="5"/>
      <c r="AL601" s="2" t="s">
        <v>227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227</v>
      </c>
      <c r="AW601" s="8" t="s">
        <v>227</v>
      </c>
      <c r="AX601" s="4" t="s">
        <v>227</v>
      </c>
      <c r="AY601" s="8" t="s">
        <v>227</v>
      </c>
      <c r="AZ601" s="7" t="s">
        <v>227</v>
      </c>
      <c r="BA601" s="7" t="s">
        <v>227</v>
      </c>
      <c r="BB601" s="7"/>
      <c r="BC601" s="4" t="s">
        <v>227</v>
      </c>
      <c r="BD601" s="8" t="s">
        <v>227</v>
      </c>
      <c r="BE601" s="4" t="s">
        <v>227</v>
      </c>
      <c r="BF601" s="8" t="s">
        <v>227</v>
      </c>
      <c r="BG601" s="7" t="s">
        <v>227</v>
      </c>
      <c r="BH601" s="7" t="s">
        <v>227</v>
      </c>
      <c r="BI601" s="7"/>
      <c r="BJ601" s="4">
        <v>24</v>
      </c>
      <c r="BK601" s="8">
        <v>412.08</v>
      </c>
      <c r="BL601" s="2" t="s">
        <v>3810</v>
      </c>
      <c r="BM601" s="7"/>
      <c r="BN601" s="7"/>
      <c r="BO601" s="4"/>
      <c r="BP601" s="8"/>
      <c r="BQ601" s="4"/>
      <c r="BR601" s="8"/>
      <c r="BS601" s="7"/>
      <c r="BT601" s="7"/>
      <c r="BU601" s="2" t="s">
        <v>3811</v>
      </c>
      <c r="BV601" s="2" t="s">
        <v>227</v>
      </c>
      <c r="BW601" s="2" t="s">
        <v>227</v>
      </c>
      <c r="BX601" s="2" t="s">
        <v>235</v>
      </c>
      <c r="BY601" s="2" t="s">
        <v>236</v>
      </c>
      <c r="BZ601" s="2" t="s">
        <v>224</v>
      </c>
      <c r="CA601" s="2" t="s">
        <v>237</v>
      </c>
      <c r="CB601" s="2" t="s">
        <v>3812</v>
      </c>
      <c r="CC601" s="2" t="s">
        <v>239</v>
      </c>
      <c r="CD601" s="2" t="s">
        <v>227</v>
      </c>
      <c r="CE601" s="4">
        <v>97</v>
      </c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/>
      <c r="FB601" s="4">
        <v>52</v>
      </c>
      <c r="FC601" s="4"/>
      <c r="FD601" s="4"/>
      <c r="FE601" s="4"/>
      <c r="FF601" s="4"/>
      <c r="FG601" s="4"/>
      <c r="FH601" s="4"/>
      <c r="FI601" s="4"/>
      <c r="FJ601" s="4"/>
      <c r="FK601" s="4"/>
      <c r="FL601" s="4"/>
      <c r="FM601" s="4"/>
      <c r="FN601" s="4"/>
      <c r="FO601" s="4"/>
      <c r="FP601" s="4"/>
      <c r="FQ601" s="4"/>
      <c r="FR601" s="4"/>
      <c r="FS601" s="4"/>
      <c r="FT601" s="4"/>
      <c r="FU601" s="4"/>
      <c r="FV601" s="4"/>
      <c r="FW601" s="4"/>
      <c r="FX601" s="4"/>
      <c r="FY601" s="4"/>
      <c r="FZ601" s="4"/>
      <c r="GA601" s="4"/>
      <c r="GB601" s="4"/>
      <c r="GC601" s="4"/>
      <c r="GD601" s="4"/>
      <c r="GE601" s="4"/>
      <c r="GF601" s="4"/>
      <c r="GG601" s="4"/>
      <c r="GH601" s="4"/>
      <c r="GI601" s="4"/>
      <c r="GJ601" s="4"/>
      <c r="GK601" s="4"/>
      <c r="GL601" s="4"/>
      <c r="GM601" s="4"/>
      <c r="GN601" s="4"/>
      <c r="GO601" s="4"/>
      <c r="GP601" s="4"/>
      <c r="GQ601" s="4"/>
      <c r="GR601" s="4"/>
      <c r="GS601" s="4"/>
      <c r="GT601" s="4"/>
      <c r="GU601" s="4"/>
      <c r="GV601" s="4"/>
      <c r="GW601" s="4"/>
      <c r="GX601" s="4"/>
    </row>
    <row r="602">
      <c r="A602" s="2" t="s">
        <v>3813</v>
      </c>
      <c r="B602" s="2" t="s">
        <v>715</v>
      </c>
      <c r="C602" s="2" t="s">
        <v>360</v>
      </c>
      <c r="D602" s="2" t="s">
        <v>815</v>
      </c>
      <c r="E602" s="2" t="s">
        <v>816</v>
      </c>
      <c r="F602" s="2" t="s">
        <v>3787</v>
      </c>
      <c r="G602" s="2" t="s">
        <v>3788</v>
      </c>
      <c r="H602" s="2" t="s">
        <v>3789</v>
      </c>
      <c r="I602" s="2" t="s">
        <v>3800</v>
      </c>
      <c r="J602" s="2" t="s">
        <v>1097</v>
      </c>
      <c r="K602" s="2" t="s">
        <v>264</v>
      </c>
      <c r="L602" s="3">
        <v>12.42</v>
      </c>
      <c r="M602" s="3">
        <v>13.04</v>
      </c>
      <c r="N602" s="3">
        <v>26.99</v>
      </c>
      <c r="O602" s="2" t="s">
        <v>224</v>
      </c>
      <c r="P602" s="2" t="s">
        <v>225</v>
      </c>
      <c r="Q602" s="2" t="s">
        <v>226</v>
      </c>
      <c r="R602" s="2" t="s">
        <v>227</v>
      </c>
      <c r="S602" s="2" t="s">
        <v>3809</v>
      </c>
      <c r="T602" s="2" t="s">
        <v>227</v>
      </c>
      <c r="U602" s="2" t="s">
        <v>227</v>
      </c>
      <c r="V602" s="2" t="s">
        <v>877</v>
      </c>
      <c r="W602" s="2" t="s">
        <v>581</v>
      </c>
      <c r="X602" s="2" t="s">
        <v>227</v>
      </c>
      <c r="Y602" s="2" t="s">
        <v>3801</v>
      </c>
      <c r="Z602" s="4">
        <v>160</v>
      </c>
      <c r="AA602" s="4">
        <f>=ROUNDDOWN(14.5454545454545,0)</f>
      </c>
      <c r="AB602" s="5">
        <v>11</v>
      </c>
      <c r="AC602" s="2" t="s">
        <v>166</v>
      </c>
      <c r="AD602" s="4">
        <v>224</v>
      </c>
      <c r="AE602" s="4">
        <v>328</v>
      </c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227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227</v>
      </c>
      <c r="AW602" s="8" t="s">
        <v>227</v>
      </c>
      <c r="AX602" s="4" t="s">
        <v>227</v>
      </c>
      <c r="AY602" s="8" t="s">
        <v>227</v>
      </c>
      <c r="AZ602" s="7" t="s">
        <v>227</v>
      </c>
      <c r="BA602" s="7" t="s">
        <v>227</v>
      </c>
      <c r="BB602" s="7"/>
      <c r="BC602" s="4" t="s">
        <v>227</v>
      </c>
      <c r="BD602" s="8" t="s">
        <v>227</v>
      </c>
      <c r="BE602" s="4" t="s">
        <v>227</v>
      </c>
      <c r="BF602" s="8" t="s">
        <v>227</v>
      </c>
      <c r="BG602" s="7" t="s">
        <v>227</v>
      </c>
      <c r="BH602" s="7" t="s">
        <v>227</v>
      </c>
      <c r="BI602" s="7"/>
      <c r="BJ602" s="4">
        <v>17</v>
      </c>
      <c r="BK602" s="8">
        <v>219.6</v>
      </c>
      <c r="BL602" s="2" t="s">
        <v>2088</v>
      </c>
      <c r="BM602" s="7"/>
      <c r="BN602" s="7"/>
      <c r="BO602" s="4"/>
      <c r="BP602" s="8"/>
      <c r="BQ602" s="4"/>
      <c r="BR602" s="8"/>
      <c r="BS602" s="7"/>
      <c r="BT602" s="7"/>
      <c r="BU602" s="2" t="s">
        <v>3814</v>
      </c>
      <c r="BV602" s="2" t="s">
        <v>227</v>
      </c>
      <c r="BW602" s="2" t="s">
        <v>227</v>
      </c>
      <c r="BX602" s="2" t="s">
        <v>235</v>
      </c>
      <c r="BY602" s="2" t="s">
        <v>236</v>
      </c>
      <c r="BZ602" s="2" t="s">
        <v>224</v>
      </c>
      <c r="CA602" s="2" t="s">
        <v>2185</v>
      </c>
      <c r="CB602" s="2" t="s">
        <v>1876</v>
      </c>
      <c r="CC602" s="2" t="s">
        <v>239</v>
      </c>
      <c r="CD602" s="2" t="s">
        <v>227</v>
      </c>
      <c r="CE602" s="4">
        <v>160</v>
      </c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/>
      <c r="FA602" s="4"/>
      <c r="FB602" s="4">
        <v>224</v>
      </c>
      <c r="FC602" s="4"/>
      <c r="FD602" s="4"/>
      <c r="FE602" s="4"/>
      <c r="FF602" s="4"/>
      <c r="FG602" s="4"/>
      <c r="FH602" s="4"/>
      <c r="FI602" s="4"/>
      <c r="FJ602" s="4"/>
      <c r="FK602" s="4"/>
      <c r="FL602" s="4"/>
      <c r="FM602" s="4"/>
      <c r="FN602" s="4"/>
      <c r="FO602" s="4"/>
      <c r="FP602" s="4"/>
      <c r="FQ602" s="4"/>
      <c r="FR602" s="4"/>
      <c r="FS602" s="4"/>
      <c r="FT602" s="4"/>
      <c r="FU602" s="4"/>
      <c r="FV602" s="4"/>
      <c r="FW602" s="4"/>
      <c r="FX602" s="4"/>
      <c r="FY602" s="4"/>
      <c r="FZ602" s="4"/>
      <c r="GA602" s="4"/>
      <c r="GB602" s="4">
        <v>104</v>
      </c>
      <c r="GC602" s="4"/>
      <c r="GD602" s="4"/>
      <c r="GE602" s="4"/>
      <c r="GF602" s="4"/>
      <c r="GG602" s="4"/>
      <c r="GH602" s="4"/>
      <c r="GI602" s="4"/>
      <c r="GJ602" s="4"/>
      <c r="GK602" s="4"/>
      <c r="GL602" s="4"/>
      <c r="GM602" s="4"/>
      <c r="GN602" s="4"/>
      <c r="GO602" s="4"/>
      <c r="GP602" s="4"/>
      <c r="GQ602" s="4"/>
      <c r="GR602" s="4"/>
      <c r="GS602" s="4"/>
      <c r="GT602" s="4"/>
      <c r="GU602" s="4"/>
      <c r="GV602" s="4"/>
      <c r="GW602" s="4"/>
      <c r="GX602" s="4"/>
    </row>
    <row r="603">
      <c r="A603" s="2" t="s">
        <v>3815</v>
      </c>
      <c r="B603" s="2" t="s">
        <v>573</v>
      </c>
      <c r="C603" s="2" t="s">
        <v>668</v>
      </c>
      <c r="D603" s="2" t="s">
        <v>1182</v>
      </c>
      <c r="E603" s="2" t="s">
        <v>1183</v>
      </c>
      <c r="F603" s="2" t="s">
        <v>3816</v>
      </c>
      <c r="G603" s="2" t="s">
        <v>3816</v>
      </c>
      <c r="H603" s="2" t="s">
        <v>3816</v>
      </c>
      <c r="I603" s="2" t="s">
        <v>3817</v>
      </c>
      <c r="J603" s="2" t="s">
        <v>548</v>
      </c>
      <c r="K603" s="2" t="s">
        <v>737</v>
      </c>
      <c r="L603" s="3">
        <v>430</v>
      </c>
      <c r="M603" s="3">
        <v>451.5</v>
      </c>
      <c r="N603" s="3">
        <v>899</v>
      </c>
      <c r="O603" s="2" t="s">
        <v>224</v>
      </c>
      <c r="P603" s="2" t="s">
        <v>580</v>
      </c>
      <c r="Q603" s="2" t="s">
        <v>226</v>
      </c>
      <c r="R603" s="2" t="s">
        <v>227</v>
      </c>
      <c r="S603" s="2" t="s">
        <v>227</v>
      </c>
      <c r="T603" s="2" t="s">
        <v>227</v>
      </c>
      <c r="U603" s="2" t="s">
        <v>552</v>
      </c>
      <c r="V603" s="2" t="s">
        <v>566</v>
      </c>
      <c r="W603" s="2" t="s">
        <v>676</v>
      </c>
      <c r="X603" s="2" t="s">
        <v>836</v>
      </c>
      <c r="Y603" s="2" t="s">
        <v>3818</v>
      </c>
      <c r="Z603" s="4">
        <v>109</v>
      </c>
      <c r="AA603" s="4">
        <f>=ROUNDDOWN(54.5,0)</f>
      </c>
      <c r="AB603" s="5">
        <v>2</v>
      </c>
      <c r="AC603" s="2" t="s">
        <v>227</v>
      </c>
      <c r="AD603" s="4"/>
      <c r="AE603" s="4"/>
      <c r="AF603" s="6">
        <v>74</v>
      </c>
      <c r="AG603" s="6"/>
      <c r="AH603" s="7">
        <v>1</v>
      </c>
      <c r="AI603" s="4"/>
      <c r="AJ603" s="4">
        <f>=ROUNDDOWN({0},0)</f>
      </c>
      <c r="AK603" s="5"/>
      <c r="AL603" s="2" t="s">
        <v>227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/>
      <c r="BD603" s="8"/>
      <c r="BE603" s="4"/>
      <c r="BF603" s="8"/>
      <c r="BG603" s="7"/>
      <c r="BH603" s="7"/>
      <c r="BI603" s="7"/>
      <c r="BJ603" s="4">
        <v>7</v>
      </c>
      <c r="BK603" s="8">
        <v>3229.49</v>
      </c>
      <c r="BL603" s="2" t="s">
        <v>3288</v>
      </c>
      <c r="BM603" s="7"/>
      <c r="BN603" s="7"/>
      <c r="BO603" s="4"/>
      <c r="BP603" s="8"/>
      <c r="BQ603" s="4"/>
      <c r="BR603" s="8"/>
      <c r="BS603" s="7"/>
      <c r="BT603" s="7"/>
      <c r="BU603" s="2" t="s">
        <v>3819</v>
      </c>
      <c r="BV603" s="2" t="s">
        <v>227</v>
      </c>
      <c r="BW603" s="2" t="s">
        <v>227</v>
      </c>
      <c r="BX603" s="2" t="s">
        <v>235</v>
      </c>
      <c r="BY603" s="2" t="s">
        <v>236</v>
      </c>
      <c r="BZ603" s="2" t="s">
        <v>224</v>
      </c>
      <c r="CA603" s="2" t="s">
        <v>1608</v>
      </c>
      <c r="CB603" s="2" t="s">
        <v>3055</v>
      </c>
      <c r="CC603" s="2" t="s">
        <v>239</v>
      </c>
      <c r="CD603" s="2" t="s">
        <v>227</v>
      </c>
      <c r="CE603" s="4"/>
      <c r="CF603" s="4">
        <v>109</v>
      </c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/>
      <c r="FH603" s="4"/>
      <c r="FI603" s="4"/>
      <c r="FJ603" s="4"/>
      <c r="FK603" s="4"/>
      <c r="FL603" s="4"/>
      <c r="FM603" s="4"/>
      <c r="FN603" s="4"/>
      <c r="FO603" s="4"/>
      <c r="FP603" s="4"/>
      <c r="FQ603" s="4"/>
      <c r="FR603" s="4"/>
      <c r="FS603" s="4"/>
      <c r="FT603" s="4"/>
      <c r="FU603" s="4"/>
      <c r="FV603" s="4"/>
      <c r="FW603" s="4"/>
      <c r="FX603" s="4"/>
      <c r="FY603" s="4"/>
      <c r="FZ603" s="4"/>
      <c r="GA603" s="4"/>
      <c r="GB603" s="4"/>
      <c r="GC603" s="4"/>
      <c r="GD603" s="4"/>
      <c r="GE603" s="4"/>
      <c r="GF603" s="4"/>
      <c r="GG603" s="4"/>
      <c r="GH603" s="4"/>
      <c r="GI603" s="4"/>
      <c r="GJ603" s="4"/>
      <c r="GK603" s="4"/>
      <c r="GL603" s="4"/>
      <c r="GM603" s="4"/>
      <c r="GN603" s="4"/>
      <c r="GO603" s="4"/>
      <c r="GP603" s="4"/>
      <c r="GQ603" s="4"/>
      <c r="GR603" s="4"/>
      <c r="GS603" s="4"/>
      <c r="GT603" s="4"/>
      <c r="GU603" s="4"/>
      <c r="GV603" s="4"/>
      <c r="GW603" s="4"/>
      <c r="GX603" s="4"/>
    </row>
    <row r="604">
      <c r="A604" s="2" t="s">
        <v>3820</v>
      </c>
      <c r="B604" s="2" t="s">
        <v>573</v>
      </c>
      <c r="C604" s="2" t="s">
        <v>543</v>
      </c>
      <c r="D604" s="2" t="s">
        <v>832</v>
      </c>
      <c r="E604" s="2" t="s">
        <v>833</v>
      </c>
      <c r="F604" s="2" t="s">
        <v>3821</v>
      </c>
      <c r="G604" s="2" t="s">
        <v>3821</v>
      </c>
      <c r="H604" s="2" t="s">
        <v>3821</v>
      </c>
      <c r="I604" s="2" t="s">
        <v>1415</v>
      </c>
      <c r="J604" s="2" t="s">
        <v>548</v>
      </c>
      <c r="K604" s="2" t="s">
        <v>1067</v>
      </c>
      <c r="L604" s="3">
        <v>175.75</v>
      </c>
      <c r="M604" s="3">
        <v>184.54</v>
      </c>
      <c r="N604" s="3">
        <v>369</v>
      </c>
      <c r="O604" s="2" t="s">
        <v>224</v>
      </c>
      <c r="P604" s="2" t="s">
        <v>580</v>
      </c>
      <c r="Q604" s="2" t="s">
        <v>226</v>
      </c>
      <c r="R604" s="2" t="s">
        <v>227</v>
      </c>
      <c r="S604" s="2" t="s">
        <v>227</v>
      </c>
      <c r="T604" s="2" t="s">
        <v>227</v>
      </c>
      <c r="U604" s="2" t="s">
        <v>552</v>
      </c>
      <c r="V604" s="2" t="s">
        <v>230</v>
      </c>
      <c r="W604" s="2" t="s">
        <v>837</v>
      </c>
      <c r="X604" s="2" t="s">
        <v>487</v>
      </c>
      <c r="Y604" s="2" t="s">
        <v>3822</v>
      </c>
      <c r="Z604" s="4">
        <v>170</v>
      </c>
      <c r="AA604" s="4">
        <f>=ROUNDDOWN(56.6666666666667,0)</f>
      </c>
      <c r="AB604" s="5">
        <v>3</v>
      </c>
      <c r="AC604" s="2" t="s">
        <v>227</v>
      </c>
      <c r="AD604" s="4"/>
      <c r="AE604" s="4"/>
      <c r="AF604" s="6">
        <v>68</v>
      </c>
      <c r="AG604" s="6"/>
      <c r="AH604" s="7">
        <v>1</v>
      </c>
      <c r="AI604" s="4"/>
      <c r="AJ604" s="4">
        <f>=ROUNDDOWN({0},0)</f>
      </c>
      <c r="AK604" s="5"/>
      <c r="AL604" s="2" t="s">
        <v>227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/>
      <c r="BD604" s="8"/>
      <c r="BE604" s="4"/>
      <c r="BF604" s="8"/>
      <c r="BG604" s="7"/>
      <c r="BH604" s="7"/>
      <c r="BI604" s="7"/>
      <c r="BJ604" s="4">
        <v>16</v>
      </c>
      <c r="BK604" s="8">
        <v>2988.34</v>
      </c>
      <c r="BL604" s="2" t="s">
        <v>1977</v>
      </c>
      <c r="BM604" s="7"/>
      <c r="BN604" s="7"/>
      <c r="BO604" s="4"/>
      <c r="BP604" s="8"/>
      <c r="BQ604" s="4"/>
      <c r="BR604" s="8"/>
      <c r="BS604" s="7"/>
      <c r="BT604" s="7"/>
      <c r="BU604" s="2" t="s">
        <v>3823</v>
      </c>
      <c r="BV604" s="2" t="s">
        <v>227</v>
      </c>
      <c r="BW604" s="2" t="s">
        <v>227</v>
      </c>
      <c r="BX604" s="2" t="s">
        <v>235</v>
      </c>
      <c r="BY604" s="2" t="s">
        <v>236</v>
      </c>
      <c r="BZ604" s="2" t="s">
        <v>224</v>
      </c>
      <c r="CA604" s="2" t="s">
        <v>293</v>
      </c>
      <c r="CB604" s="2" t="s">
        <v>1912</v>
      </c>
      <c r="CC604" s="2" t="s">
        <v>239</v>
      </c>
      <c r="CD604" s="2" t="s">
        <v>227</v>
      </c>
      <c r="CE604" s="4"/>
      <c r="CF604" s="4">
        <v>170</v>
      </c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  <c r="FM604" s="4"/>
      <c r="FN604" s="4"/>
      <c r="FO604" s="4"/>
      <c r="FP604" s="4"/>
      <c r="FQ604" s="4"/>
      <c r="FR604" s="4"/>
      <c r="FS604" s="4"/>
      <c r="FT604" s="4"/>
      <c r="FU604" s="4"/>
      <c r="FV604" s="4"/>
      <c r="FW604" s="4"/>
      <c r="FX604" s="4"/>
      <c r="FY604" s="4"/>
      <c r="FZ604" s="4"/>
      <c r="GA604" s="4"/>
      <c r="GB604" s="4"/>
      <c r="GC604" s="4"/>
      <c r="GD604" s="4"/>
      <c r="GE604" s="4"/>
      <c r="GF604" s="4"/>
      <c r="GG604" s="4"/>
      <c r="GH604" s="4"/>
      <c r="GI604" s="4"/>
      <c r="GJ604" s="4"/>
      <c r="GK604" s="4"/>
      <c r="GL604" s="4"/>
      <c r="GM604" s="4"/>
      <c r="GN604" s="4"/>
      <c r="GO604" s="4"/>
      <c r="GP604" s="4"/>
      <c r="GQ604" s="4"/>
      <c r="GR604" s="4"/>
      <c r="GS604" s="4"/>
      <c r="GT604" s="4"/>
      <c r="GU604" s="4"/>
      <c r="GV604" s="4"/>
      <c r="GW604" s="4"/>
      <c r="GX604" s="4"/>
    </row>
    <row r="605">
      <c r="A605" s="2" t="s">
        <v>3824</v>
      </c>
      <c r="B605" s="2" t="s">
        <v>1001</v>
      </c>
      <c r="C605" s="2" t="s">
        <v>668</v>
      </c>
      <c r="D605" s="2" t="s">
        <v>1140</v>
      </c>
      <c r="E605" s="2" t="s">
        <v>1141</v>
      </c>
      <c r="F605" s="2" t="s">
        <v>3825</v>
      </c>
      <c r="G605" s="2" t="s">
        <v>3825</v>
      </c>
      <c r="H605" s="2" t="s">
        <v>3825</v>
      </c>
      <c r="I605" s="2" t="s">
        <v>3826</v>
      </c>
      <c r="J605" s="2" t="s">
        <v>548</v>
      </c>
      <c r="K605" s="2" t="s">
        <v>223</v>
      </c>
      <c r="L605" s="3">
        <v>40.38</v>
      </c>
      <c r="M605" s="3">
        <v>42.4</v>
      </c>
      <c r="N605" s="3">
        <v>89.99</v>
      </c>
      <c r="O605" s="2" t="s">
        <v>224</v>
      </c>
      <c r="P605" s="2" t="s">
        <v>225</v>
      </c>
      <c r="Q605" s="2" t="s">
        <v>226</v>
      </c>
      <c r="R605" s="2" t="s">
        <v>227</v>
      </c>
      <c r="S605" s="2" t="s">
        <v>227</v>
      </c>
      <c r="T605" s="2" t="s">
        <v>227</v>
      </c>
      <c r="U605" s="2" t="s">
        <v>552</v>
      </c>
      <c r="V605" s="2" t="s">
        <v>566</v>
      </c>
      <c r="W605" s="2" t="s">
        <v>836</v>
      </c>
      <c r="X605" s="2" t="s">
        <v>227</v>
      </c>
      <c r="Y605" s="2" t="s">
        <v>1144</v>
      </c>
      <c r="Z605" s="4">
        <v>74</v>
      </c>
      <c r="AA605" s="4">
        <f>=ROUNDDOWN(23.8709677419355,0)</f>
      </c>
      <c r="AB605" s="5">
        <v>3.1</v>
      </c>
      <c r="AC605" s="2" t="s">
        <v>227</v>
      </c>
      <c r="AD605" s="4"/>
      <c r="AE605" s="4"/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227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/>
      <c r="AW605" s="8"/>
      <c r="AX605" s="4"/>
      <c r="AY605" s="8"/>
      <c r="AZ605" s="7"/>
      <c r="BA605" s="7"/>
      <c r="BB605" s="7"/>
      <c r="BC605" s="4"/>
      <c r="BD605" s="8"/>
      <c r="BE605" s="4"/>
      <c r="BF605" s="8"/>
      <c r="BG605" s="7"/>
      <c r="BH605" s="7"/>
      <c r="BI605" s="7"/>
      <c r="BJ605" s="4">
        <v>7</v>
      </c>
      <c r="BK605" s="8">
        <v>320.29</v>
      </c>
      <c r="BL605" s="2" t="s">
        <v>3827</v>
      </c>
      <c r="BM605" s="7"/>
      <c r="BN605" s="7"/>
      <c r="BO605" s="4"/>
      <c r="BP605" s="8"/>
      <c r="BQ605" s="4"/>
      <c r="BR605" s="8"/>
      <c r="BS605" s="7"/>
      <c r="BT605" s="7"/>
      <c r="BU605" s="2" t="s">
        <v>3828</v>
      </c>
      <c r="BV605" s="2" t="s">
        <v>227</v>
      </c>
      <c r="BW605" s="2" t="s">
        <v>227</v>
      </c>
      <c r="BX605" s="2" t="s">
        <v>235</v>
      </c>
      <c r="BY605" s="2" t="s">
        <v>236</v>
      </c>
      <c r="BZ605" s="2" t="s">
        <v>224</v>
      </c>
      <c r="CA605" s="2" t="s">
        <v>3829</v>
      </c>
      <c r="CB605" s="2" t="s">
        <v>3830</v>
      </c>
      <c r="CC605" s="2" t="s">
        <v>239</v>
      </c>
      <c r="CD605" s="2" t="s">
        <v>227</v>
      </c>
      <c r="CE605" s="4"/>
      <c r="CF605" s="4">
        <v>74</v>
      </c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  <c r="FG605" s="4"/>
      <c r="FH605" s="4"/>
      <c r="FI605" s="4"/>
      <c r="FJ605" s="4"/>
      <c r="FK605" s="4"/>
      <c r="FL605" s="4"/>
      <c r="FM605" s="4"/>
      <c r="FN605" s="4"/>
      <c r="FO605" s="4"/>
      <c r="FP605" s="4"/>
      <c r="FQ605" s="4"/>
      <c r="FR605" s="4"/>
      <c r="FS605" s="4"/>
      <c r="FT605" s="4"/>
      <c r="FU605" s="4"/>
      <c r="FV605" s="4"/>
      <c r="FW605" s="4"/>
      <c r="FX605" s="4"/>
      <c r="FY605" s="4"/>
      <c r="FZ605" s="4"/>
      <c r="GA605" s="4"/>
      <c r="GB605" s="4"/>
      <c r="GC605" s="4"/>
      <c r="GD605" s="4"/>
      <c r="GE605" s="4"/>
      <c r="GF605" s="4"/>
      <c r="GG605" s="4"/>
      <c r="GH605" s="4"/>
      <c r="GI605" s="4"/>
      <c r="GJ605" s="4"/>
      <c r="GK605" s="4"/>
      <c r="GL605" s="4"/>
      <c r="GM605" s="4"/>
      <c r="GN605" s="4"/>
      <c r="GO605" s="4"/>
      <c r="GP605" s="4"/>
      <c r="GQ605" s="4"/>
      <c r="GR605" s="4"/>
      <c r="GS605" s="4"/>
      <c r="GT605" s="4"/>
      <c r="GU605" s="4"/>
      <c r="GV605" s="4"/>
      <c r="GW605" s="4"/>
      <c r="GX605" s="4"/>
    </row>
    <row r="606">
      <c r="A606" s="2" t="s">
        <v>3831</v>
      </c>
      <c r="B606" s="2" t="s">
        <v>573</v>
      </c>
      <c r="C606" s="2" t="s">
        <v>668</v>
      </c>
      <c r="D606" s="2" t="s">
        <v>3832</v>
      </c>
      <c r="E606" s="2" t="s">
        <v>3833</v>
      </c>
      <c r="F606" s="2" t="s">
        <v>3834</v>
      </c>
      <c r="G606" s="2" t="s">
        <v>3834</v>
      </c>
      <c r="H606" s="2" t="s">
        <v>3834</v>
      </c>
      <c r="I606" s="2" t="s">
        <v>3835</v>
      </c>
      <c r="J606" s="2" t="s">
        <v>548</v>
      </c>
      <c r="K606" s="2" t="s">
        <v>3836</v>
      </c>
      <c r="L606" s="3">
        <v>135.85</v>
      </c>
      <c r="M606" s="3">
        <v>142.64</v>
      </c>
      <c r="N606" s="3">
        <v>289</v>
      </c>
      <c r="O606" s="2" t="s">
        <v>224</v>
      </c>
      <c r="P606" s="2" t="s">
        <v>225</v>
      </c>
      <c r="Q606" s="2" t="s">
        <v>226</v>
      </c>
      <c r="R606" s="2" t="s">
        <v>227</v>
      </c>
      <c r="S606" s="2" t="s">
        <v>227</v>
      </c>
      <c r="T606" s="2" t="s">
        <v>227</v>
      </c>
      <c r="U606" s="2" t="s">
        <v>227</v>
      </c>
      <c r="V606" s="2" t="s">
        <v>230</v>
      </c>
      <c r="W606" s="2" t="s">
        <v>676</v>
      </c>
      <c r="X606" s="2" t="s">
        <v>227</v>
      </c>
      <c r="Y606" s="2" t="s">
        <v>3837</v>
      </c>
      <c r="Z606" s="4">
        <v>130</v>
      </c>
      <c r="AA606" s="4">
        <f>=ROUNDDOWN(48.1481481481481,0)</f>
      </c>
      <c r="AB606" s="5">
        <v>2.7</v>
      </c>
      <c r="AC606" s="2" t="s">
        <v>938</v>
      </c>
      <c r="AD606" s="4">
        <v>100</v>
      </c>
      <c r="AE606" s="4">
        <v>100</v>
      </c>
      <c r="AF606" s="6">
        <v>74</v>
      </c>
      <c r="AG606" s="6">
        <v>60</v>
      </c>
      <c r="AH606" s="7">
        <v>1</v>
      </c>
      <c r="AI606" s="4"/>
      <c r="AJ606" s="4">
        <f>=ROUNDDOWN({0},0)</f>
      </c>
      <c r="AK606" s="5"/>
      <c r="AL606" s="2" t="s">
        <v>227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/>
      <c r="AW606" s="8"/>
      <c r="AX606" s="4"/>
      <c r="AY606" s="8"/>
      <c r="AZ606" s="7"/>
      <c r="BA606" s="7"/>
      <c r="BB606" s="7"/>
      <c r="BC606" s="4"/>
      <c r="BD606" s="8"/>
      <c r="BE606" s="4"/>
      <c r="BF606" s="8"/>
      <c r="BG606" s="7"/>
      <c r="BH606" s="7"/>
      <c r="BI606" s="7"/>
      <c r="BJ606" s="4">
        <v>11</v>
      </c>
      <c r="BK606" s="8">
        <v>1637.64</v>
      </c>
      <c r="BL606" s="2" t="s">
        <v>3838</v>
      </c>
      <c r="BM606" s="7"/>
      <c r="BN606" s="7"/>
      <c r="BO606" s="4"/>
      <c r="BP606" s="8"/>
      <c r="BQ606" s="4"/>
      <c r="BR606" s="8"/>
      <c r="BS606" s="7"/>
      <c r="BT606" s="7"/>
      <c r="BU606" s="2" t="s">
        <v>3839</v>
      </c>
      <c r="BV606" s="2" t="s">
        <v>227</v>
      </c>
      <c r="BW606" s="2" t="s">
        <v>227</v>
      </c>
      <c r="BX606" s="2" t="s">
        <v>235</v>
      </c>
      <c r="BY606" s="2" t="s">
        <v>236</v>
      </c>
      <c r="BZ606" s="2" t="s">
        <v>224</v>
      </c>
      <c r="CA606" s="2" t="s">
        <v>3840</v>
      </c>
      <c r="CB606" s="2" t="s">
        <v>2746</v>
      </c>
      <c r="CC606" s="2" t="s">
        <v>239</v>
      </c>
      <c r="CD606" s="2" t="s">
        <v>227</v>
      </c>
      <c r="CE606" s="4"/>
      <c r="CF606" s="4">
        <v>118</v>
      </c>
      <c r="CG606" s="4"/>
      <c r="CH606" s="4">
        <v>12</v>
      </c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/>
      <c r="FH606" s="4"/>
      <c r="FI606" s="4"/>
      <c r="FJ606" s="4"/>
      <c r="FK606" s="4"/>
      <c r="FL606" s="4"/>
      <c r="FM606" s="4"/>
      <c r="FN606" s="4"/>
      <c r="FO606" s="4"/>
      <c r="FP606" s="4"/>
      <c r="FQ606" s="4"/>
      <c r="FR606" s="4"/>
      <c r="FS606" s="4"/>
      <c r="FT606" s="4"/>
      <c r="FU606" s="4"/>
      <c r="FV606" s="4"/>
      <c r="FW606" s="4"/>
      <c r="FX606" s="4"/>
      <c r="FY606" s="4"/>
      <c r="FZ606" s="4"/>
      <c r="GA606" s="4"/>
      <c r="GB606" s="4"/>
      <c r="GC606" s="4"/>
      <c r="GD606" s="4"/>
      <c r="GE606" s="4"/>
      <c r="GF606" s="4"/>
      <c r="GG606" s="4"/>
      <c r="GH606" s="4"/>
      <c r="GI606" s="4">
        <v>100</v>
      </c>
      <c r="GJ606" s="4"/>
      <c r="GK606" s="4"/>
      <c r="GL606" s="4"/>
      <c r="GM606" s="4"/>
      <c r="GN606" s="4"/>
      <c r="GO606" s="4"/>
      <c r="GP606" s="4"/>
      <c r="GQ606" s="4"/>
      <c r="GR606" s="4"/>
      <c r="GS606" s="4"/>
      <c r="GT606" s="4"/>
      <c r="GU606" s="4"/>
      <c r="GV606" s="4"/>
      <c r="GW606" s="4"/>
      <c r="GX606" s="4"/>
    </row>
    <row r="607">
      <c r="A607" s="2" t="s">
        <v>3841</v>
      </c>
      <c r="B607" s="2" t="s">
        <v>573</v>
      </c>
      <c r="C607" s="2" t="s">
        <v>360</v>
      </c>
      <c r="D607" s="2" t="s">
        <v>1515</v>
      </c>
      <c r="E607" s="2" t="s">
        <v>1516</v>
      </c>
      <c r="F607" s="2" t="s">
        <v>3842</v>
      </c>
      <c r="G607" s="2" t="s">
        <v>3843</v>
      </c>
      <c r="H607" s="2" t="s">
        <v>3844</v>
      </c>
      <c r="I607" s="2" t="s">
        <v>3845</v>
      </c>
      <c r="J607" s="2" t="s">
        <v>548</v>
      </c>
      <c r="K607" s="2" t="s">
        <v>1509</v>
      </c>
      <c r="L607" s="3">
        <v>165</v>
      </c>
      <c r="M607" s="3">
        <v>173.25</v>
      </c>
      <c r="N607" s="3">
        <v>349</v>
      </c>
      <c r="O607" s="2" t="s">
        <v>224</v>
      </c>
      <c r="P607" s="2" t="s">
        <v>225</v>
      </c>
      <c r="Q607" s="2" t="s">
        <v>226</v>
      </c>
      <c r="R607" s="2" t="s">
        <v>227</v>
      </c>
      <c r="S607" s="2" t="s">
        <v>227</v>
      </c>
      <c r="T607" s="2" t="s">
        <v>227</v>
      </c>
      <c r="U607" s="2" t="s">
        <v>552</v>
      </c>
      <c r="V607" s="2" t="s">
        <v>230</v>
      </c>
      <c r="W607" s="2" t="s">
        <v>581</v>
      </c>
      <c r="X607" s="2" t="s">
        <v>836</v>
      </c>
      <c r="Y607" s="2" t="s">
        <v>3846</v>
      </c>
      <c r="Z607" s="4">
        <v>150</v>
      </c>
      <c r="AA607" s="4">
        <f>=ROUNDDOWN(12.5,0)</f>
      </c>
      <c r="AB607" s="5">
        <v>12</v>
      </c>
      <c r="AC607" s="2" t="s">
        <v>1690</v>
      </c>
      <c r="AD607" s="4">
        <v>120</v>
      </c>
      <c r="AE607" s="4">
        <v>285</v>
      </c>
      <c r="AF607" s="6">
        <v>67</v>
      </c>
      <c r="AG607" s="6">
        <v>50</v>
      </c>
      <c r="AH607" s="7">
        <v>1</v>
      </c>
      <c r="AI607" s="4"/>
      <c r="AJ607" s="4">
        <f>=ROUNDDOWN({0},0)</f>
      </c>
      <c r="AK607" s="5"/>
      <c r="AL607" s="2" t="s">
        <v>227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/>
      <c r="AW607" s="8"/>
      <c r="AX607" s="4"/>
      <c r="AY607" s="8"/>
      <c r="AZ607" s="7"/>
      <c r="BA607" s="7"/>
      <c r="BB607" s="7"/>
      <c r="BC607" s="4"/>
      <c r="BD607" s="8"/>
      <c r="BE607" s="4"/>
      <c r="BF607" s="8"/>
      <c r="BG607" s="7"/>
      <c r="BH607" s="7"/>
      <c r="BI607" s="7"/>
      <c r="BJ607" s="4">
        <v>29</v>
      </c>
      <c r="BK607" s="8">
        <v>4438.21</v>
      </c>
      <c r="BL607" s="2" t="s">
        <v>3847</v>
      </c>
      <c r="BM607" s="7"/>
      <c r="BN607" s="7"/>
      <c r="BO607" s="4"/>
      <c r="BP607" s="8"/>
      <c r="BQ607" s="4"/>
      <c r="BR607" s="8"/>
      <c r="BS607" s="7"/>
      <c r="BT607" s="7"/>
      <c r="BU607" s="2" t="s">
        <v>3848</v>
      </c>
      <c r="BV607" s="2" t="s">
        <v>227</v>
      </c>
      <c r="BW607" s="2" t="s">
        <v>227</v>
      </c>
      <c r="BX607" s="2" t="s">
        <v>235</v>
      </c>
      <c r="BY607" s="2" t="s">
        <v>236</v>
      </c>
      <c r="BZ607" s="2" t="s">
        <v>224</v>
      </c>
      <c r="CA607" s="2" t="s">
        <v>3846</v>
      </c>
      <c r="CB607" s="2" t="s">
        <v>3187</v>
      </c>
      <c r="CC607" s="2" t="s">
        <v>239</v>
      </c>
      <c r="CD607" s="2" t="s">
        <v>227</v>
      </c>
      <c r="CE607" s="4"/>
      <c r="CF607" s="4">
        <v>147</v>
      </c>
      <c r="CG607" s="4"/>
      <c r="CH607" s="4">
        <v>3</v>
      </c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>
        <v>120</v>
      </c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/>
      <c r="FD607" s="4"/>
      <c r="FE607" s="4"/>
      <c r="FF607" s="4"/>
      <c r="FG607" s="4"/>
      <c r="FH607" s="4"/>
      <c r="FI607" s="4"/>
      <c r="FJ607" s="4"/>
      <c r="FK607" s="4"/>
      <c r="FL607" s="4"/>
      <c r="FM607" s="4"/>
      <c r="FN607" s="4"/>
      <c r="FO607" s="4"/>
      <c r="FP607" s="4"/>
      <c r="FQ607" s="4"/>
      <c r="FR607" s="4"/>
      <c r="FS607" s="4"/>
      <c r="FT607" s="4"/>
      <c r="FU607" s="4"/>
      <c r="FV607" s="4"/>
      <c r="FW607" s="4"/>
      <c r="FX607" s="4"/>
      <c r="FY607" s="4"/>
      <c r="FZ607" s="4"/>
      <c r="GA607" s="4"/>
      <c r="GB607" s="4"/>
      <c r="GC607" s="4"/>
      <c r="GD607" s="4"/>
      <c r="GE607" s="4"/>
      <c r="GF607" s="4"/>
      <c r="GG607" s="4"/>
      <c r="GH607" s="4"/>
      <c r="GI607" s="4"/>
      <c r="GJ607" s="4"/>
      <c r="GK607" s="4"/>
      <c r="GL607" s="4">
        <v>165</v>
      </c>
      <c r="GM607" s="4"/>
      <c r="GN607" s="4"/>
      <c r="GO607" s="4"/>
      <c r="GP607" s="4"/>
      <c r="GQ607" s="4"/>
      <c r="GR607" s="4"/>
      <c r="GS607" s="4"/>
      <c r="GT607" s="4"/>
      <c r="GU607" s="4"/>
      <c r="GV607" s="4"/>
      <c r="GW607" s="4"/>
      <c r="GX607" s="4"/>
    </row>
    <row r="608">
      <c r="A608" s="2" t="s">
        <v>3849</v>
      </c>
      <c r="B608" s="2" t="s">
        <v>715</v>
      </c>
      <c r="C608" s="2" t="s">
        <v>1210</v>
      </c>
      <c r="D608" s="2" t="s">
        <v>716</v>
      </c>
      <c r="E608" s="2" t="s">
        <v>717</v>
      </c>
      <c r="F608" s="2" t="s">
        <v>3850</v>
      </c>
      <c r="G608" s="2" t="s">
        <v>858</v>
      </c>
      <c r="H608" s="2" t="s">
        <v>3851</v>
      </c>
      <c r="I608" s="2" t="s">
        <v>3852</v>
      </c>
      <c r="J608" s="2" t="s">
        <v>808</v>
      </c>
      <c r="K608" s="2" t="s">
        <v>627</v>
      </c>
      <c r="L608" s="3">
        <v>18</v>
      </c>
      <c r="M608" s="3">
        <v>18.9</v>
      </c>
      <c r="N608" s="3">
        <v>39.99</v>
      </c>
      <c r="O608" s="2" t="s">
        <v>224</v>
      </c>
      <c r="P608" s="2" t="s">
        <v>225</v>
      </c>
      <c r="Q608" s="2" t="s">
        <v>226</v>
      </c>
      <c r="R608" s="2" t="s">
        <v>227</v>
      </c>
      <c r="S608" s="2" t="s">
        <v>3853</v>
      </c>
      <c r="T608" s="2" t="s">
        <v>227</v>
      </c>
      <c r="U608" s="2" t="s">
        <v>227</v>
      </c>
      <c r="V608" s="2" t="s">
        <v>301</v>
      </c>
      <c r="W608" s="2" t="s">
        <v>231</v>
      </c>
      <c r="X608" s="2" t="s">
        <v>1323</v>
      </c>
      <c r="Y608" s="2" t="s">
        <v>3854</v>
      </c>
      <c r="Z608" s="4">
        <v>114</v>
      </c>
      <c r="AA608" s="4">
        <f>=ROUNDDOWN(12.6666666666667,0)</f>
      </c>
      <c r="AB608" s="5">
        <v>9</v>
      </c>
      <c r="AC608" s="2" t="s">
        <v>169</v>
      </c>
      <c r="AD608" s="4">
        <v>260</v>
      </c>
      <c r="AE608" s="4">
        <v>260</v>
      </c>
      <c r="AF608" s="6">
        <v>65</v>
      </c>
      <c r="AG608" s="6"/>
      <c r="AH608" s="7">
        <v>0.4516</v>
      </c>
      <c r="AI608" s="4"/>
      <c r="AJ608" s="4">
        <f>=ROUNDDOWN({0},0)</f>
      </c>
      <c r="AK608" s="5"/>
      <c r="AL608" s="2" t="s">
        <v>227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/>
      <c r="AW608" s="8"/>
      <c r="AX608" s="4"/>
      <c r="AY608" s="8"/>
      <c r="AZ608" s="7"/>
      <c r="BA608" s="7"/>
      <c r="BB608" s="7"/>
      <c r="BC608" s="4"/>
      <c r="BD608" s="8"/>
      <c r="BE608" s="4"/>
      <c r="BF608" s="8"/>
      <c r="BG608" s="7"/>
      <c r="BH608" s="7"/>
      <c r="BI608" s="7"/>
      <c r="BJ608" s="4">
        <v>13</v>
      </c>
      <c r="BK608" s="8">
        <v>550.99</v>
      </c>
      <c r="BL608" s="2" t="s">
        <v>3855</v>
      </c>
      <c r="BM608" s="7"/>
      <c r="BN608" s="7"/>
      <c r="BO608" s="4"/>
      <c r="BP608" s="8"/>
      <c r="BQ608" s="4"/>
      <c r="BR608" s="8"/>
      <c r="BS608" s="7"/>
      <c r="BT608" s="7"/>
      <c r="BU608" s="2" t="s">
        <v>3856</v>
      </c>
      <c r="BV608" s="2" t="s">
        <v>227</v>
      </c>
      <c r="BW608" s="2" t="s">
        <v>227</v>
      </c>
      <c r="BX608" s="2" t="s">
        <v>235</v>
      </c>
      <c r="BY608" s="2" t="s">
        <v>236</v>
      </c>
      <c r="BZ608" s="2" t="s">
        <v>224</v>
      </c>
      <c r="CA608" s="2" t="s">
        <v>3857</v>
      </c>
      <c r="CB608" s="2" t="s">
        <v>2399</v>
      </c>
      <c r="CC608" s="2" t="s">
        <v>239</v>
      </c>
      <c r="CD608" s="2" t="s">
        <v>227</v>
      </c>
      <c r="CE608" s="4">
        <v>114</v>
      </c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>
        <v>260</v>
      </c>
      <c r="FF608" s="4"/>
      <c r="FG608" s="4"/>
      <c r="FH608" s="4"/>
      <c r="FI608" s="4"/>
      <c r="FJ608" s="4"/>
      <c r="FK608" s="4"/>
      <c r="FL608" s="4"/>
      <c r="FM608" s="4"/>
      <c r="FN608" s="4"/>
      <c r="FO608" s="4"/>
      <c r="FP608" s="4"/>
      <c r="FQ608" s="4"/>
      <c r="FR608" s="4"/>
      <c r="FS608" s="4"/>
      <c r="FT608" s="4"/>
      <c r="FU608" s="4"/>
      <c r="FV608" s="4"/>
      <c r="FW608" s="4"/>
      <c r="FX608" s="4"/>
      <c r="FY608" s="4"/>
      <c r="FZ608" s="4"/>
      <c r="GA608" s="4"/>
      <c r="GB608" s="4"/>
      <c r="GC608" s="4"/>
      <c r="GD608" s="4"/>
      <c r="GE608" s="4"/>
      <c r="GF608" s="4"/>
      <c r="GG608" s="4"/>
      <c r="GH608" s="4"/>
      <c r="GI608" s="4"/>
      <c r="GJ608" s="4"/>
      <c r="GK608" s="4"/>
      <c r="GL608" s="4"/>
      <c r="GM608" s="4"/>
      <c r="GN608" s="4"/>
      <c r="GO608" s="4"/>
      <c r="GP608" s="4"/>
      <c r="GQ608" s="4"/>
      <c r="GR608" s="4"/>
      <c r="GS608" s="4"/>
      <c r="GT608" s="4"/>
      <c r="GU608" s="4"/>
      <c r="GV608" s="4"/>
      <c r="GW608" s="4"/>
      <c r="GX608" s="4"/>
    </row>
    <row r="609">
      <c r="A609" s="2" t="s">
        <v>3858</v>
      </c>
      <c r="B609" s="2" t="s">
        <v>667</v>
      </c>
      <c r="C609" s="2" t="s">
        <v>1026</v>
      </c>
      <c r="D609" s="2" t="s">
        <v>687</v>
      </c>
      <c r="E609" s="2" t="s">
        <v>699</v>
      </c>
      <c r="F609" s="2" t="s">
        <v>3859</v>
      </c>
      <c r="G609" s="2" t="s">
        <v>3859</v>
      </c>
      <c r="H609" s="2" t="s">
        <v>3859</v>
      </c>
      <c r="I609" s="2" t="s">
        <v>3860</v>
      </c>
      <c r="J609" s="2" t="s">
        <v>384</v>
      </c>
      <c r="K609" s="2" t="s">
        <v>1098</v>
      </c>
      <c r="L609" s="3">
        <v>204.28</v>
      </c>
      <c r="M609" s="3">
        <v>214.49</v>
      </c>
      <c r="N609" s="3">
        <v>599.99</v>
      </c>
      <c r="O609" s="2" t="s">
        <v>224</v>
      </c>
      <c r="P609" s="2" t="s">
        <v>225</v>
      </c>
      <c r="Q609" s="2" t="s">
        <v>226</v>
      </c>
      <c r="R609" s="2" t="s">
        <v>227</v>
      </c>
      <c r="S609" s="2" t="s">
        <v>227</v>
      </c>
      <c r="T609" s="2" t="s">
        <v>227</v>
      </c>
      <c r="U609" s="2" t="s">
        <v>287</v>
      </c>
      <c r="V609" s="2" t="s">
        <v>1032</v>
      </c>
      <c r="W609" s="2" t="s">
        <v>506</v>
      </c>
      <c r="X609" s="2" t="s">
        <v>227</v>
      </c>
      <c r="Y609" s="2" t="s">
        <v>3861</v>
      </c>
      <c r="Z609" s="4">
        <v>69</v>
      </c>
      <c r="AA609" s="4">
        <f>=ROUNDDOWN(17.25,0)</f>
      </c>
      <c r="AB609" s="5">
        <v>4</v>
      </c>
      <c r="AC609" s="2" t="s">
        <v>2856</v>
      </c>
      <c r="AD609" s="4">
        <v>140</v>
      </c>
      <c r="AE609" s="4">
        <v>140</v>
      </c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227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/>
      <c r="AW609" s="8"/>
      <c r="AX609" s="4"/>
      <c r="AY609" s="8"/>
      <c r="AZ609" s="7"/>
      <c r="BA609" s="7"/>
      <c r="BB609" s="7"/>
      <c r="BC609" s="4"/>
      <c r="BD609" s="8"/>
      <c r="BE609" s="4"/>
      <c r="BF609" s="8"/>
      <c r="BG609" s="7"/>
      <c r="BH609" s="7"/>
      <c r="BI609" s="7"/>
      <c r="BJ609" s="4">
        <v>9</v>
      </c>
      <c r="BK609" s="8">
        <v>2089.46</v>
      </c>
      <c r="BL609" s="2" t="s">
        <v>3862</v>
      </c>
      <c r="BM609" s="7"/>
      <c r="BN609" s="7"/>
      <c r="BO609" s="4"/>
      <c r="BP609" s="8"/>
      <c r="BQ609" s="4"/>
      <c r="BR609" s="8"/>
      <c r="BS609" s="7"/>
      <c r="BT609" s="7"/>
      <c r="BU609" s="2" t="s">
        <v>3863</v>
      </c>
      <c r="BV609" s="2" t="s">
        <v>227</v>
      </c>
      <c r="BW609" s="2" t="s">
        <v>227</v>
      </c>
      <c r="BX609" s="2" t="s">
        <v>235</v>
      </c>
      <c r="BY609" s="2" t="s">
        <v>236</v>
      </c>
      <c r="BZ609" s="2" t="s">
        <v>224</v>
      </c>
      <c r="CA609" s="2" t="s">
        <v>3864</v>
      </c>
      <c r="CB609" s="2" t="s">
        <v>3865</v>
      </c>
      <c r="CC609" s="2" t="s">
        <v>239</v>
      </c>
      <c r="CD609" s="2" t="s">
        <v>227</v>
      </c>
      <c r="CE609" s="4">
        <v>69</v>
      </c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>
        <v>140</v>
      </c>
      <c r="FH609" s="4"/>
      <c r="FI609" s="4"/>
      <c r="FJ609" s="4"/>
      <c r="FK609" s="4"/>
      <c r="FL609" s="4"/>
      <c r="FM609" s="4"/>
      <c r="FN609" s="4"/>
      <c r="FO609" s="4"/>
      <c r="FP609" s="4"/>
      <c r="FQ609" s="4"/>
      <c r="FR609" s="4"/>
      <c r="FS609" s="4"/>
      <c r="FT609" s="4"/>
      <c r="FU609" s="4"/>
      <c r="FV609" s="4"/>
      <c r="FW609" s="4"/>
      <c r="FX609" s="4"/>
      <c r="FY609" s="4"/>
      <c r="FZ609" s="4"/>
      <c r="GA609" s="4"/>
      <c r="GB609" s="4"/>
      <c r="GC609" s="4"/>
      <c r="GD609" s="4"/>
      <c r="GE609" s="4"/>
      <c r="GF609" s="4"/>
      <c r="GG609" s="4"/>
      <c r="GH609" s="4"/>
      <c r="GI609" s="4"/>
      <c r="GJ609" s="4"/>
      <c r="GK609" s="4"/>
      <c r="GL609" s="4"/>
      <c r="GM609" s="4"/>
      <c r="GN609" s="4"/>
      <c r="GO609" s="4"/>
      <c r="GP609" s="4"/>
      <c r="GQ609" s="4"/>
      <c r="GR609" s="4"/>
      <c r="GS609" s="4"/>
      <c r="GT609" s="4"/>
      <c r="GU609" s="4"/>
      <c r="GV609" s="4"/>
      <c r="GW609" s="4"/>
      <c r="GX609" s="4"/>
    </row>
    <row r="610">
      <c r="A610" s="2" t="s">
        <v>3866</v>
      </c>
      <c r="B610" s="2" t="s">
        <v>573</v>
      </c>
      <c r="C610" s="2" t="s">
        <v>360</v>
      </c>
      <c r="D610" s="2" t="s">
        <v>574</v>
      </c>
      <c r="E610" s="2" t="s">
        <v>575</v>
      </c>
      <c r="F610" s="2" t="s">
        <v>3867</v>
      </c>
      <c r="G610" s="2" t="s">
        <v>3868</v>
      </c>
      <c r="H610" s="2" t="s">
        <v>3869</v>
      </c>
      <c r="I610" s="2" t="s">
        <v>1388</v>
      </c>
      <c r="J610" s="2" t="s">
        <v>548</v>
      </c>
      <c r="K610" s="2" t="s">
        <v>780</v>
      </c>
      <c r="L610" s="3">
        <v>216.6</v>
      </c>
      <c r="M610" s="3">
        <v>227.43</v>
      </c>
      <c r="N610" s="3">
        <v>449</v>
      </c>
      <c r="O610" s="2" t="s">
        <v>224</v>
      </c>
      <c r="P610" s="2" t="s">
        <v>580</v>
      </c>
      <c r="Q610" s="2" t="s">
        <v>226</v>
      </c>
      <c r="R610" s="2" t="s">
        <v>227</v>
      </c>
      <c r="S610" s="2" t="s">
        <v>227</v>
      </c>
      <c r="T610" s="2" t="s">
        <v>227</v>
      </c>
      <c r="U610" s="2" t="s">
        <v>227</v>
      </c>
      <c r="V610" s="2" t="s">
        <v>230</v>
      </c>
      <c r="W610" s="2" t="s">
        <v>836</v>
      </c>
      <c r="X610" s="2" t="s">
        <v>487</v>
      </c>
      <c r="Y610" s="2" t="s">
        <v>3870</v>
      </c>
      <c r="Z610" s="4">
        <v>80</v>
      </c>
      <c r="AA610" s="4">
        <f>=ROUNDDOWN(40,0)</f>
      </c>
      <c r="AB610" s="5">
        <v>2</v>
      </c>
      <c r="AC610" s="2" t="s">
        <v>227</v>
      </c>
      <c r="AD610" s="4"/>
      <c r="AE610" s="4"/>
      <c r="AF610" s="6">
        <v>66</v>
      </c>
      <c r="AG610" s="6"/>
      <c r="AH610" s="7">
        <v>1</v>
      </c>
      <c r="AI610" s="4"/>
      <c r="AJ610" s="4">
        <f>=ROUNDDOWN({0},0)</f>
      </c>
      <c r="AK610" s="5"/>
      <c r="AL610" s="2" t="s">
        <v>227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/>
      <c r="AW610" s="8"/>
      <c r="AX610" s="4"/>
      <c r="AY610" s="8"/>
      <c r="AZ610" s="7"/>
      <c r="BA610" s="7"/>
      <c r="BB610" s="7"/>
      <c r="BC610" s="4"/>
      <c r="BD610" s="8"/>
      <c r="BE610" s="4"/>
      <c r="BF610" s="8"/>
      <c r="BG610" s="7"/>
      <c r="BH610" s="7"/>
      <c r="BI610" s="7"/>
      <c r="BJ610" s="4">
        <v>3</v>
      </c>
      <c r="BK610" s="8">
        <v>602.91</v>
      </c>
      <c r="BL610" s="2" t="s">
        <v>1188</v>
      </c>
      <c r="BM610" s="7"/>
      <c r="BN610" s="7"/>
      <c r="BO610" s="4"/>
      <c r="BP610" s="8"/>
      <c r="BQ610" s="4"/>
      <c r="BR610" s="8"/>
      <c r="BS610" s="7"/>
      <c r="BT610" s="7"/>
      <c r="BU610" s="2" t="s">
        <v>3871</v>
      </c>
      <c r="BV610" s="2" t="s">
        <v>227</v>
      </c>
      <c r="BW610" s="2" t="s">
        <v>227</v>
      </c>
      <c r="BX610" s="2" t="s">
        <v>235</v>
      </c>
      <c r="BY610" s="2" t="s">
        <v>236</v>
      </c>
      <c r="BZ610" s="2" t="s">
        <v>224</v>
      </c>
      <c r="CA610" s="2" t="s">
        <v>3870</v>
      </c>
      <c r="CB610" s="2" t="s">
        <v>3872</v>
      </c>
      <c r="CC610" s="2" t="s">
        <v>239</v>
      </c>
      <c r="CD610" s="2" t="s">
        <v>227</v>
      </c>
      <c r="CE610" s="4"/>
      <c r="CF610" s="4">
        <v>80</v>
      </c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/>
      <c r="FH610" s="4"/>
      <c r="FI610" s="4"/>
      <c r="FJ610" s="4"/>
      <c r="FK610" s="4"/>
      <c r="FL610" s="4"/>
      <c r="FM610" s="4"/>
      <c r="FN610" s="4"/>
      <c r="FO610" s="4"/>
      <c r="FP610" s="4"/>
      <c r="FQ610" s="4"/>
      <c r="FR610" s="4"/>
      <c r="FS610" s="4"/>
      <c r="FT610" s="4"/>
      <c r="FU610" s="4"/>
      <c r="FV610" s="4"/>
      <c r="FW610" s="4"/>
      <c r="FX610" s="4"/>
      <c r="FY610" s="4"/>
      <c r="FZ610" s="4"/>
      <c r="GA610" s="4"/>
      <c r="GB610" s="4"/>
      <c r="GC610" s="4"/>
      <c r="GD610" s="4"/>
      <c r="GE610" s="4"/>
      <c r="GF610" s="4"/>
      <c r="GG610" s="4"/>
      <c r="GH610" s="4"/>
      <c r="GI610" s="4"/>
      <c r="GJ610" s="4"/>
      <c r="GK610" s="4"/>
      <c r="GL610" s="4"/>
      <c r="GM610" s="4"/>
      <c r="GN610" s="4"/>
      <c r="GO610" s="4"/>
      <c r="GP610" s="4"/>
      <c r="GQ610" s="4"/>
      <c r="GR610" s="4"/>
      <c r="GS610" s="4"/>
      <c r="GT610" s="4"/>
      <c r="GU610" s="4"/>
      <c r="GV610" s="4"/>
      <c r="GW610" s="4"/>
      <c r="GX610" s="4"/>
    </row>
    <row r="611">
      <c r="A611" s="2" t="s">
        <v>3873</v>
      </c>
      <c r="B611" s="2" t="s">
        <v>667</v>
      </c>
      <c r="C611" s="2" t="s">
        <v>668</v>
      </c>
      <c r="D611" s="2" t="s">
        <v>687</v>
      </c>
      <c r="E611" s="2" t="s">
        <v>688</v>
      </c>
      <c r="F611" s="2" t="s">
        <v>3874</v>
      </c>
      <c r="G611" s="2" t="s">
        <v>3874</v>
      </c>
      <c r="H611" s="2" t="s">
        <v>3874</v>
      </c>
      <c r="I611" s="2" t="s">
        <v>3875</v>
      </c>
      <c r="J611" s="2" t="s">
        <v>682</v>
      </c>
      <c r="K611" s="2" t="s">
        <v>3126</v>
      </c>
      <c r="L611" s="3">
        <v>80</v>
      </c>
      <c r="M611" s="3">
        <v>83.99</v>
      </c>
      <c r="N611" s="3">
        <v>159.99</v>
      </c>
      <c r="O611" s="2" t="s">
        <v>224</v>
      </c>
      <c r="P611" s="2" t="s">
        <v>225</v>
      </c>
      <c r="Q611" s="2" t="s">
        <v>226</v>
      </c>
      <c r="R611" s="2" t="s">
        <v>227</v>
      </c>
      <c r="S611" s="2" t="s">
        <v>3876</v>
      </c>
      <c r="T611" s="2" t="s">
        <v>286</v>
      </c>
      <c r="U611" s="2" t="s">
        <v>674</v>
      </c>
      <c r="V611" s="2" t="s">
        <v>230</v>
      </c>
      <c r="W611" s="2" t="s">
        <v>3877</v>
      </c>
      <c r="X611" s="2" t="s">
        <v>231</v>
      </c>
      <c r="Y611" s="2" t="s">
        <v>3878</v>
      </c>
      <c r="Z611" s="4">
        <v>312</v>
      </c>
      <c r="AA611" s="4">
        <f>=ROUNDDOWN(39,0)</f>
      </c>
      <c r="AB611" s="5">
        <v>8</v>
      </c>
      <c r="AC611" s="2" t="s">
        <v>227</v>
      </c>
      <c r="AD611" s="4"/>
      <c r="AE611" s="4"/>
      <c r="AF611" s="6">
        <v>67</v>
      </c>
      <c r="AG611" s="6"/>
      <c r="AH611" s="7">
        <v>1</v>
      </c>
      <c r="AI611" s="4"/>
      <c r="AJ611" s="4">
        <f>=ROUNDDOWN({0},0)</f>
      </c>
      <c r="AK611" s="5"/>
      <c r="AL611" s="2" t="s">
        <v>227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/>
      <c r="AW611" s="8"/>
      <c r="AX611" s="4"/>
      <c r="AY611" s="8"/>
      <c r="AZ611" s="7"/>
      <c r="BA611" s="7"/>
      <c r="BB611" s="7"/>
      <c r="BC611" s="4"/>
      <c r="BD611" s="8"/>
      <c r="BE611" s="4"/>
      <c r="BF611" s="8"/>
      <c r="BG611" s="7"/>
      <c r="BH611" s="7"/>
      <c r="BI611" s="7"/>
      <c r="BJ611" s="4">
        <v>36</v>
      </c>
      <c r="BK611" s="8">
        <v>3242.28</v>
      </c>
      <c r="BL611" s="2" t="s">
        <v>3879</v>
      </c>
      <c r="BM611" s="7"/>
      <c r="BN611" s="7"/>
      <c r="BO611" s="4"/>
      <c r="BP611" s="8"/>
      <c r="BQ611" s="4"/>
      <c r="BR611" s="8"/>
      <c r="BS611" s="7"/>
      <c r="BT611" s="7"/>
      <c r="BU611" s="2" t="s">
        <v>3880</v>
      </c>
      <c r="BV611" s="2" t="s">
        <v>227</v>
      </c>
      <c r="BW611" s="2" t="s">
        <v>227</v>
      </c>
      <c r="BX611" s="2" t="s">
        <v>235</v>
      </c>
      <c r="BY611" s="2" t="s">
        <v>236</v>
      </c>
      <c r="BZ611" s="2" t="s">
        <v>224</v>
      </c>
      <c r="CA611" s="2" t="s">
        <v>3881</v>
      </c>
      <c r="CB611" s="2" t="s">
        <v>3882</v>
      </c>
      <c r="CC611" s="2" t="s">
        <v>239</v>
      </c>
      <c r="CD611" s="2" t="s">
        <v>227</v>
      </c>
      <c r="CE611" s="4">
        <v>312</v>
      </c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  <c r="FG611" s="4"/>
      <c r="FH611" s="4"/>
      <c r="FI611" s="4"/>
      <c r="FJ611" s="4"/>
      <c r="FK611" s="4"/>
      <c r="FL611" s="4"/>
      <c r="FM611" s="4"/>
      <c r="FN611" s="4"/>
      <c r="FO611" s="4"/>
      <c r="FP611" s="4"/>
      <c r="FQ611" s="4"/>
      <c r="FR611" s="4"/>
      <c r="FS611" s="4"/>
      <c r="FT611" s="4"/>
      <c r="FU611" s="4"/>
      <c r="FV611" s="4"/>
      <c r="FW611" s="4"/>
      <c r="FX611" s="4"/>
      <c r="FY611" s="4"/>
      <c r="FZ611" s="4"/>
      <c r="GA611" s="4"/>
      <c r="GB611" s="4"/>
      <c r="GC611" s="4"/>
      <c r="GD611" s="4"/>
      <c r="GE611" s="4"/>
      <c r="GF611" s="4"/>
      <c r="GG611" s="4"/>
      <c r="GH611" s="4"/>
      <c r="GI611" s="4"/>
      <c r="GJ611" s="4"/>
      <c r="GK611" s="4"/>
      <c r="GL611" s="4"/>
      <c r="GM611" s="4"/>
      <c r="GN611" s="4"/>
      <c r="GO611" s="4"/>
      <c r="GP611" s="4"/>
      <c r="GQ611" s="4"/>
      <c r="GR611" s="4"/>
      <c r="GS611" s="4"/>
      <c r="GT611" s="4"/>
      <c r="GU611" s="4"/>
      <c r="GV611" s="4"/>
      <c r="GW611" s="4"/>
      <c r="GX611" s="4"/>
    </row>
    <row r="612">
      <c r="A612" s="2" t="s">
        <v>3883</v>
      </c>
      <c r="B612" s="2" t="s">
        <v>1001</v>
      </c>
      <c r="C612" s="2" t="s">
        <v>668</v>
      </c>
      <c r="D612" s="2" t="s">
        <v>3884</v>
      </c>
      <c r="E612" s="2" t="s">
        <v>3885</v>
      </c>
      <c r="F612" s="2" t="s">
        <v>3886</v>
      </c>
      <c r="G612" s="2" t="s">
        <v>3886</v>
      </c>
      <c r="H612" s="2" t="s">
        <v>3886</v>
      </c>
      <c r="I612" s="2" t="s">
        <v>3887</v>
      </c>
      <c r="J612" s="2" t="s">
        <v>548</v>
      </c>
      <c r="K612" s="2" t="s">
        <v>3888</v>
      </c>
      <c r="L612" s="3">
        <v>78.49</v>
      </c>
      <c r="M612" s="3">
        <v>82.41</v>
      </c>
      <c r="N612" s="3">
        <v>174.99</v>
      </c>
      <c r="O612" s="2" t="s">
        <v>224</v>
      </c>
      <c r="P612" s="2" t="s">
        <v>580</v>
      </c>
      <c r="Q612" s="2" t="s">
        <v>226</v>
      </c>
      <c r="R612" s="2" t="s">
        <v>227</v>
      </c>
      <c r="S612" s="2" t="s">
        <v>227</v>
      </c>
      <c r="T612" s="2" t="s">
        <v>227</v>
      </c>
      <c r="U612" s="2" t="s">
        <v>552</v>
      </c>
      <c r="V612" s="2" t="s">
        <v>566</v>
      </c>
      <c r="W612" s="2" t="s">
        <v>231</v>
      </c>
      <c r="X612" s="2" t="s">
        <v>227</v>
      </c>
      <c r="Y612" s="2" t="s">
        <v>2783</v>
      </c>
      <c r="Z612" s="4">
        <v>24</v>
      </c>
      <c r="AA612" s="4">
        <f>=ROUNDDOWN(13.3333333333333,0)</f>
      </c>
      <c r="AB612" s="5">
        <v>1.8</v>
      </c>
      <c r="AC612" s="2" t="s">
        <v>227</v>
      </c>
      <c r="AD612" s="4"/>
      <c r="AE612" s="4"/>
      <c r="AF612" s="6">
        <v>65</v>
      </c>
      <c r="AG612" s="6"/>
      <c r="AH612" s="7">
        <v>1</v>
      </c>
      <c r="AI612" s="4"/>
      <c r="AJ612" s="4">
        <f>=ROUNDDOWN({0},0)</f>
      </c>
      <c r="AK612" s="5"/>
      <c r="AL612" s="2" t="s">
        <v>227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/>
      <c r="AW612" s="8"/>
      <c r="AX612" s="4"/>
      <c r="AY612" s="8"/>
      <c r="AZ612" s="7"/>
      <c r="BA612" s="7"/>
      <c r="BB612" s="7"/>
      <c r="BC612" s="4"/>
      <c r="BD612" s="8"/>
      <c r="BE612" s="4"/>
      <c r="BF612" s="8"/>
      <c r="BG612" s="7"/>
      <c r="BH612" s="7"/>
      <c r="BI612" s="7"/>
      <c r="BJ612" s="4">
        <v>9</v>
      </c>
      <c r="BK612" s="8">
        <v>960.16</v>
      </c>
      <c r="BL612" s="2" t="s">
        <v>3889</v>
      </c>
      <c r="BM612" s="7"/>
      <c r="BN612" s="7"/>
      <c r="BO612" s="4"/>
      <c r="BP612" s="8"/>
      <c r="BQ612" s="4"/>
      <c r="BR612" s="8"/>
      <c r="BS612" s="7"/>
      <c r="BT612" s="7"/>
      <c r="BU612" s="2" t="s">
        <v>3890</v>
      </c>
      <c r="BV612" s="2" t="s">
        <v>227</v>
      </c>
      <c r="BW612" s="2" t="s">
        <v>227</v>
      </c>
      <c r="BX612" s="2" t="s">
        <v>235</v>
      </c>
      <c r="BY612" s="2" t="s">
        <v>236</v>
      </c>
      <c r="BZ612" s="2" t="s">
        <v>224</v>
      </c>
      <c r="CA612" s="2" t="s">
        <v>3891</v>
      </c>
      <c r="CB612" s="2" t="s">
        <v>3892</v>
      </c>
      <c r="CC612" s="2" t="s">
        <v>239</v>
      </c>
      <c r="CD612" s="2" t="s">
        <v>227</v>
      </c>
      <c r="CE612" s="4"/>
      <c r="CF612" s="4">
        <v>24</v>
      </c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/>
      <c r="FO612" s="4"/>
      <c r="FP612" s="4"/>
      <c r="FQ612" s="4"/>
      <c r="FR612" s="4"/>
      <c r="FS612" s="4"/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  <c r="GR612" s="4"/>
      <c r="GS612" s="4"/>
      <c r="GT612" s="4"/>
      <c r="GU612" s="4"/>
      <c r="GV612" s="4"/>
      <c r="GW612" s="4"/>
      <c r="GX612" s="4"/>
    </row>
    <row r="613">
      <c r="A613" s="2" t="s">
        <v>3893</v>
      </c>
      <c r="B613" s="2" t="s">
        <v>573</v>
      </c>
      <c r="C613" s="2" t="s">
        <v>543</v>
      </c>
      <c r="D613" s="2" t="s">
        <v>3621</v>
      </c>
      <c r="E613" s="2" t="s">
        <v>3894</v>
      </c>
      <c r="F613" s="2" t="s">
        <v>3895</v>
      </c>
      <c r="G613" s="2" t="s">
        <v>3895</v>
      </c>
      <c r="H613" s="2" t="s">
        <v>3895</v>
      </c>
      <c r="I613" s="2" t="s">
        <v>3896</v>
      </c>
      <c r="J613" s="2" t="s">
        <v>548</v>
      </c>
      <c r="K613" s="2" t="s">
        <v>1428</v>
      </c>
      <c r="L613" s="3">
        <v>168</v>
      </c>
      <c r="M613" s="3">
        <v>176.4</v>
      </c>
      <c r="N613" s="3">
        <v>359</v>
      </c>
      <c r="O613" s="2" t="s">
        <v>224</v>
      </c>
      <c r="P613" s="2" t="s">
        <v>225</v>
      </c>
      <c r="Q613" s="2" t="s">
        <v>226</v>
      </c>
      <c r="R613" s="2" t="s">
        <v>227</v>
      </c>
      <c r="S613" s="2" t="s">
        <v>227</v>
      </c>
      <c r="T613" s="2" t="s">
        <v>227</v>
      </c>
      <c r="U613" s="2" t="s">
        <v>552</v>
      </c>
      <c r="V613" s="2" t="s">
        <v>566</v>
      </c>
      <c r="W613" s="2" t="s">
        <v>506</v>
      </c>
      <c r="X613" s="2" t="s">
        <v>2864</v>
      </c>
      <c r="Y613" s="2" t="s">
        <v>3897</v>
      </c>
      <c r="Z613" s="4">
        <v>2</v>
      </c>
      <c r="AA613" s="4">
        <f>=ROUNDDOWN(0.5,0)</f>
      </c>
      <c r="AB613" s="5">
        <v>4</v>
      </c>
      <c r="AC613" s="2" t="s">
        <v>3326</v>
      </c>
      <c r="AD613" s="4">
        <v>140</v>
      </c>
      <c r="AE613" s="4">
        <v>300</v>
      </c>
      <c r="AF613" s="6">
        <v>76</v>
      </c>
      <c r="AG613" s="6"/>
      <c r="AH613" s="7">
        <v>0.7097</v>
      </c>
      <c r="AI613" s="4"/>
      <c r="AJ613" s="4">
        <f>=ROUNDDOWN({0},0)</f>
      </c>
      <c r="AK613" s="5"/>
      <c r="AL613" s="2" t="s">
        <v>227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/>
      <c r="AW613" s="8"/>
      <c r="AX613" s="4"/>
      <c r="AY613" s="8"/>
      <c r="AZ613" s="7"/>
      <c r="BA613" s="7"/>
      <c r="BB613" s="7"/>
      <c r="BC613" s="4"/>
      <c r="BD613" s="8"/>
      <c r="BE613" s="4"/>
      <c r="BF613" s="8"/>
      <c r="BG613" s="7"/>
      <c r="BH613" s="7"/>
      <c r="BI613" s="7"/>
      <c r="BJ613" s="4">
        <v>8</v>
      </c>
      <c r="BK613" s="8">
        <v>1446.65</v>
      </c>
      <c r="BL613" s="2" t="s">
        <v>3898</v>
      </c>
      <c r="BM613" s="7"/>
      <c r="BN613" s="7"/>
      <c r="BO613" s="4"/>
      <c r="BP613" s="8"/>
      <c r="BQ613" s="4"/>
      <c r="BR613" s="8"/>
      <c r="BS613" s="7"/>
      <c r="BT613" s="7"/>
      <c r="BU613" s="2" t="s">
        <v>3899</v>
      </c>
      <c r="BV613" s="2" t="s">
        <v>227</v>
      </c>
      <c r="BW613" s="2" t="s">
        <v>227</v>
      </c>
      <c r="BX613" s="2" t="s">
        <v>235</v>
      </c>
      <c r="BY613" s="2" t="s">
        <v>236</v>
      </c>
      <c r="BZ613" s="2" t="s">
        <v>224</v>
      </c>
      <c r="CA613" s="2" t="s">
        <v>2344</v>
      </c>
      <c r="CB613" s="2" t="s">
        <v>2019</v>
      </c>
      <c r="CC613" s="2" t="s">
        <v>239</v>
      </c>
      <c r="CD613" s="2" t="s">
        <v>227</v>
      </c>
      <c r="CE613" s="4"/>
      <c r="CF613" s="4">
        <v>2</v>
      </c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>
        <v>140</v>
      </c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>
        <v>160</v>
      </c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  <c r="FG613" s="4"/>
      <c r="FH613" s="4"/>
      <c r="FI613" s="4"/>
      <c r="FJ613" s="4"/>
      <c r="FK613" s="4"/>
      <c r="FL613" s="4"/>
      <c r="FM613" s="4"/>
      <c r="FN613" s="4"/>
      <c r="FO613" s="4"/>
      <c r="FP613" s="4"/>
      <c r="FQ613" s="4"/>
      <c r="FR613" s="4"/>
      <c r="FS613" s="4"/>
      <c r="FT613" s="4"/>
      <c r="FU613" s="4"/>
      <c r="FV613" s="4"/>
      <c r="FW613" s="4"/>
      <c r="FX613" s="4"/>
      <c r="FY613" s="4"/>
      <c r="FZ613" s="4"/>
      <c r="GA613" s="4"/>
      <c r="GB613" s="4"/>
      <c r="GC613" s="4"/>
      <c r="GD613" s="4"/>
      <c r="GE613" s="4"/>
      <c r="GF613" s="4"/>
      <c r="GG613" s="4"/>
      <c r="GH613" s="4"/>
      <c r="GI613" s="4"/>
      <c r="GJ613" s="4"/>
      <c r="GK613" s="4"/>
      <c r="GL613" s="4"/>
      <c r="GM613" s="4"/>
      <c r="GN613" s="4"/>
      <c r="GO613" s="4"/>
      <c r="GP613" s="4"/>
      <c r="GQ613" s="4"/>
      <c r="GR613" s="4"/>
      <c r="GS613" s="4"/>
      <c r="GT613" s="4"/>
      <c r="GU613" s="4"/>
      <c r="GV613" s="4"/>
      <c r="GW613" s="4"/>
      <c r="GX613" s="4"/>
    </row>
    <row r="614">
      <c r="A614" s="2" t="s">
        <v>3900</v>
      </c>
      <c r="B614" s="2" t="s">
        <v>667</v>
      </c>
      <c r="C614" s="2" t="s">
        <v>1803</v>
      </c>
      <c r="D614" s="2" t="s">
        <v>687</v>
      </c>
      <c r="E614" s="2" t="s">
        <v>699</v>
      </c>
      <c r="F614" s="2" t="s">
        <v>3901</v>
      </c>
      <c r="G614" s="2" t="s">
        <v>3901</v>
      </c>
      <c r="H614" s="2" t="s">
        <v>3901</v>
      </c>
      <c r="I614" s="2" t="s">
        <v>3902</v>
      </c>
      <c r="J614" s="2" t="s">
        <v>247</v>
      </c>
      <c r="K614" s="2" t="s">
        <v>223</v>
      </c>
      <c r="L614" s="3">
        <v>86.4</v>
      </c>
      <c r="M614" s="3">
        <v>90.72</v>
      </c>
      <c r="N614" s="3">
        <v>179.99</v>
      </c>
      <c r="O614" s="2" t="s">
        <v>224</v>
      </c>
      <c r="P614" s="2" t="s">
        <v>225</v>
      </c>
      <c r="Q614" s="2" t="s">
        <v>226</v>
      </c>
      <c r="R614" s="2" t="s">
        <v>227</v>
      </c>
      <c r="S614" s="2" t="s">
        <v>3903</v>
      </c>
      <c r="T614" s="2" t="s">
        <v>286</v>
      </c>
      <c r="U614" s="2" t="s">
        <v>594</v>
      </c>
      <c r="V614" s="2" t="s">
        <v>1045</v>
      </c>
      <c r="W614" s="2" t="s">
        <v>1045</v>
      </c>
      <c r="X614" s="2" t="s">
        <v>231</v>
      </c>
      <c r="Y614" s="2" t="s">
        <v>3822</v>
      </c>
      <c r="Z614" s="4"/>
      <c r="AA614" s="4">
        <f>=ROUNDDOWN({0},0)</f>
      </c>
      <c r="AB614" s="5">
        <v>2</v>
      </c>
      <c r="AC614" s="2" t="s">
        <v>2484</v>
      </c>
      <c r="AD614" s="4">
        <v>49</v>
      </c>
      <c r="AE614" s="4">
        <v>104</v>
      </c>
      <c r="AF614" s="6">
        <v>70</v>
      </c>
      <c r="AG614" s="6"/>
      <c r="AH614" s="7">
        <v>0</v>
      </c>
      <c r="AI614" s="4"/>
      <c r="AJ614" s="4">
        <f>=ROUNDDOWN({0},0)</f>
      </c>
      <c r="AK614" s="5"/>
      <c r="AL614" s="2" t="s">
        <v>227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227</v>
      </c>
      <c r="AW614" s="8" t="s">
        <v>227</v>
      </c>
      <c r="AX614" s="4" t="s">
        <v>227</v>
      </c>
      <c r="AY614" s="8" t="s">
        <v>227</v>
      </c>
      <c r="AZ614" s="7" t="s">
        <v>227</v>
      </c>
      <c r="BA614" s="7" t="s">
        <v>227</v>
      </c>
      <c r="BB614" s="7"/>
      <c r="BC614" s="4" t="s">
        <v>227</v>
      </c>
      <c r="BD614" s="8" t="s">
        <v>227</v>
      </c>
      <c r="BE614" s="4" t="s">
        <v>227</v>
      </c>
      <c r="BF614" s="8" t="s">
        <v>227</v>
      </c>
      <c r="BG614" s="7" t="s">
        <v>227</v>
      </c>
      <c r="BH614" s="7" t="s">
        <v>227</v>
      </c>
      <c r="BI614" s="7"/>
      <c r="BJ614" s="4"/>
      <c r="BK614" s="8"/>
      <c r="BL614" s="2" t="s">
        <v>227</v>
      </c>
      <c r="BM614" s="7"/>
      <c r="BN614" s="7"/>
      <c r="BO614" s="4"/>
      <c r="BP614" s="8"/>
      <c r="BQ614" s="4"/>
      <c r="BR614" s="8"/>
      <c r="BS614" s="7"/>
      <c r="BT614" s="7"/>
      <c r="BU614" s="2" t="s">
        <v>3904</v>
      </c>
      <c r="BV614" s="2" t="s">
        <v>227</v>
      </c>
      <c r="BW614" s="2" t="s">
        <v>227</v>
      </c>
      <c r="BX614" s="2" t="s">
        <v>235</v>
      </c>
      <c r="BY614" s="2" t="s">
        <v>236</v>
      </c>
      <c r="BZ614" s="2" t="s">
        <v>224</v>
      </c>
      <c r="CA614" s="2" t="s">
        <v>2322</v>
      </c>
      <c r="CB614" s="2" t="s">
        <v>1293</v>
      </c>
      <c r="CC614" s="2" t="s">
        <v>239</v>
      </c>
      <c r="CD614" s="2" t="s">
        <v>227</v>
      </c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>
        <v>49</v>
      </c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>
        <v>55</v>
      </c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  <c r="FM614" s="4"/>
      <c r="FN614" s="4"/>
      <c r="FO614" s="4"/>
      <c r="FP614" s="4"/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  <c r="GR614" s="4"/>
      <c r="GS614" s="4"/>
      <c r="GT614" s="4"/>
      <c r="GU614" s="4"/>
      <c r="GV614" s="4"/>
      <c r="GW614" s="4"/>
      <c r="GX614" s="4"/>
    </row>
    <row r="615">
      <c r="A615" s="2" t="s">
        <v>3905</v>
      </c>
      <c r="B615" s="2" t="s">
        <v>667</v>
      </c>
      <c r="C615" s="2" t="s">
        <v>1803</v>
      </c>
      <c r="D615" s="2" t="s">
        <v>620</v>
      </c>
      <c r="E615" s="2" t="s">
        <v>621</v>
      </c>
      <c r="F615" s="2" t="s">
        <v>3901</v>
      </c>
      <c r="G615" s="2" t="s">
        <v>3901</v>
      </c>
      <c r="H615" s="2" t="s">
        <v>3901</v>
      </c>
      <c r="I615" s="2" t="s">
        <v>3906</v>
      </c>
      <c r="J615" s="2" t="s">
        <v>626</v>
      </c>
      <c r="K615" s="2" t="s">
        <v>223</v>
      </c>
      <c r="L615" s="3">
        <v>72</v>
      </c>
      <c r="M615" s="3">
        <v>75.6</v>
      </c>
      <c r="N615" s="3">
        <v>149.99</v>
      </c>
      <c r="O615" s="2" t="s">
        <v>224</v>
      </c>
      <c r="P615" s="2" t="s">
        <v>225</v>
      </c>
      <c r="Q615" s="2" t="s">
        <v>226</v>
      </c>
      <c r="R615" s="2" t="s">
        <v>227</v>
      </c>
      <c r="S615" s="2" t="s">
        <v>3907</v>
      </c>
      <c r="T615" s="2" t="s">
        <v>286</v>
      </c>
      <c r="U615" s="2" t="s">
        <v>1350</v>
      </c>
      <c r="V615" s="2" t="s">
        <v>1045</v>
      </c>
      <c r="W615" s="2" t="s">
        <v>1045</v>
      </c>
      <c r="X615" s="2" t="s">
        <v>231</v>
      </c>
      <c r="Y615" s="2" t="s">
        <v>2322</v>
      </c>
      <c r="Z615" s="4">
        <v>15</v>
      </c>
      <c r="AA615" s="4">
        <f>=ROUNDDOWN(3.75,0)</f>
      </c>
      <c r="AB615" s="5">
        <v>4</v>
      </c>
      <c r="AC615" s="2" t="s">
        <v>810</v>
      </c>
      <c r="AD615" s="4">
        <v>60</v>
      </c>
      <c r="AE615" s="4">
        <v>60</v>
      </c>
      <c r="AF615" s="6">
        <v>70</v>
      </c>
      <c r="AG615" s="6"/>
      <c r="AH615" s="7">
        <v>1</v>
      </c>
      <c r="AI615" s="4"/>
      <c r="AJ615" s="4">
        <f>=ROUNDDOWN({0},0)</f>
      </c>
      <c r="AK615" s="5"/>
      <c r="AL615" s="2" t="s">
        <v>227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227</v>
      </c>
      <c r="AW615" s="8" t="s">
        <v>227</v>
      </c>
      <c r="AX615" s="4" t="s">
        <v>227</v>
      </c>
      <c r="AY615" s="8" t="s">
        <v>227</v>
      </c>
      <c r="AZ615" s="7" t="s">
        <v>227</v>
      </c>
      <c r="BA615" s="7" t="s">
        <v>227</v>
      </c>
      <c r="BB615" s="7"/>
      <c r="BC615" s="4" t="s">
        <v>227</v>
      </c>
      <c r="BD615" s="8" t="s">
        <v>227</v>
      </c>
      <c r="BE615" s="4" t="s">
        <v>227</v>
      </c>
      <c r="BF615" s="8" t="s">
        <v>227</v>
      </c>
      <c r="BG615" s="7" t="s">
        <v>227</v>
      </c>
      <c r="BH615" s="7" t="s">
        <v>227</v>
      </c>
      <c r="BI615" s="7"/>
      <c r="BJ615" s="4">
        <v>13</v>
      </c>
      <c r="BK615" s="8">
        <v>1018.35</v>
      </c>
      <c r="BL615" s="2" t="s">
        <v>3908</v>
      </c>
      <c r="BM615" s="7"/>
      <c r="BN615" s="7"/>
      <c r="BO615" s="4"/>
      <c r="BP615" s="8"/>
      <c r="BQ615" s="4"/>
      <c r="BR615" s="8"/>
      <c r="BS615" s="7"/>
      <c r="BT615" s="7"/>
      <c r="BU615" s="2" t="s">
        <v>3909</v>
      </c>
      <c r="BV615" s="2" t="s">
        <v>227</v>
      </c>
      <c r="BW615" s="2" t="s">
        <v>227</v>
      </c>
      <c r="BX615" s="2" t="s">
        <v>235</v>
      </c>
      <c r="BY615" s="2" t="s">
        <v>236</v>
      </c>
      <c r="BZ615" s="2" t="s">
        <v>224</v>
      </c>
      <c r="CA615" s="2" t="s">
        <v>2322</v>
      </c>
      <c r="CB615" s="2" t="s">
        <v>3910</v>
      </c>
      <c r="CC615" s="2" t="s">
        <v>239</v>
      </c>
      <c r="CD615" s="2" t="s">
        <v>227</v>
      </c>
      <c r="CE615" s="4">
        <v>15</v>
      </c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>
        <v>60</v>
      </c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/>
      <c r="FG615" s="4"/>
      <c r="FH615" s="4"/>
      <c r="FI615" s="4"/>
      <c r="FJ615" s="4"/>
      <c r="FK615" s="4"/>
      <c r="FL615" s="4"/>
      <c r="FM615" s="4"/>
      <c r="FN615" s="4"/>
      <c r="FO615" s="4"/>
      <c r="FP615" s="4"/>
      <c r="FQ615" s="4"/>
      <c r="FR615" s="4"/>
      <c r="FS615" s="4"/>
      <c r="FT615" s="4"/>
      <c r="FU615" s="4"/>
      <c r="FV615" s="4"/>
      <c r="FW615" s="4"/>
      <c r="FX615" s="4"/>
      <c r="FY615" s="4"/>
      <c r="FZ615" s="4"/>
      <c r="GA615" s="4"/>
      <c r="GB615" s="4"/>
      <c r="GC615" s="4"/>
      <c r="GD615" s="4"/>
      <c r="GE615" s="4"/>
      <c r="GF615" s="4"/>
      <c r="GG615" s="4"/>
      <c r="GH615" s="4"/>
      <c r="GI615" s="4"/>
      <c r="GJ615" s="4"/>
      <c r="GK615" s="4"/>
      <c r="GL615" s="4"/>
      <c r="GM615" s="4"/>
      <c r="GN615" s="4"/>
      <c r="GO615" s="4"/>
      <c r="GP615" s="4"/>
      <c r="GQ615" s="4"/>
      <c r="GR615" s="4"/>
      <c r="GS615" s="4"/>
      <c r="GT615" s="4"/>
      <c r="GU615" s="4"/>
      <c r="GV615" s="4"/>
      <c r="GW615" s="4"/>
      <c r="GX615" s="4"/>
    </row>
    <row r="616">
      <c r="A616" s="2" t="s">
        <v>3911</v>
      </c>
      <c r="B616" s="2" t="s">
        <v>667</v>
      </c>
      <c r="C616" s="2" t="s">
        <v>1803</v>
      </c>
      <c r="D616" s="2" t="s">
        <v>687</v>
      </c>
      <c r="E616" s="2" t="s">
        <v>699</v>
      </c>
      <c r="F616" s="2" t="s">
        <v>3901</v>
      </c>
      <c r="G616" s="2" t="s">
        <v>3901</v>
      </c>
      <c r="H616" s="2" t="s">
        <v>3901</v>
      </c>
      <c r="I616" s="2" t="s">
        <v>3902</v>
      </c>
      <c r="J616" s="2" t="s">
        <v>257</v>
      </c>
      <c r="K616" s="2" t="s">
        <v>223</v>
      </c>
      <c r="L616" s="3">
        <v>105.6</v>
      </c>
      <c r="M616" s="3">
        <v>110.88</v>
      </c>
      <c r="N616" s="3">
        <v>219.99</v>
      </c>
      <c r="O616" s="2" t="s">
        <v>224</v>
      </c>
      <c r="P616" s="2" t="s">
        <v>225</v>
      </c>
      <c r="Q616" s="2" t="s">
        <v>226</v>
      </c>
      <c r="R616" s="2" t="s">
        <v>227</v>
      </c>
      <c r="S616" s="2" t="s">
        <v>3903</v>
      </c>
      <c r="T616" s="2" t="s">
        <v>286</v>
      </c>
      <c r="U616" s="2" t="s">
        <v>594</v>
      </c>
      <c r="V616" s="2" t="s">
        <v>1045</v>
      </c>
      <c r="W616" s="2" t="s">
        <v>1045</v>
      </c>
      <c r="X616" s="2" t="s">
        <v>231</v>
      </c>
      <c r="Y616" s="2" t="s">
        <v>3822</v>
      </c>
      <c r="Z616" s="4"/>
      <c r="AA616" s="4">
        <f>=ROUNDDOWN({0},0)</f>
      </c>
      <c r="AB616" s="5">
        <v>7</v>
      </c>
      <c r="AC616" s="2" t="s">
        <v>2484</v>
      </c>
      <c r="AD616" s="4">
        <v>120</v>
      </c>
      <c r="AE616" s="4">
        <v>310</v>
      </c>
      <c r="AF616" s="6">
        <v>70</v>
      </c>
      <c r="AG616" s="6"/>
      <c r="AH616" s="7">
        <v>0</v>
      </c>
      <c r="AI616" s="4"/>
      <c r="AJ616" s="4">
        <f>=ROUNDDOWN({0},0)</f>
      </c>
      <c r="AK616" s="5"/>
      <c r="AL616" s="2" t="s">
        <v>227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227</v>
      </c>
      <c r="AW616" s="8" t="s">
        <v>227</v>
      </c>
      <c r="AX616" s="4" t="s">
        <v>227</v>
      </c>
      <c r="AY616" s="8" t="s">
        <v>227</v>
      </c>
      <c r="AZ616" s="7" t="s">
        <v>227</v>
      </c>
      <c r="BA616" s="7" t="s">
        <v>227</v>
      </c>
      <c r="BB616" s="7"/>
      <c r="BC616" s="4" t="s">
        <v>227</v>
      </c>
      <c r="BD616" s="8" t="s">
        <v>227</v>
      </c>
      <c r="BE616" s="4" t="s">
        <v>227</v>
      </c>
      <c r="BF616" s="8" t="s">
        <v>227</v>
      </c>
      <c r="BG616" s="7" t="s">
        <v>227</v>
      </c>
      <c r="BH616" s="7" t="s">
        <v>227</v>
      </c>
      <c r="BI616" s="7"/>
      <c r="BJ616" s="4"/>
      <c r="BK616" s="8"/>
      <c r="BL616" s="2" t="s">
        <v>227</v>
      </c>
      <c r="BM616" s="7"/>
      <c r="BN616" s="7"/>
      <c r="BO616" s="4"/>
      <c r="BP616" s="8"/>
      <c r="BQ616" s="4"/>
      <c r="BR616" s="8"/>
      <c r="BS616" s="7"/>
      <c r="BT616" s="7"/>
      <c r="BU616" s="2" t="s">
        <v>3912</v>
      </c>
      <c r="BV616" s="2" t="s">
        <v>227</v>
      </c>
      <c r="BW616" s="2" t="s">
        <v>227</v>
      </c>
      <c r="BX616" s="2" t="s">
        <v>235</v>
      </c>
      <c r="BY616" s="2" t="s">
        <v>236</v>
      </c>
      <c r="BZ616" s="2" t="s">
        <v>224</v>
      </c>
      <c r="CA616" s="2" t="s">
        <v>2322</v>
      </c>
      <c r="CB616" s="2" t="s">
        <v>1989</v>
      </c>
      <c r="CC616" s="2" t="s">
        <v>239</v>
      </c>
      <c r="CD616" s="2" t="s">
        <v>227</v>
      </c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>
        <v>120</v>
      </c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>
        <v>190</v>
      </c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/>
      <c r="FH616" s="4"/>
      <c r="FI616" s="4"/>
      <c r="FJ616" s="4"/>
      <c r="FK616" s="4"/>
      <c r="FL616" s="4"/>
      <c r="FM616" s="4"/>
      <c r="FN616" s="4"/>
      <c r="FO616" s="4"/>
      <c r="FP616" s="4"/>
      <c r="FQ616" s="4"/>
      <c r="FR616" s="4"/>
      <c r="FS616" s="4"/>
      <c r="FT616" s="4"/>
      <c r="FU616" s="4"/>
      <c r="FV616" s="4"/>
      <c r="FW616" s="4"/>
      <c r="FX616" s="4"/>
      <c r="FY616" s="4"/>
      <c r="FZ616" s="4"/>
      <c r="GA616" s="4"/>
      <c r="GB616" s="4"/>
      <c r="GC616" s="4"/>
      <c r="GD616" s="4"/>
      <c r="GE616" s="4"/>
      <c r="GF616" s="4"/>
      <c r="GG616" s="4"/>
      <c r="GH616" s="4"/>
      <c r="GI616" s="4"/>
      <c r="GJ616" s="4"/>
      <c r="GK616" s="4"/>
      <c r="GL616" s="4"/>
      <c r="GM616" s="4"/>
      <c r="GN616" s="4"/>
      <c r="GO616" s="4"/>
      <c r="GP616" s="4"/>
      <c r="GQ616" s="4"/>
      <c r="GR616" s="4"/>
      <c r="GS616" s="4"/>
      <c r="GT616" s="4"/>
      <c r="GU616" s="4"/>
      <c r="GV616" s="4"/>
      <c r="GW616" s="4"/>
      <c r="GX616" s="4"/>
    </row>
    <row r="617">
      <c r="A617" s="2" t="s">
        <v>3913</v>
      </c>
      <c r="B617" s="2" t="s">
        <v>667</v>
      </c>
      <c r="C617" s="2" t="s">
        <v>1803</v>
      </c>
      <c r="D617" s="2" t="s">
        <v>620</v>
      </c>
      <c r="E617" s="2" t="s">
        <v>621</v>
      </c>
      <c r="F617" s="2" t="s">
        <v>3901</v>
      </c>
      <c r="G617" s="2" t="s">
        <v>3901</v>
      </c>
      <c r="H617" s="2" t="s">
        <v>3901</v>
      </c>
      <c r="I617" s="2" t="s">
        <v>3906</v>
      </c>
      <c r="J617" s="2" t="s">
        <v>682</v>
      </c>
      <c r="K617" s="2" t="s">
        <v>223</v>
      </c>
      <c r="L617" s="3">
        <v>81.6</v>
      </c>
      <c r="M617" s="3">
        <v>85.68</v>
      </c>
      <c r="N617" s="3">
        <v>169.99</v>
      </c>
      <c r="O617" s="2" t="s">
        <v>224</v>
      </c>
      <c r="P617" s="2" t="s">
        <v>225</v>
      </c>
      <c r="Q617" s="2" t="s">
        <v>226</v>
      </c>
      <c r="R617" s="2" t="s">
        <v>227</v>
      </c>
      <c r="S617" s="2" t="s">
        <v>3907</v>
      </c>
      <c r="T617" s="2" t="s">
        <v>286</v>
      </c>
      <c r="U617" s="2" t="s">
        <v>1350</v>
      </c>
      <c r="V617" s="2" t="s">
        <v>1045</v>
      </c>
      <c r="W617" s="2" t="s">
        <v>1045</v>
      </c>
      <c r="X617" s="2" t="s">
        <v>231</v>
      </c>
      <c r="Y617" s="2" t="s">
        <v>2322</v>
      </c>
      <c r="Z617" s="4">
        <v>30</v>
      </c>
      <c r="AA617" s="4">
        <f>=ROUNDDOWN(10,0)</f>
      </c>
      <c r="AB617" s="5">
        <v>3</v>
      </c>
      <c r="AC617" s="2" t="s">
        <v>810</v>
      </c>
      <c r="AD617" s="4">
        <v>62</v>
      </c>
      <c r="AE617" s="4">
        <v>62</v>
      </c>
      <c r="AF617" s="6">
        <v>70</v>
      </c>
      <c r="AG617" s="6"/>
      <c r="AH617" s="7">
        <v>1</v>
      </c>
      <c r="AI617" s="4"/>
      <c r="AJ617" s="4">
        <f>=ROUNDDOWN({0},0)</f>
      </c>
      <c r="AK617" s="5"/>
      <c r="AL617" s="2" t="s">
        <v>227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227</v>
      </c>
      <c r="AW617" s="8" t="s">
        <v>227</v>
      </c>
      <c r="AX617" s="4" t="s">
        <v>227</v>
      </c>
      <c r="AY617" s="8" t="s">
        <v>227</v>
      </c>
      <c r="AZ617" s="7" t="s">
        <v>227</v>
      </c>
      <c r="BA617" s="7" t="s">
        <v>227</v>
      </c>
      <c r="BB617" s="7"/>
      <c r="BC617" s="4" t="s">
        <v>227</v>
      </c>
      <c r="BD617" s="8" t="s">
        <v>227</v>
      </c>
      <c r="BE617" s="4" t="s">
        <v>227</v>
      </c>
      <c r="BF617" s="8" t="s">
        <v>227</v>
      </c>
      <c r="BG617" s="7" t="s">
        <v>227</v>
      </c>
      <c r="BH617" s="7" t="s">
        <v>227</v>
      </c>
      <c r="BI617" s="7"/>
      <c r="BJ617" s="4">
        <v>14</v>
      </c>
      <c r="BK617" s="8">
        <v>1142.08</v>
      </c>
      <c r="BL617" s="2" t="s">
        <v>3914</v>
      </c>
      <c r="BM617" s="7"/>
      <c r="BN617" s="7"/>
      <c r="BO617" s="4"/>
      <c r="BP617" s="8"/>
      <c r="BQ617" s="4"/>
      <c r="BR617" s="8"/>
      <c r="BS617" s="7"/>
      <c r="BT617" s="7"/>
      <c r="BU617" s="2" t="s">
        <v>3915</v>
      </c>
      <c r="BV617" s="2" t="s">
        <v>227</v>
      </c>
      <c r="BW617" s="2" t="s">
        <v>227</v>
      </c>
      <c r="BX617" s="2" t="s">
        <v>235</v>
      </c>
      <c r="BY617" s="2" t="s">
        <v>236</v>
      </c>
      <c r="BZ617" s="2" t="s">
        <v>224</v>
      </c>
      <c r="CA617" s="2" t="s">
        <v>2322</v>
      </c>
      <c r="CB617" s="2" t="s">
        <v>1612</v>
      </c>
      <c r="CC617" s="2" t="s">
        <v>239</v>
      </c>
      <c r="CD617" s="2" t="s">
        <v>227</v>
      </c>
      <c r="CE617" s="4">
        <v>30</v>
      </c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>
        <v>62</v>
      </c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  <c r="FM617" s="4"/>
      <c r="FN617" s="4"/>
      <c r="FO617" s="4"/>
      <c r="FP617" s="4"/>
      <c r="FQ617" s="4"/>
      <c r="FR617" s="4"/>
      <c r="FS617" s="4"/>
      <c r="FT617" s="4"/>
      <c r="FU617" s="4"/>
      <c r="FV617" s="4"/>
      <c r="FW617" s="4"/>
      <c r="FX617" s="4"/>
      <c r="FY617" s="4"/>
      <c r="FZ617" s="4"/>
      <c r="GA617" s="4"/>
      <c r="GB617" s="4"/>
      <c r="GC617" s="4"/>
      <c r="GD617" s="4"/>
      <c r="GE617" s="4"/>
      <c r="GF617" s="4"/>
      <c r="GG617" s="4"/>
      <c r="GH617" s="4"/>
      <c r="GI617" s="4"/>
      <c r="GJ617" s="4"/>
      <c r="GK617" s="4"/>
      <c r="GL617" s="4"/>
      <c r="GM617" s="4"/>
      <c r="GN617" s="4"/>
      <c r="GO617" s="4"/>
      <c r="GP617" s="4"/>
      <c r="GQ617" s="4"/>
      <c r="GR617" s="4"/>
      <c r="GS617" s="4"/>
      <c r="GT617" s="4"/>
      <c r="GU617" s="4"/>
      <c r="GV617" s="4"/>
      <c r="GW617" s="4"/>
      <c r="GX617" s="4"/>
    </row>
    <row r="618">
      <c r="A618" s="2" t="s">
        <v>3916</v>
      </c>
      <c r="B618" s="2" t="s">
        <v>667</v>
      </c>
      <c r="C618" s="2" t="s">
        <v>1803</v>
      </c>
      <c r="D618" s="2" t="s">
        <v>687</v>
      </c>
      <c r="E618" s="2" t="s">
        <v>699</v>
      </c>
      <c r="F618" s="2" t="s">
        <v>3901</v>
      </c>
      <c r="G618" s="2" t="s">
        <v>3901</v>
      </c>
      <c r="H618" s="2" t="s">
        <v>3901</v>
      </c>
      <c r="I618" s="2" t="s">
        <v>3902</v>
      </c>
      <c r="J618" s="2" t="s">
        <v>384</v>
      </c>
      <c r="K618" s="2" t="s">
        <v>223</v>
      </c>
      <c r="L618" s="3">
        <v>105.6</v>
      </c>
      <c r="M618" s="3">
        <v>110.88</v>
      </c>
      <c r="N618" s="3">
        <v>219.99</v>
      </c>
      <c r="O618" s="2" t="s">
        <v>224</v>
      </c>
      <c r="P618" s="2" t="s">
        <v>225</v>
      </c>
      <c r="Q618" s="2" t="s">
        <v>226</v>
      </c>
      <c r="R618" s="2" t="s">
        <v>227</v>
      </c>
      <c r="S618" s="2" t="s">
        <v>3903</v>
      </c>
      <c r="T618" s="2" t="s">
        <v>286</v>
      </c>
      <c r="U618" s="2" t="s">
        <v>594</v>
      </c>
      <c r="V618" s="2" t="s">
        <v>1045</v>
      </c>
      <c r="W618" s="2" t="s">
        <v>1045</v>
      </c>
      <c r="X618" s="2" t="s">
        <v>231</v>
      </c>
      <c r="Y618" s="2" t="s">
        <v>3822</v>
      </c>
      <c r="Z618" s="4"/>
      <c r="AA618" s="4">
        <f>=ROUNDDOWN({0},0)</f>
      </c>
      <c r="AB618" s="5">
        <v>5</v>
      </c>
      <c r="AC618" s="2" t="s">
        <v>2484</v>
      </c>
      <c r="AD618" s="4">
        <v>40</v>
      </c>
      <c r="AE618" s="4">
        <v>135</v>
      </c>
      <c r="AF618" s="6">
        <v>70</v>
      </c>
      <c r="AG618" s="6"/>
      <c r="AH618" s="7">
        <v>0</v>
      </c>
      <c r="AI618" s="4"/>
      <c r="AJ618" s="4">
        <f>=ROUNDDOWN({0},0)</f>
      </c>
      <c r="AK618" s="5"/>
      <c r="AL618" s="2" t="s">
        <v>227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227</v>
      </c>
      <c r="AW618" s="8" t="s">
        <v>227</v>
      </c>
      <c r="AX618" s="4" t="s">
        <v>227</v>
      </c>
      <c r="AY618" s="8" t="s">
        <v>227</v>
      </c>
      <c r="AZ618" s="7" t="s">
        <v>227</v>
      </c>
      <c r="BA618" s="7" t="s">
        <v>227</v>
      </c>
      <c r="BB618" s="7"/>
      <c r="BC618" s="4" t="s">
        <v>227</v>
      </c>
      <c r="BD618" s="8" t="s">
        <v>227</v>
      </c>
      <c r="BE618" s="4" t="s">
        <v>227</v>
      </c>
      <c r="BF618" s="8" t="s">
        <v>227</v>
      </c>
      <c r="BG618" s="7" t="s">
        <v>227</v>
      </c>
      <c r="BH618" s="7" t="s">
        <v>227</v>
      </c>
      <c r="BI618" s="7"/>
      <c r="BJ618" s="4">
        <v>1</v>
      </c>
      <c r="BK618" s="8">
        <v>121.44</v>
      </c>
      <c r="BL618" s="2" t="s">
        <v>498</v>
      </c>
      <c r="BM618" s="7"/>
      <c r="BN618" s="7"/>
      <c r="BO618" s="4"/>
      <c r="BP618" s="8"/>
      <c r="BQ618" s="4"/>
      <c r="BR618" s="8"/>
      <c r="BS618" s="7"/>
      <c r="BT618" s="7"/>
      <c r="BU618" s="2" t="s">
        <v>3917</v>
      </c>
      <c r="BV618" s="2" t="s">
        <v>227</v>
      </c>
      <c r="BW618" s="2" t="s">
        <v>227</v>
      </c>
      <c r="BX618" s="2" t="s">
        <v>235</v>
      </c>
      <c r="BY618" s="2" t="s">
        <v>236</v>
      </c>
      <c r="BZ618" s="2" t="s">
        <v>224</v>
      </c>
      <c r="CA618" s="2" t="s">
        <v>2322</v>
      </c>
      <c r="CB618" s="2" t="s">
        <v>567</v>
      </c>
      <c r="CC618" s="2" t="s">
        <v>239</v>
      </c>
      <c r="CD618" s="2" t="s">
        <v>227</v>
      </c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>
        <v>40</v>
      </c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>
        <v>95</v>
      </c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/>
      <c r="FH618" s="4"/>
      <c r="FI618" s="4"/>
      <c r="FJ618" s="4"/>
      <c r="FK618" s="4"/>
      <c r="FL618" s="4"/>
      <c r="FM618" s="4"/>
      <c r="FN618" s="4"/>
      <c r="FO618" s="4"/>
      <c r="FP618" s="4"/>
      <c r="FQ618" s="4"/>
      <c r="FR618" s="4"/>
      <c r="FS618" s="4"/>
      <c r="FT618" s="4"/>
      <c r="FU618" s="4"/>
      <c r="FV618" s="4"/>
      <c r="FW618" s="4"/>
      <c r="FX618" s="4"/>
      <c r="FY618" s="4"/>
      <c r="FZ618" s="4"/>
      <c r="GA618" s="4"/>
      <c r="GB618" s="4"/>
      <c r="GC618" s="4"/>
      <c r="GD618" s="4"/>
      <c r="GE618" s="4"/>
      <c r="GF618" s="4"/>
      <c r="GG618" s="4"/>
      <c r="GH618" s="4"/>
      <c r="GI618" s="4"/>
      <c r="GJ618" s="4"/>
      <c r="GK618" s="4"/>
      <c r="GL618" s="4"/>
      <c r="GM618" s="4"/>
      <c r="GN618" s="4"/>
      <c r="GO618" s="4"/>
      <c r="GP618" s="4"/>
      <c r="GQ618" s="4"/>
      <c r="GR618" s="4"/>
      <c r="GS618" s="4"/>
      <c r="GT618" s="4"/>
      <c r="GU618" s="4"/>
      <c r="GV618" s="4"/>
      <c r="GW618" s="4"/>
      <c r="GX618" s="4"/>
    </row>
    <row r="619">
      <c r="A619" s="2" t="s">
        <v>3918</v>
      </c>
      <c r="B619" s="2" t="s">
        <v>573</v>
      </c>
      <c r="C619" s="2" t="s">
        <v>360</v>
      </c>
      <c r="D619" s="2" t="s">
        <v>832</v>
      </c>
      <c r="E619" s="2" t="s">
        <v>833</v>
      </c>
      <c r="F619" s="2" t="s">
        <v>3919</v>
      </c>
      <c r="G619" s="2" t="s">
        <v>3304</v>
      </c>
      <c r="H619" s="2" t="s">
        <v>590</v>
      </c>
      <c r="I619" s="2" t="s">
        <v>3920</v>
      </c>
      <c r="J619" s="2" t="s">
        <v>548</v>
      </c>
      <c r="K619" s="2" t="s">
        <v>549</v>
      </c>
      <c r="L619" s="3">
        <v>147.25</v>
      </c>
      <c r="M619" s="3">
        <v>154.61</v>
      </c>
      <c r="N619" s="3">
        <v>309</v>
      </c>
      <c r="O619" s="2" t="s">
        <v>224</v>
      </c>
      <c r="P619" s="2" t="s">
        <v>225</v>
      </c>
      <c r="Q619" s="2" t="s">
        <v>226</v>
      </c>
      <c r="R619" s="2" t="s">
        <v>227</v>
      </c>
      <c r="S619" s="2" t="s">
        <v>3921</v>
      </c>
      <c r="T619" s="2" t="s">
        <v>227</v>
      </c>
      <c r="U619" s="2" t="s">
        <v>227</v>
      </c>
      <c r="V619" s="2" t="s">
        <v>629</v>
      </c>
      <c r="W619" s="2" t="s">
        <v>581</v>
      </c>
      <c r="X619" s="2" t="s">
        <v>227</v>
      </c>
      <c r="Y619" s="2" t="s">
        <v>232</v>
      </c>
      <c r="Z619" s="4">
        <v>130</v>
      </c>
      <c r="AA619" s="4">
        <f>=ROUNDDOWN(18.5714285714286,0)</f>
      </c>
      <c r="AB619" s="5">
        <v>7</v>
      </c>
      <c r="AC619" s="2" t="s">
        <v>227</v>
      </c>
      <c r="AD619" s="4"/>
      <c r="AE619" s="4"/>
      <c r="AF619" s="6">
        <v>74</v>
      </c>
      <c r="AG619" s="6"/>
      <c r="AH619" s="7">
        <v>1</v>
      </c>
      <c r="AI619" s="4"/>
      <c r="AJ619" s="4">
        <f>=ROUNDDOWN({0},0)</f>
      </c>
      <c r="AK619" s="5"/>
      <c r="AL619" s="2" t="s">
        <v>227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/>
      <c r="AW619" s="8"/>
      <c r="AX619" s="4"/>
      <c r="AY619" s="8"/>
      <c r="AZ619" s="7"/>
      <c r="BA619" s="7"/>
      <c r="BB619" s="7"/>
      <c r="BC619" s="4"/>
      <c r="BD619" s="8"/>
      <c r="BE619" s="4"/>
      <c r="BF619" s="8"/>
      <c r="BG619" s="7"/>
      <c r="BH619" s="7"/>
      <c r="BI619" s="7"/>
      <c r="BJ619" s="4">
        <v>41</v>
      </c>
      <c r="BK619" s="8">
        <v>6347.81</v>
      </c>
      <c r="BL619" s="2" t="s">
        <v>3922</v>
      </c>
      <c r="BM619" s="7"/>
      <c r="BN619" s="7"/>
      <c r="BO619" s="4"/>
      <c r="BP619" s="8"/>
      <c r="BQ619" s="4"/>
      <c r="BR619" s="8"/>
      <c r="BS619" s="7"/>
      <c r="BT619" s="7"/>
      <c r="BU619" s="2" t="s">
        <v>3923</v>
      </c>
      <c r="BV619" s="2" t="s">
        <v>227</v>
      </c>
      <c r="BW619" s="2" t="s">
        <v>227</v>
      </c>
      <c r="BX619" s="2" t="s">
        <v>235</v>
      </c>
      <c r="BY619" s="2" t="s">
        <v>236</v>
      </c>
      <c r="BZ619" s="2" t="s">
        <v>224</v>
      </c>
      <c r="CA619" s="2" t="s">
        <v>237</v>
      </c>
      <c r="CB619" s="2" t="s">
        <v>3924</v>
      </c>
      <c r="CC619" s="2" t="s">
        <v>239</v>
      </c>
      <c r="CD619" s="2" t="s">
        <v>227</v>
      </c>
      <c r="CE619" s="4"/>
      <c r="CF619" s="4">
        <v>130</v>
      </c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/>
      <c r="FH619" s="4"/>
      <c r="FI619" s="4"/>
      <c r="FJ619" s="4"/>
      <c r="FK619" s="4"/>
      <c r="FL619" s="4"/>
      <c r="FM619" s="4"/>
      <c r="FN619" s="4"/>
      <c r="FO619" s="4"/>
      <c r="FP619" s="4"/>
      <c r="FQ619" s="4"/>
      <c r="FR619" s="4"/>
      <c r="FS619" s="4"/>
      <c r="FT619" s="4"/>
      <c r="FU619" s="4"/>
      <c r="FV619" s="4"/>
      <c r="FW619" s="4"/>
      <c r="FX619" s="4"/>
      <c r="FY619" s="4"/>
      <c r="FZ619" s="4"/>
      <c r="GA619" s="4"/>
      <c r="GB619" s="4"/>
      <c r="GC619" s="4"/>
      <c r="GD619" s="4"/>
      <c r="GE619" s="4"/>
      <c r="GF619" s="4"/>
      <c r="GG619" s="4"/>
      <c r="GH619" s="4"/>
      <c r="GI619" s="4"/>
      <c r="GJ619" s="4"/>
      <c r="GK619" s="4"/>
      <c r="GL619" s="4"/>
      <c r="GM619" s="4"/>
      <c r="GN619" s="4"/>
      <c r="GO619" s="4"/>
      <c r="GP619" s="4"/>
      <c r="GQ619" s="4"/>
      <c r="GR619" s="4"/>
      <c r="GS619" s="4"/>
      <c r="GT619" s="4"/>
      <c r="GU619" s="4"/>
      <c r="GV619" s="4"/>
      <c r="GW619" s="4"/>
      <c r="GX619" s="4"/>
    </row>
    <row r="620">
      <c r="A620" s="2" t="s">
        <v>3925</v>
      </c>
      <c r="B620" s="2" t="s">
        <v>715</v>
      </c>
      <c r="C620" s="2" t="s">
        <v>360</v>
      </c>
      <c r="D620" s="2" t="s">
        <v>716</v>
      </c>
      <c r="E620" s="2" t="s">
        <v>971</v>
      </c>
      <c r="F620" s="2" t="s">
        <v>3926</v>
      </c>
      <c r="G620" s="2" t="s">
        <v>3927</v>
      </c>
      <c r="H620" s="2" t="s">
        <v>3928</v>
      </c>
      <c r="I620" s="2" t="s">
        <v>3929</v>
      </c>
      <c r="J620" s="2" t="s">
        <v>3930</v>
      </c>
      <c r="K620" s="2" t="s">
        <v>737</v>
      </c>
      <c r="L620" s="3">
        <v>22.75</v>
      </c>
      <c r="M620" s="3">
        <v>23.89</v>
      </c>
      <c r="N620" s="3">
        <v>47.99</v>
      </c>
      <c r="O620" s="2" t="s">
        <v>224</v>
      </c>
      <c r="P620" s="2" t="s">
        <v>225</v>
      </c>
      <c r="Q620" s="2" t="s">
        <v>226</v>
      </c>
      <c r="R620" s="2" t="s">
        <v>227</v>
      </c>
      <c r="S620" s="2" t="s">
        <v>3931</v>
      </c>
      <c r="T620" s="2" t="s">
        <v>227</v>
      </c>
      <c r="U620" s="2" t="s">
        <v>1044</v>
      </c>
      <c r="V620" s="2" t="s">
        <v>230</v>
      </c>
      <c r="W620" s="2" t="s">
        <v>231</v>
      </c>
      <c r="X620" s="2" t="s">
        <v>725</v>
      </c>
      <c r="Y620" s="2" t="s">
        <v>3932</v>
      </c>
      <c r="Z620" s="4">
        <v>106</v>
      </c>
      <c r="AA620" s="4">
        <f>=ROUNDDOWN(6.23529411764706,0)</f>
      </c>
      <c r="AB620" s="5">
        <v>17</v>
      </c>
      <c r="AC620" s="2" t="s">
        <v>150</v>
      </c>
      <c r="AD620" s="4">
        <v>452</v>
      </c>
      <c r="AE620" s="4">
        <v>452</v>
      </c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227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 t="s">
        <v>227</v>
      </c>
      <c r="AW620" s="8" t="s">
        <v>227</v>
      </c>
      <c r="AX620" s="4" t="s">
        <v>227</v>
      </c>
      <c r="AY620" s="8" t="s">
        <v>227</v>
      </c>
      <c r="AZ620" s="7" t="s">
        <v>227</v>
      </c>
      <c r="BA620" s="7" t="s">
        <v>227</v>
      </c>
      <c r="BB620" s="7"/>
      <c r="BC620" s="4" t="s">
        <v>227</v>
      </c>
      <c r="BD620" s="8" t="s">
        <v>227</v>
      </c>
      <c r="BE620" s="4" t="s">
        <v>227</v>
      </c>
      <c r="BF620" s="8" t="s">
        <v>227</v>
      </c>
      <c r="BG620" s="7" t="s">
        <v>227</v>
      </c>
      <c r="BH620" s="7" t="s">
        <v>227</v>
      </c>
      <c r="BI620" s="7"/>
      <c r="BJ620" s="4">
        <v>70</v>
      </c>
      <c r="BK620" s="8">
        <v>2248.03</v>
      </c>
      <c r="BL620" s="2" t="s">
        <v>3933</v>
      </c>
      <c r="BM620" s="7"/>
      <c r="BN620" s="7"/>
      <c r="BO620" s="4"/>
      <c r="BP620" s="8"/>
      <c r="BQ620" s="4"/>
      <c r="BR620" s="8"/>
      <c r="BS620" s="7"/>
      <c r="BT620" s="7"/>
      <c r="BU620" s="2" t="s">
        <v>3934</v>
      </c>
      <c r="BV620" s="2" t="s">
        <v>227</v>
      </c>
      <c r="BW620" s="2" t="s">
        <v>227</v>
      </c>
      <c r="BX620" s="2" t="s">
        <v>235</v>
      </c>
      <c r="BY620" s="2" t="s">
        <v>236</v>
      </c>
      <c r="BZ620" s="2" t="s">
        <v>224</v>
      </c>
      <c r="CA620" s="2" t="s">
        <v>3935</v>
      </c>
      <c r="CB620" s="2" t="s">
        <v>3936</v>
      </c>
      <c r="CC620" s="2" t="s">
        <v>239</v>
      </c>
      <c r="CD620" s="2" t="s">
        <v>227</v>
      </c>
      <c r="CE620" s="4">
        <v>106</v>
      </c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>
        <v>452</v>
      </c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/>
      <c r="FH620" s="4"/>
      <c r="FI620" s="4"/>
      <c r="FJ620" s="4"/>
      <c r="FK620" s="4"/>
      <c r="FL620" s="4"/>
      <c r="FM620" s="4"/>
      <c r="FN620" s="4"/>
      <c r="FO620" s="4"/>
      <c r="FP620" s="4"/>
      <c r="FQ620" s="4"/>
      <c r="FR620" s="4"/>
      <c r="FS620" s="4"/>
      <c r="FT620" s="4"/>
      <c r="FU620" s="4"/>
      <c r="FV620" s="4"/>
      <c r="FW620" s="4"/>
      <c r="FX620" s="4"/>
      <c r="FY620" s="4"/>
      <c r="FZ620" s="4"/>
      <c r="GA620" s="4"/>
      <c r="GB620" s="4"/>
      <c r="GC620" s="4"/>
      <c r="GD620" s="4"/>
      <c r="GE620" s="4"/>
      <c r="GF620" s="4"/>
      <c r="GG620" s="4"/>
      <c r="GH620" s="4"/>
      <c r="GI620" s="4"/>
      <c r="GJ620" s="4"/>
      <c r="GK620" s="4"/>
      <c r="GL620" s="4"/>
      <c r="GM620" s="4"/>
      <c r="GN620" s="4"/>
      <c r="GO620" s="4"/>
      <c r="GP620" s="4"/>
      <c r="GQ620" s="4"/>
      <c r="GR620" s="4"/>
      <c r="GS620" s="4"/>
      <c r="GT620" s="4"/>
      <c r="GU620" s="4"/>
      <c r="GV620" s="4"/>
      <c r="GW620" s="4"/>
      <c r="GX620" s="4"/>
    </row>
    <row r="621">
      <c r="A621" s="2" t="s">
        <v>3937</v>
      </c>
      <c r="B621" s="2" t="s">
        <v>715</v>
      </c>
      <c r="C621" s="2" t="s">
        <v>360</v>
      </c>
      <c r="D621" s="2" t="s">
        <v>716</v>
      </c>
      <c r="E621" s="2" t="s">
        <v>1924</v>
      </c>
      <c r="F621" s="2" t="s">
        <v>3926</v>
      </c>
      <c r="G621" s="2" t="s">
        <v>3927</v>
      </c>
      <c r="H621" s="2" t="s">
        <v>3928</v>
      </c>
      <c r="I621" s="2" t="s">
        <v>3938</v>
      </c>
      <c r="J621" s="2" t="s">
        <v>3176</v>
      </c>
      <c r="K621" s="2" t="s">
        <v>737</v>
      </c>
      <c r="L621" s="3">
        <v>32.75</v>
      </c>
      <c r="M621" s="3">
        <v>34.39</v>
      </c>
      <c r="N621" s="3">
        <v>69.99</v>
      </c>
      <c r="O621" s="2" t="s">
        <v>224</v>
      </c>
      <c r="P621" s="2" t="s">
        <v>580</v>
      </c>
      <c r="Q621" s="2" t="s">
        <v>226</v>
      </c>
      <c r="R621" s="2" t="s">
        <v>227</v>
      </c>
      <c r="S621" s="2" t="s">
        <v>3931</v>
      </c>
      <c r="T621" s="2" t="s">
        <v>375</v>
      </c>
      <c r="U621" s="2" t="s">
        <v>552</v>
      </c>
      <c r="V621" s="2" t="s">
        <v>230</v>
      </c>
      <c r="W621" s="2" t="s">
        <v>231</v>
      </c>
      <c r="X621" s="2" t="s">
        <v>227</v>
      </c>
      <c r="Y621" s="2" t="s">
        <v>3939</v>
      </c>
      <c r="Z621" s="4">
        <v>3</v>
      </c>
      <c r="AA621" s="4">
        <f>=ROUNDDOWN(0.375,0)</f>
      </c>
      <c r="AB621" s="5">
        <v>8</v>
      </c>
      <c r="AC621" s="2" t="s">
        <v>150</v>
      </c>
      <c r="AD621" s="4">
        <v>300</v>
      </c>
      <c r="AE621" s="4">
        <v>300</v>
      </c>
      <c r="AF621" s="6">
        <v>65</v>
      </c>
      <c r="AG621" s="6"/>
      <c r="AH621" s="7">
        <v>0</v>
      </c>
      <c r="AI621" s="4"/>
      <c r="AJ621" s="4">
        <f>=ROUNDDOWN({0},0)</f>
      </c>
      <c r="AK621" s="5"/>
      <c r="AL621" s="2" t="s">
        <v>227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227</v>
      </c>
      <c r="AW621" s="8" t="s">
        <v>227</v>
      </c>
      <c r="AX621" s="4" t="s">
        <v>227</v>
      </c>
      <c r="AY621" s="8" t="s">
        <v>227</v>
      </c>
      <c r="AZ621" s="7" t="s">
        <v>227</v>
      </c>
      <c r="BA621" s="7" t="s">
        <v>227</v>
      </c>
      <c r="BB621" s="7"/>
      <c r="BC621" s="4" t="s">
        <v>227</v>
      </c>
      <c r="BD621" s="8" t="s">
        <v>227</v>
      </c>
      <c r="BE621" s="4" t="s">
        <v>227</v>
      </c>
      <c r="BF621" s="8" t="s">
        <v>227</v>
      </c>
      <c r="BG621" s="7" t="s">
        <v>227</v>
      </c>
      <c r="BH621" s="7" t="s">
        <v>227</v>
      </c>
      <c r="BI621" s="7"/>
      <c r="BJ621" s="4"/>
      <c r="BK621" s="8"/>
      <c r="BL621" s="2" t="s">
        <v>3646</v>
      </c>
      <c r="BM621" s="7"/>
      <c r="BN621" s="7"/>
      <c r="BO621" s="4"/>
      <c r="BP621" s="8"/>
      <c r="BQ621" s="4"/>
      <c r="BR621" s="8"/>
      <c r="BS621" s="7"/>
      <c r="BT621" s="7"/>
      <c r="BU621" s="2" t="s">
        <v>3940</v>
      </c>
      <c r="BV621" s="2" t="s">
        <v>227</v>
      </c>
      <c r="BW621" s="2" t="s">
        <v>227</v>
      </c>
      <c r="BX621" s="2" t="s">
        <v>235</v>
      </c>
      <c r="BY621" s="2" t="s">
        <v>236</v>
      </c>
      <c r="BZ621" s="2" t="s">
        <v>224</v>
      </c>
      <c r="CA621" s="2" t="s">
        <v>3941</v>
      </c>
      <c r="CB621" s="2" t="s">
        <v>3942</v>
      </c>
      <c r="CC621" s="2" t="s">
        <v>239</v>
      </c>
      <c r="CD621" s="2" t="s">
        <v>227</v>
      </c>
      <c r="CE621" s="4">
        <v>3</v>
      </c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>
        <v>300</v>
      </c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/>
      <c r="FH621" s="4"/>
      <c r="FI621" s="4"/>
      <c r="FJ621" s="4"/>
      <c r="FK621" s="4"/>
      <c r="FL621" s="4"/>
      <c r="FM621" s="4"/>
      <c r="FN621" s="4"/>
      <c r="FO621" s="4"/>
      <c r="FP621" s="4"/>
      <c r="FQ621" s="4"/>
      <c r="FR621" s="4"/>
      <c r="FS621" s="4"/>
      <c r="FT621" s="4"/>
      <c r="FU621" s="4"/>
      <c r="FV621" s="4"/>
      <c r="FW621" s="4"/>
      <c r="FX621" s="4"/>
      <c r="FY621" s="4"/>
      <c r="FZ621" s="4"/>
      <c r="GA621" s="4"/>
      <c r="GB621" s="4"/>
      <c r="GC621" s="4"/>
      <c r="GD621" s="4"/>
      <c r="GE621" s="4"/>
      <c r="GF621" s="4"/>
      <c r="GG621" s="4"/>
      <c r="GH621" s="4"/>
      <c r="GI621" s="4"/>
      <c r="GJ621" s="4"/>
      <c r="GK621" s="4"/>
      <c r="GL621" s="4"/>
      <c r="GM621" s="4"/>
      <c r="GN621" s="4"/>
      <c r="GO621" s="4"/>
      <c r="GP621" s="4"/>
      <c r="GQ621" s="4"/>
      <c r="GR621" s="4"/>
      <c r="GS621" s="4"/>
      <c r="GT621" s="4"/>
      <c r="GU621" s="4"/>
      <c r="GV621" s="4"/>
      <c r="GW621" s="4"/>
      <c r="GX621" s="4"/>
    </row>
    <row r="622">
      <c r="A622" s="2" t="s">
        <v>3943</v>
      </c>
      <c r="B622" s="2" t="s">
        <v>715</v>
      </c>
      <c r="C622" s="2" t="s">
        <v>360</v>
      </c>
      <c r="D622" s="2" t="s">
        <v>716</v>
      </c>
      <c r="E622" s="2" t="s">
        <v>1924</v>
      </c>
      <c r="F622" s="2" t="s">
        <v>3926</v>
      </c>
      <c r="G622" s="2" t="s">
        <v>3927</v>
      </c>
      <c r="H622" s="2" t="s">
        <v>3928</v>
      </c>
      <c r="I622" s="2" t="s">
        <v>3938</v>
      </c>
      <c r="J622" s="2" t="s">
        <v>3180</v>
      </c>
      <c r="K622" s="2" t="s">
        <v>737</v>
      </c>
      <c r="L622" s="3">
        <v>39.65</v>
      </c>
      <c r="M622" s="3">
        <v>41.63</v>
      </c>
      <c r="N622" s="3">
        <v>83.99</v>
      </c>
      <c r="O622" s="2" t="s">
        <v>224</v>
      </c>
      <c r="P622" s="2" t="s">
        <v>580</v>
      </c>
      <c r="Q622" s="2" t="s">
        <v>226</v>
      </c>
      <c r="R622" s="2" t="s">
        <v>227</v>
      </c>
      <c r="S622" s="2" t="s">
        <v>3931</v>
      </c>
      <c r="T622" s="2" t="s">
        <v>375</v>
      </c>
      <c r="U622" s="2" t="s">
        <v>552</v>
      </c>
      <c r="V622" s="2" t="s">
        <v>230</v>
      </c>
      <c r="W622" s="2" t="s">
        <v>231</v>
      </c>
      <c r="X622" s="2" t="s">
        <v>227</v>
      </c>
      <c r="Y622" s="2" t="s">
        <v>3939</v>
      </c>
      <c r="Z622" s="4">
        <v>47</v>
      </c>
      <c r="AA622" s="4">
        <f>=ROUNDDOWN(7.83333333333333,0)</f>
      </c>
      <c r="AB622" s="5">
        <v>6</v>
      </c>
      <c r="AC622" s="2" t="s">
        <v>150</v>
      </c>
      <c r="AD622" s="4">
        <v>126</v>
      </c>
      <c r="AE622" s="4">
        <v>126</v>
      </c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227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227</v>
      </c>
      <c r="AW622" s="8" t="s">
        <v>227</v>
      </c>
      <c r="AX622" s="4" t="s">
        <v>227</v>
      </c>
      <c r="AY622" s="8" t="s">
        <v>227</v>
      </c>
      <c r="AZ622" s="7" t="s">
        <v>227</v>
      </c>
      <c r="BA622" s="7" t="s">
        <v>227</v>
      </c>
      <c r="BB622" s="7"/>
      <c r="BC622" s="4" t="s">
        <v>227</v>
      </c>
      <c r="BD622" s="8" t="s">
        <v>227</v>
      </c>
      <c r="BE622" s="4" t="s">
        <v>227</v>
      </c>
      <c r="BF622" s="8" t="s">
        <v>227</v>
      </c>
      <c r="BG622" s="7" t="s">
        <v>227</v>
      </c>
      <c r="BH622" s="7" t="s">
        <v>227</v>
      </c>
      <c r="BI622" s="7"/>
      <c r="BJ622" s="4">
        <v>37</v>
      </c>
      <c r="BK622" s="8">
        <v>1637.68</v>
      </c>
      <c r="BL622" s="2" t="s">
        <v>3944</v>
      </c>
      <c r="BM622" s="7"/>
      <c r="BN622" s="7"/>
      <c r="BO622" s="4"/>
      <c r="BP622" s="8"/>
      <c r="BQ622" s="4"/>
      <c r="BR622" s="8"/>
      <c r="BS622" s="7"/>
      <c r="BT622" s="7"/>
      <c r="BU622" s="2" t="s">
        <v>3945</v>
      </c>
      <c r="BV622" s="2" t="s">
        <v>227</v>
      </c>
      <c r="BW622" s="2" t="s">
        <v>227</v>
      </c>
      <c r="BX622" s="2" t="s">
        <v>235</v>
      </c>
      <c r="BY622" s="2" t="s">
        <v>236</v>
      </c>
      <c r="BZ622" s="2" t="s">
        <v>224</v>
      </c>
      <c r="CA622" s="2" t="s">
        <v>3941</v>
      </c>
      <c r="CB622" s="2" t="s">
        <v>3946</v>
      </c>
      <c r="CC622" s="2" t="s">
        <v>239</v>
      </c>
      <c r="CD622" s="2" t="s">
        <v>227</v>
      </c>
      <c r="CE622" s="4">
        <v>47</v>
      </c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>
        <v>126</v>
      </c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/>
      <c r="FH622" s="4"/>
      <c r="FI622" s="4"/>
      <c r="FJ622" s="4"/>
      <c r="FK622" s="4"/>
      <c r="FL622" s="4"/>
      <c r="FM622" s="4"/>
      <c r="FN622" s="4"/>
      <c r="FO622" s="4"/>
      <c r="FP622" s="4"/>
      <c r="FQ622" s="4"/>
      <c r="FR622" s="4"/>
      <c r="FS622" s="4"/>
      <c r="FT622" s="4"/>
      <c r="FU622" s="4"/>
      <c r="FV622" s="4"/>
      <c r="FW622" s="4"/>
      <c r="FX622" s="4"/>
      <c r="FY622" s="4"/>
      <c r="FZ622" s="4"/>
      <c r="GA622" s="4"/>
      <c r="GB622" s="4"/>
      <c r="GC622" s="4"/>
      <c r="GD622" s="4"/>
      <c r="GE622" s="4"/>
      <c r="GF622" s="4"/>
      <c r="GG622" s="4"/>
      <c r="GH622" s="4"/>
      <c r="GI622" s="4"/>
      <c r="GJ622" s="4"/>
      <c r="GK622" s="4"/>
      <c r="GL622" s="4"/>
      <c r="GM622" s="4"/>
      <c r="GN622" s="4"/>
      <c r="GO622" s="4"/>
      <c r="GP622" s="4"/>
      <c r="GQ622" s="4"/>
      <c r="GR622" s="4"/>
      <c r="GS622" s="4"/>
      <c r="GT622" s="4"/>
      <c r="GU622" s="4"/>
      <c r="GV622" s="4"/>
      <c r="GW622" s="4"/>
      <c r="GX622" s="4"/>
    </row>
    <row r="623">
      <c r="A623" s="2" t="s">
        <v>3947</v>
      </c>
      <c r="B623" s="2" t="s">
        <v>715</v>
      </c>
      <c r="C623" s="2" t="s">
        <v>360</v>
      </c>
      <c r="D623" s="2" t="s">
        <v>716</v>
      </c>
      <c r="E623" s="2" t="s">
        <v>971</v>
      </c>
      <c r="F623" s="2" t="s">
        <v>3926</v>
      </c>
      <c r="G623" s="2" t="s">
        <v>3927</v>
      </c>
      <c r="H623" s="2" t="s">
        <v>3928</v>
      </c>
      <c r="I623" s="2" t="s">
        <v>3929</v>
      </c>
      <c r="J623" s="2" t="s">
        <v>3930</v>
      </c>
      <c r="K623" s="2" t="s">
        <v>264</v>
      </c>
      <c r="L623" s="3">
        <v>22.75</v>
      </c>
      <c r="M623" s="3">
        <v>23.89</v>
      </c>
      <c r="N623" s="3">
        <v>47.99</v>
      </c>
      <c r="O623" s="2" t="s">
        <v>224</v>
      </c>
      <c r="P623" s="2" t="s">
        <v>225</v>
      </c>
      <c r="Q623" s="2" t="s">
        <v>226</v>
      </c>
      <c r="R623" s="2" t="s">
        <v>227</v>
      </c>
      <c r="S623" s="2" t="s">
        <v>3948</v>
      </c>
      <c r="T623" s="2" t="s">
        <v>227</v>
      </c>
      <c r="U623" s="2" t="s">
        <v>1044</v>
      </c>
      <c r="V623" s="2" t="s">
        <v>230</v>
      </c>
      <c r="W623" s="2" t="s">
        <v>231</v>
      </c>
      <c r="X623" s="2" t="s">
        <v>725</v>
      </c>
      <c r="Y623" s="2" t="s">
        <v>3932</v>
      </c>
      <c r="Z623" s="4">
        <v>802</v>
      </c>
      <c r="AA623" s="4">
        <f>=ROUNDDOWN(80.2,0)</f>
      </c>
      <c r="AB623" s="5">
        <v>10</v>
      </c>
      <c r="AC623" s="2" t="s">
        <v>227</v>
      </c>
      <c r="AD623" s="4"/>
      <c r="AE623" s="4"/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227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/>
      <c r="AW623" s="8"/>
      <c r="AX623" s="4"/>
      <c r="AY623" s="8"/>
      <c r="AZ623" s="7"/>
      <c r="BA623" s="7"/>
      <c r="BB623" s="7"/>
      <c r="BC623" s="4" t="s">
        <v>227</v>
      </c>
      <c r="BD623" s="8" t="s">
        <v>227</v>
      </c>
      <c r="BE623" s="4" t="s">
        <v>227</v>
      </c>
      <c r="BF623" s="8" t="s">
        <v>227</v>
      </c>
      <c r="BG623" s="7" t="s">
        <v>227</v>
      </c>
      <c r="BH623" s="7" t="s">
        <v>227</v>
      </c>
      <c r="BI623" s="7"/>
      <c r="BJ623" s="4">
        <v>23</v>
      </c>
      <c r="BK623" s="8">
        <v>804.65</v>
      </c>
      <c r="BL623" s="2" t="s">
        <v>3949</v>
      </c>
      <c r="BM623" s="7"/>
      <c r="BN623" s="7"/>
      <c r="BO623" s="4"/>
      <c r="BP623" s="8"/>
      <c r="BQ623" s="4"/>
      <c r="BR623" s="8"/>
      <c r="BS623" s="7"/>
      <c r="BT623" s="7"/>
      <c r="BU623" s="2" t="s">
        <v>3950</v>
      </c>
      <c r="BV623" s="2" t="s">
        <v>227</v>
      </c>
      <c r="BW623" s="2" t="s">
        <v>227</v>
      </c>
      <c r="BX623" s="2" t="s">
        <v>235</v>
      </c>
      <c r="BY623" s="2" t="s">
        <v>236</v>
      </c>
      <c r="BZ623" s="2" t="s">
        <v>224</v>
      </c>
      <c r="CA623" s="2" t="s">
        <v>3935</v>
      </c>
      <c r="CB623" s="2" t="s">
        <v>2708</v>
      </c>
      <c r="CC623" s="2" t="s">
        <v>239</v>
      </c>
      <c r="CD623" s="2" t="s">
        <v>227</v>
      </c>
      <c r="CE623" s="4">
        <v>802</v>
      </c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/>
      <c r="FH623" s="4"/>
      <c r="FI623" s="4"/>
      <c r="FJ623" s="4"/>
      <c r="FK623" s="4"/>
      <c r="FL623" s="4"/>
      <c r="FM623" s="4"/>
      <c r="FN623" s="4"/>
      <c r="FO623" s="4"/>
      <c r="FP623" s="4"/>
      <c r="FQ623" s="4"/>
      <c r="FR623" s="4"/>
      <c r="FS623" s="4"/>
      <c r="FT623" s="4"/>
      <c r="FU623" s="4"/>
      <c r="FV623" s="4"/>
      <c r="FW623" s="4"/>
      <c r="FX623" s="4"/>
      <c r="FY623" s="4"/>
      <c r="FZ623" s="4"/>
      <c r="GA623" s="4"/>
      <c r="GB623" s="4"/>
      <c r="GC623" s="4"/>
      <c r="GD623" s="4"/>
      <c r="GE623" s="4"/>
      <c r="GF623" s="4"/>
      <c r="GG623" s="4"/>
      <c r="GH623" s="4"/>
      <c r="GI623" s="4"/>
      <c r="GJ623" s="4"/>
      <c r="GK623" s="4"/>
      <c r="GL623" s="4"/>
      <c r="GM623" s="4"/>
      <c r="GN623" s="4"/>
      <c r="GO623" s="4"/>
      <c r="GP623" s="4"/>
      <c r="GQ623" s="4"/>
      <c r="GR623" s="4"/>
      <c r="GS623" s="4"/>
      <c r="GT623" s="4"/>
      <c r="GU623" s="4"/>
      <c r="GV623" s="4"/>
      <c r="GW623" s="4"/>
      <c r="GX623" s="4"/>
    </row>
    <row r="624">
      <c r="A624" s="2" t="s">
        <v>3951</v>
      </c>
      <c r="B624" s="2" t="s">
        <v>667</v>
      </c>
      <c r="C624" s="2" t="s">
        <v>360</v>
      </c>
      <c r="D624" s="2" t="s">
        <v>1652</v>
      </c>
      <c r="E624" s="2" t="s">
        <v>3952</v>
      </c>
      <c r="F624" s="2" t="s">
        <v>3953</v>
      </c>
      <c r="G624" s="2" t="s">
        <v>3954</v>
      </c>
      <c r="H624" s="2" t="s">
        <v>3955</v>
      </c>
      <c r="I624" s="2" t="s">
        <v>3956</v>
      </c>
      <c r="J624" s="2" t="s">
        <v>682</v>
      </c>
      <c r="K624" s="2" t="s">
        <v>389</v>
      </c>
      <c r="L624" s="3">
        <v>57.6</v>
      </c>
      <c r="M624" s="3">
        <v>60.47</v>
      </c>
      <c r="N624" s="3">
        <v>119.99</v>
      </c>
      <c r="O624" s="2" t="s">
        <v>224</v>
      </c>
      <c r="P624" s="2" t="s">
        <v>225</v>
      </c>
      <c r="Q624" s="2" t="s">
        <v>226</v>
      </c>
      <c r="R624" s="2" t="s">
        <v>227</v>
      </c>
      <c r="S624" s="2" t="s">
        <v>3957</v>
      </c>
      <c r="T624" s="2" t="s">
        <v>286</v>
      </c>
      <c r="U624" s="2" t="s">
        <v>674</v>
      </c>
      <c r="V624" s="2" t="s">
        <v>925</v>
      </c>
      <c r="W624" s="2" t="s">
        <v>1552</v>
      </c>
      <c r="X624" s="2" t="s">
        <v>3958</v>
      </c>
      <c r="Y624" s="2" t="s">
        <v>3959</v>
      </c>
      <c r="Z624" s="4">
        <v>761</v>
      </c>
      <c r="AA624" s="4">
        <f>=ROUNDDOWN(84.5555555555556,0)</f>
      </c>
      <c r="AB624" s="5">
        <v>9</v>
      </c>
      <c r="AC624" s="2" t="s">
        <v>227</v>
      </c>
      <c r="AD624" s="4"/>
      <c r="AE624" s="4"/>
      <c r="AF624" s="6">
        <v>71</v>
      </c>
      <c r="AG624" s="6">
        <v>79</v>
      </c>
      <c r="AH624" s="7">
        <v>1</v>
      </c>
      <c r="AI624" s="4"/>
      <c r="AJ624" s="4">
        <f>=ROUNDDOWN({0},0)</f>
      </c>
      <c r="AK624" s="5"/>
      <c r="AL624" s="2" t="s">
        <v>227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/>
      <c r="AW624" s="8"/>
      <c r="AX624" s="4"/>
      <c r="AY624" s="8"/>
      <c r="AZ624" s="7"/>
      <c r="BA624" s="7"/>
      <c r="BB624" s="7"/>
      <c r="BC624" s="4"/>
      <c r="BD624" s="8"/>
      <c r="BE624" s="4"/>
      <c r="BF624" s="8"/>
      <c r="BG624" s="7"/>
      <c r="BH624" s="7"/>
      <c r="BI624" s="7"/>
      <c r="BJ624" s="4">
        <v>24</v>
      </c>
      <c r="BK624" s="8">
        <v>1508.37</v>
      </c>
      <c r="BL624" s="2" t="s">
        <v>3960</v>
      </c>
      <c r="BM624" s="7"/>
      <c r="BN624" s="7"/>
      <c r="BO624" s="4"/>
      <c r="BP624" s="8"/>
      <c r="BQ624" s="4"/>
      <c r="BR624" s="8"/>
      <c r="BS624" s="7"/>
      <c r="BT624" s="7"/>
      <c r="BU624" s="2" t="s">
        <v>3961</v>
      </c>
      <c r="BV624" s="2" t="s">
        <v>227</v>
      </c>
      <c r="BW624" s="2" t="s">
        <v>227</v>
      </c>
      <c r="BX624" s="2" t="s">
        <v>235</v>
      </c>
      <c r="BY624" s="2" t="s">
        <v>236</v>
      </c>
      <c r="BZ624" s="2" t="s">
        <v>224</v>
      </c>
      <c r="CA624" s="2" t="s">
        <v>3959</v>
      </c>
      <c r="CB624" s="2" t="s">
        <v>3962</v>
      </c>
      <c r="CC624" s="2" t="s">
        <v>239</v>
      </c>
      <c r="CD624" s="2" t="s">
        <v>227</v>
      </c>
      <c r="CE624" s="4">
        <v>545</v>
      </c>
      <c r="CF624" s="4"/>
      <c r="CG624" s="4"/>
      <c r="CH624" s="4">
        <v>216</v>
      </c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/>
      <c r="FH624" s="4"/>
      <c r="FI624" s="4"/>
      <c r="FJ624" s="4"/>
      <c r="FK624" s="4"/>
      <c r="FL624" s="4"/>
      <c r="FM624" s="4"/>
      <c r="FN624" s="4"/>
      <c r="FO624" s="4"/>
      <c r="FP624" s="4"/>
      <c r="FQ624" s="4"/>
      <c r="FR624" s="4"/>
      <c r="FS624" s="4"/>
      <c r="FT624" s="4"/>
      <c r="FU624" s="4"/>
      <c r="FV624" s="4"/>
      <c r="FW624" s="4"/>
      <c r="FX624" s="4"/>
      <c r="FY624" s="4"/>
      <c r="FZ624" s="4"/>
      <c r="GA624" s="4"/>
      <c r="GB624" s="4"/>
      <c r="GC624" s="4"/>
      <c r="GD624" s="4"/>
      <c r="GE624" s="4"/>
      <c r="GF624" s="4"/>
      <c r="GG624" s="4"/>
      <c r="GH624" s="4"/>
      <c r="GI624" s="4"/>
      <c r="GJ624" s="4"/>
      <c r="GK624" s="4"/>
      <c r="GL624" s="4"/>
      <c r="GM624" s="4"/>
      <c r="GN624" s="4"/>
      <c r="GO624" s="4"/>
      <c r="GP624" s="4"/>
      <c r="GQ624" s="4"/>
      <c r="GR624" s="4"/>
      <c r="GS624" s="4"/>
      <c r="GT624" s="4"/>
      <c r="GU624" s="4"/>
      <c r="GV624" s="4"/>
      <c r="GW624" s="4"/>
      <c r="GX624" s="4"/>
    </row>
    <row r="625">
      <c r="A625" s="2" t="s">
        <v>3963</v>
      </c>
      <c r="B625" s="2" t="s">
        <v>744</v>
      </c>
      <c r="C625" s="2" t="s">
        <v>360</v>
      </c>
      <c r="D625" s="2" t="s">
        <v>745</v>
      </c>
      <c r="E625" s="2" t="s">
        <v>746</v>
      </c>
      <c r="F625" s="2" t="s">
        <v>3964</v>
      </c>
      <c r="G625" s="2" t="s">
        <v>3965</v>
      </c>
      <c r="H625" s="2" t="s">
        <v>3966</v>
      </c>
      <c r="I625" s="2" t="s">
        <v>3967</v>
      </c>
      <c r="J625" s="2" t="s">
        <v>3968</v>
      </c>
      <c r="K625" s="2" t="s">
        <v>264</v>
      </c>
      <c r="L625" s="3">
        <v>13.29</v>
      </c>
      <c r="M625" s="3">
        <v>13.95</v>
      </c>
      <c r="N625" s="3">
        <v>26.99</v>
      </c>
      <c r="O625" s="2" t="s">
        <v>224</v>
      </c>
      <c r="P625" s="2" t="s">
        <v>225</v>
      </c>
      <c r="Q625" s="2" t="s">
        <v>226</v>
      </c>
      <c r="R625" s="2" t="s">
        <v>227</v>
      </c>
      <c r="S625" s="2" t="s">
        <v>3969</v>
      </c>
      <c r="T625" s="2" t="s">
        <v>227</v>
      </c>
      <c r="U625" s="2" t="s">
        <v>552</v>
      </c>
      <c r="V625" s="2" t="s">
        <v>230</v>
      </c>
      <c r="W625" s="2" t="s">
        <v>231</v>
      </c>
      <c r="X625" s="2" t="s">
        <v>227</v>
      </c>
      <c r="Y625" s="2" t="s">
        <v>3970</v>
      </c>
      <c r="Z625" s="4">
        <v>410</v>
      </c>
      <c r="AA625" s="4">
        <f>=ROUNDDOWN(29.2857142857143,0)</f>
      </c>
      <c r="AB625" s="5">
        <v>14</v>
      </c>
      <c r="AC625" s="2" t="s">
        <v>182</v>
      </c>
      <c r="AD625" s="4">
        <v>150</v>
      </c>
      <c r="AE625" s="4">
        <v>180</v>
      </c>
      <c r="AF625" s="6">
        <v>69</v>
      </c>
      <c r="AG625" s="6"/>
      <c r="AH625" s="7">
        <v>1</v>
      </c>
      <c r="AI625" s="4"/>
      <c r="AJ625" s="4">
        <f>=ROUNDDOWN({0},0)</f>
      </c>
      <c r="AK625" s="5"/>
      <c r="AL625" s="2" t="s">
        <v>227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 t="s">
        <v>227</v>
      </c>
      <c r="AW625" s="8" t="s">
        <v>227</v>
      </c>
      <c r="AX625" s="4" t="s">
        <v>227</v>
      </c>
      <c r="AY625" s="8" t="s">
        <v>227</v>
      </c>
      <c r="AZ625" s="7" t="s">
        <v>227</v>
      </c>
      <c r="BA625" s="7" t="s">
        <v>227</v>
      </c>
      <c r="BB625" s="7"/>
      <c r="BC625" s="4" t="s">
        <v>227</v>
      </c>
      <c r="BD625" s="8" t="s">
        <v>227</v>
      </c>
      <c r="BE625" s="4" t="s">
        <v>227</v>
      </c>
      <c r="BF625" s="8" t="s">
        <v>227</v>
      </c>
      <c r="BG625" s="7" t="s">
        <v>227</v>
      </c>
      <c r="BH625" s="7" t="s">
        <v>227</v>
      </c>
      <c r="BI625" s="7"/>
      <c r="BJ625" s="4">
        <v>45</v>
      </c>
      <c r="BK625" s="8">
        <v>653.52</v>
      </c>
      <c r="BL625" s="2" t="s">
        <v>3040</v>
      </c>
      <c r="BM625" s="7"/>
      <c r="BN625" s="7"/>
      <c r="BO625" s="4"/>
      <c r="BP625" s="8"/>
      <c r="BQ625" s="4"/>
      <c r="BR625" s="8"/>
      <c r="BS625" s="7"/>
      <c r="BT625" s="7"/>
      <c r="BU625" s="2" t="s">
        <v>3971</v>
      </c>
      <c r="BV625" s="2" t="s">
        <v>227</v>
      </c>
      <c r="BW625" s="2" t="s">
        <v>227</v>
      </c>
      <c r="BX625" s="2" t="s">
        <v>235</v>
      </c>
      <c r="BY625" s="2" t="s">
        <v>236</v>
      </c>
      <c r="BZ625" s="2" t="s">
        <v>224</v>
      </c>
      <c r="CA625" s="2" t="s">
        <v>3972</v>
      </c>
      <c r="CB625" s="2" t="s">
        <v>3973</v>
      </c>
      <c r="CC625" s="2" t="s">
        <v>239</v>
      </c>
      <c r="CD625" s="2" t="s">
        <v>227</v>
      </c>
      <c r="CE625" s="4">
        <v>410</v>
      </c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  <c r="FG625" s="4"/>
      <c r="FH625" s="4"/>
      <c r="FI625" s="4"/>
      <c r="FJ625" s="4"/>
      <c r="FK625" s="4"/>
      <c r="FL625" s="4"/>
      <c r="FM625" s="4"/>
      <c r="FN625" s="4"/>
      <c r="FO625" s="4"/>
      <c r="FP625" s="4"/>
      <c r="FQ625" s="4"/>
      <c r="FR625" s="4">
        <v>150</v>
      </c>
      <c r="FS625" s="4"/>
      <c r="FT625" s="4"/>
      <c r="FU625" s="4"/>
      <c r="FV625" s="4"/>
      <c r="FW625" s="4"/>
      <c r="FX625" s="4"/>
      <c r="FY625" s="4"/>
      <c r="FZ625" s="4"/>
      <c r="GA625" s="4"/>
      <c r="GB625" s="4"/>
      <c r="GC625" s="4"/>
      <c r="GD625" s="4"/>
      <c r="GE625" s="4"/>
      <c r="GF625" s="4"/>
      <c r="GG625" s="4"/>
      <c r="GH625" s="4"/>
      <c r="GI625" s="4"/>
      <c r="GJ625" s="4"/>
      <c r="GK625" s="4"/>
      <c r="GL625" s="4"/>
      <c r="GM625" s="4"/>
      <c r="GN625" s="4"/>
      <c r="GO625" s="4"/>
      <c r="GP625" s="4"/>
      <c r="GQ625" s="4"/>
      <c r="GR625" s="4"/>
      <c r="GS625" s="4">
        <v>30</v>
      </c>
      <c r="GT625" s="4"/>
      <c r="GU625" s="4"/>
      <c r="GV625" s="4"/>
      <c r="GW625" s="4"/>
      <c r="GX625" s="4"/>
    </row>
    <row r="626">
      <c r="A626" s="2" t="s">
        <v>3974</v>
      </c>
      <c r="B626" s="2" t="s">
        <v>744</v>
      </c>
      <c r="C626" s="2" t="s">
        <v>360</v>
      </c>
      <c r="D626" s="2" t="s">
        <v>745</v>
      </c>
      <c r="E626" s="2" t="s">
        <v>746</v>
      </c>
      <c r="F626" s="2" t="s">
        <v>3964</v>
      </c>
      <c r="G626" s="2" t="s">
        <v>3965</v>
      </c>
      <c r="H626" s="2" t="s">
        <v>3966</v>
      </c>
      <c r="I626" s="2" t="s">
        <v>3967</v>
      </c>
      <c r="J626" s="2" t="s">
        <v>748</v>
      </c>
      <c r="K626" s="2" t="s">
        <v>264</v>
      </c>
      <c r="L626" s="3">
        <v>16.24</v>
      </c>
      <c r="M626" s="3">
        <v>17.05</v>
      </c>
      <c r="N626" s="3">
        <v>32.99</v>
      </c>
      <c r="O626" s="2" t="s">
        <v>224</v>
      </c>
      <c r="P626" s="2" t="s">
        <v>225</v>
      </c>
      <c r="Q626" s="2" t="s">
        <v>226</v>
      </c>
      <c r="R626" s="2" t="s">
        <v>227</v>
      </c>
      <c r="S626" s="2" t="s">
        <v>3969</v>
      </c>
      <c r="T626" s="2" t="s">
        <v>227</v>
      </c>
      <c r="U626" s="2" t="s">
        <v>552</v>
      </c>
      <c r="V626" s="2" t="s">
        <v>230</v>
      </c>
      <c r="W626" s="2" t="s">
        <v>231</v>
      </c>
      <c r="X626" s="2" t="s">
        <v>227</v>
      </c>
      <c r="Y626" s="2" t="s">
        <v>3970</v>
      </c>
      <c r="Z626" s="4">
        <v>305</v>
      </c>
      <c r="AA626" s="4">
        <f>=ROUNDDOWN(21.7857142857143,0)</f>
      </c>
      <c r="AB626" s="5">
        <v>14</v>
      </c>
      <c r="AC626" s="2" t="s">
        <v>182</v>
      </c>
      <c r="AD626" s="4">
        <v>60</v>
      </c>
      <c r="AE626" s="4">
        <v>132</v>
      </c>
      <c r="AF626" s="6">
        <v>69</v>
      </c>
      <c r="AG626" s="6"/>
      <c r="AH626" s="7">
        <v>1</v>
      </c>
      <c r="AI626" s="4"/>
      <c r="AJ626" s="4">
        <f>=ROUNDDOWN({0},0)</f>
      </c>
      <c r="AK626" s="5"/>
      <c r="AL626" s="2" t="s">
        <v>227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227</v>
      </c>
      <c r="AW626" s="8" t="s">
        <v>227</v>
      </c>
      <c r="AX626" s="4" t="s">
        <v>227</v>
      </c>
      <c r="AY626" s="8" t="s">
        <v>227</v>
      </c>
      <c r="AZ626" s="7" t="s">
        <v>227</v>
      </c>
      <c r="BA626" s="7" t="s">
        <v>227</v>
      </c>
      <c r="BB626" s="7"/>
      <c r="BC626" s="4" t="s">
        <v>227</v>
      </c>
      <c r="BD626" s="8" t="s">
        <v>227</v>
      </c>
      <c r="BE626" s="4" t="s">
        <v>227</v>
      </c>
      <c r="BF626" s="8" t="s">
        <v>227</v>
      </c>
      <c r="BG626" s="7" t="s">
        <v>227</v>
      </c>
      <c r="BH626" s="7" t="s">
        <v>227</v>
      </c>
      <c r="BI626" s="7"/>
      <c r="BJ626" s="4">
        <v>72</v>
      </c>
      <c r="BK626" s="8">
        <v>1305.85</v>
      </c>
      <c r="BL626" s="2" t="s">
        <v>3975</v>
      </c>
      <c r="BM626" s="7"/>
      <c r="BN626" s="7"/>
      <c r="BO626" s="4"/>
      <c r="BP626" s="8"/>
      <c r="BQ626" s="4"/>
      <c r="BR626" s="8"/>
      <c r="BS626" s="7"/>
      <c r="BT626" s="7"/>
      <c r="BU626" s="2" t="s">
        <v>3976</v>
      </c>
      <c r="BV626" s="2" t="s">
        <v>227</v>
      </c>
      <c r="BW626" s="2" t="s">
        <v>227</v>
      </c>
      <c r="BX626" s="2" t="s">
        <v>235</v>
      </c>
      <c r="BY626" s="2" t="s">
        <v>236</v>
      </c>
      <c r="BZ626" s="2" t="s">
        <v>224</v>
      </c>
      <c r="CA626" s="2" t="s">
        <v>3972</v>
      </c>
      <c r="CB626" s="2" t="s">
        <v>3977</v>
      </c>
      <c r="CC626" s="2" t="s">
        <v>239</v>
      </c>
      <c r="CD626" s="2" t="s">
        <v>227</v>
      </c>
      <c r="CE626" s="4">
        <v>305</v>
      </c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/>
      <c r="FB626" s="4"/>
      <c r="FC626" s="4"/>
      <c r="FD626" s="4"/>
      <c r="FE626" s="4"/>
      <c r="FF626" s="4"/>
      <c r="FG626" s="4"/>
      <c r="FH626" s="4"/>
      <c r="FI626" s="4"/>
      <c r="FJ626" s="4"/>
      <c r="FK626" s="4"/>
      <c r="FL626" s="4"/>
      <c r="FM626" s="4"/>
      <c r="FN626" s="4"/>
      <c r="FO626" s="4"/>
      <c r="FP626" s="4"/>
      <c r="FQ626" s="4"/>
      <c r="FR626" s="4">
        <v>60</v>
      </c>
      <c r="FS626" s="4"/>
      <c r="FT626" s="4"/>
      <c r="FU626" s="4"/>
      <c r="FV626" s="4"/>
      <c r="FW626" s="4"/>
      <c r="FX626" s="4"/>
      <c r="FY626" s="4"/>
      <c r="FZ626" s="4"/>
      <c r="GA626" s="4"/>
      <c r="GB626" s="4"/>
      <c r="GC626" s="4"/>
      <c r="GD626" s="4"/>
      <c r="GE626" s="4"/>
      <c r="GF626" s="4"/>
      <c r="GG626" s="4"/>
      <c r="GH626" s="4"/>
      <c r="GI626" s="4"/>
      <c r="GJ626" s="4"/>
      <c r="GK626" s="4"/>
      <c r="GL626" s="4"/>
      <c r="GM626" s="4"/>
      <c r="GN626" s="4"/>
      <c r="GO626" s="4"/>
      <c r="GP626" s="4"/>
      <c r="GQ626" s="4"/>
      <c r="GR626" s="4"/>
      <c r="GS626" s="4">
        <v>72</v>
      </c>
      <c r="GT626" s="4"/>
      <c r="GU626" s="4"/>
      <c r="GV626" s="4"/>
      <c r="GW626" s="4"/>
      <c r="GX626" s="4"/>
    </row>
    <row r="627">
      <c r="A627" s="2" t="s">
        <v>3978</v>
      </c>
      <c r="B627" s="2" t="s">
        <v>744</v>
      </c>
      <c r="C627" s="2" t="s">
        <v>360</v>
      </c>
      <c r="D627" s="2" t="s">
        <v>745</v>
      </c>
      <c r="E627" s="2" t="s">
        <v>746</v>
      </c>
      <c r="F627" s="2" t="s">
        <v>3964</v>
      </c>
      <c r="G627" s="2" t="s">
        <v>3965</v>
      </c>
      <c r="H627" s="2" t="s">
        <v>3966</v>
      </c>
      <c r="I627" s="2" t="s">
        <v>3967</v>
      </c>
      <c r="J627" s="2" t="s">
        <v>3979</v>
      </c>
      <c r="K627" s="2" t="s">
        <v>264</v>
      </c>
      <c r="L627" s="3">
        <v>23.63</v>
      </c>
      <c r="M627" s="3">
        <v>24.81</v>
      </c>
      <c r="N627" s="3">
        <v>47.99</v>
      </c>
      <c r="O627" s="2" t="s">
        <v>224</v>
      </c>
      <c r="P627" s="2" t="s">
        <v>225</v>
      </c>
      <c r="Q627" s="2" t="s">
        <v>226</v>
      </c>
      <c r="R627" s="2" t="s">
        <v>227</v>
      </c>
      <c r="S627" s="2" t="s">
        <v>3969</v>
      </c>
      <c r="T627" s="2" t="s">
        <v>227</v>
      </c>
      <c r="U627" s="2" t="s">
        <v>552</v>
      </c>
      <c r="V627" s="2" t="s">
        <v>230</v>
      </c>
      <c r="W627" s="2" t="s">
        <v>231</v>
      </c>
      <c r="X627" s="2" t="s">
        <v>227</v>
      </c>
      <c r="Y627" s="2" t="s">
        <v>3970</v>
      </c>
      <c r="Z627" s="4">
        <v>409</v>
      </c>
      <c r="AA627" s="4">
        <f>=ROUNDDOWN(29.2142857142857,0)</f>
      </c>
      <c r="AB627" s="5">
        <v>14</v>
      </c>
      <c r="AC627" s="2" t="s">
        <v>182</v>
      </c>
      <c r="AD627" s="4">
        <v>138</v>
      </c>
      <c r="AE627" s="4">
        <v>282</v>
      </c>
      <c r="AF627" s="6">
        <v>69</v>
      </c>
      <c r="AG627" s="6"/>
      <c r="AH627" s="7">
        <v>1</v>
      </c>
      <c r="AI627" s="4"/>
      <c r="AJ627" s="4">
        <f>=ROUNDDOWN({0},0)</f>
      </c>
      <c r="AK627" s="5"/>
      <c r="AL627" s="2" t="s">
        <v>227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227</v>
      </c>
      <c r="AW627" s="8" t="s">
        <v>227</v>
      </c>
      <c r="AX627" s="4" t="s">
        <v>227</v>
      </c>
      <c r="AY627" s="8" t="s">
        <v>227</v>
      </c>
      <c r="AZ627" s="7" t="s">
        <v>227</v>
      </c>
      <c r="BA627" s="7" t="s">
        <v>227</v>
      </c>
      <c r="BB627" s="7"/>
      <c r="BC627" s="4" t="s">
        <v>227</v>
      </c>
      <c r="BD627" s="8" t="s">
        <v>227</v>
      </c>
      <c r="BE627" s="4" t="s">
        <v>227</v>
      </c>
      <c r="BF627" s="8" t="s">
        <v>227</v>
      </c>
      <c r="BG627" s="7" t="s">
        <v>227</v>
      </c>
      <c r="BH627" s="7" t="s">
        <v>227</v>
      </c>
      <c r="BI627" s="7"/>
      <c r="BJ627" s="4">
        <v>21</v>
      </c>
      <c r="BK627" s="8">
        <v>536.41</v>
      </c>
      <c r="BL627" s="2" t="s">
        <v>3980</v>
      </c>
      <c r="BM627" s="7"/>
      <c r="BN627" s="7"/>
      <c r="BO627" s="4"/>
      <c r="BP627" s="8"/>
      <c r="BQ627" s="4"/>
      <c r="BR627" s="8"/>
      <c r="BS627" s="7"/>
      <c r="BT627" s="7"/>
      <c r="BU627" s="2" t="s">
        <v>3981</v>
      </c>
      <c r="BV627" s="2" t="s">
        <v>227</v>
      </c>
      <c r="BW627" s="2" t="s">
        <v>227</v>
      </c>
      <c r="BX627" s="2" t="s">
        <v>235</v>
      </c>
      <c r="BY627" s="2" t="s">
        <v>236</v>
      </c>
      <c r="BZ627" s="2" t="s">
        <v>224</v>
      </c>
      <c r="CA627" s="2" t="s">
        <v>3982</v>
      </c>
      <c r="CB627" s="2" t="s">
        <v>3983</v>
      </c>
      <c r="CC627" s="2" t="s">
        <v>239</v>
      </c>
      <c r="CD627" s="2" t="s">
        <v>227</v>
      </c>
      <c r="CE627" s="4">
        <v>408</v>
      </c>
      <c r="CF627" s="4">
        <v>1</v>
      </c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/>
      <c r="FD627" s="4"/>
      <c r="FE627" s="4"/>
      <c r="FF627" s="4"/>
      <c r="FG627" s="4"/>
      <c r="FH627" s="4"/>
      <c r="FI627" s="4"/>
      <c r="FJ627" s="4"/>
      <c r="FK627" s="4"/>
      <c r="FL627" s="4"/>
      <c r="FM627" s="4"/>
      <c r="FN627" s="4"/>
      <c r="FO627" s="4"/>
      <c r="FP627" s="4"/>
      <c r="FQ627" s="4"/>
      <c r="FR627" s="4">
        <v>138</v>
      </c>
      <c r="FS627" s="4"/>
      <c r="FT627" s="4"/>
      <c r="FU627" s="4"/>
      <c r="FV627" s="4"/>
      <c r="FW627" s="4"/>
      <c r="FX627" s="4"/>
      <c r="FY627" s="4"/>
      <c r="FZ627" s="4"/>
      <c r="GA627" s="4"/>
      <c r="GB627" s="4"/>
      <c r="GC627" s="4"/>
      <c r="GD627" s="4"/>
      <c r="GE627" s="4"/>
      <c r="GF627" s="4"/>
      <c r="GG627" s="4"/>
      <c r="GH627" s="4"/>
      <c r="GI627" s="4"/>
      <c r="GJ627" s="4"/>
      <c r="GK627" s="4"/>
      <c r="GL627" s="4"/>
      <c r="GM627" s="4"/>
      <c r="GN627" s="4"/>
      <c r="GO627" s="4"/>
      <c r="GP627" s="4"/>
      <c r="GQ627" s="4"/>
      <c r="GR627" s="4"/>
      <c r="GS627" s="4">
        <v>144</v>
      </c>
      <c r="GT627" s="4"/>
      <c r="GU627" s="4"/>
      <c r="GV627" s="4"/>
      <c r="GW627" s="4"/>
      <c r="GX627" s="4"/>
    </row>
    <row r="628">
      <c r="A628" s="2" t="s">
        <v>3984</v>
      </c>
      <c r="B628" s="2" t="s">
        <v>667</v>
      </c>
      <c r="C628" s="2" t="s">
        <v>360</v>
      </c>
      <c r="D628" s="2" t="s">
        <v>687</v>
      </c>
      <c r="E628" s="2" t="s">
        <v>699</v>
      </c>
      <c r="F628" s="2" t="s">
        <v>3985</v>
      </c>
      <c r="G628" s="2" t="s">
        <v>3986</v>
      </c>
      <c r="H628" s="2" t="s">
        <v>3987</v>
      </c>
      <c r="I628" s="2" t="s">
        <v>3988</v>
      </c>
      <c r="J628" s="2" t="s">
        <v>384</v>
      </c>
      <c r="K628" s="2" t="s">
        <v>389</v>
      </c>
      <c r="L628" s="3">
        <v>63.06</v>
      </c>
      <c r="M628" s="3">
        <v>66.21</v>
      </c>
      <c r="N628" s="3">
        <v>119.99</v>
      </c>
      <c r="O628" s="2" t="s">
        <v>224</v>
      </c>
      <c r="P628" s="2" t="s">
        <v>225</v>
      </c>
      <c r="Q628" s="2" t="s">
        <v>226</v>
      </c>
      <c r="R628" s="2" t="s">
        <v>227</v>
      </c>
      <c r="S628" s="2" t="s">
        <v>3989</v>
      </c>
      <c r="T628" s="2" t="s">
        <v>227</v>
      </c>
      <c r="U628" s="2" t="s">
        <v>1069</v>
      </c>
      <c r="V628" s="2" t="s">
        <v>3264</v>
      </c>
      <c r="W628" s="2" t="s">
        <v>581</v>
      </c>
      <c r="X628" s="2" t="s">
        <v>836</v>
      </c>
      <c r="Y628" s="2" t="s">
        <v>2175</v>
      </c>
      <c r="Z628" s="4">
        <v>115</v>
      </c>
      <c r="AA628" s="4">
        <f>=ROUNDDOWN(28.75,0)</f>
      </c>
      <c r="AB628" s="5">
        <v>4</v>
      </c>
      <c r="AC628" s="2" t="s">
        <v>583</v>
      </c>
      <c r="AD628" s="4">
        <v>30</v>
      </c>
      <c r="AE628" s="4">
        <v>200</v>
      </c>
      <c r="AF628" s="6">
        <v>65</v>
      </c>
      <c r="AG628" s="6">
        <v>48</v>
      </c>
      <c r="AH628" s="7">
        <v>1</v>
      </c>
      <c r="AI628" s="4"/>
      <c r="AJ628" s="4">
        <f>=ROUNDDOWN({0},0)</f>
      </c>
      <c r="AK628" s="5"/>
      <c r="AL628" s="2" t="s">
        <v>227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/>
      <c r="AW628" s="8"/>
      <c r="AX628" s="4"/>
      <c r="AY628" s="8"/>
      <c r="AZ628" s="7"/>
      <c r="BA628" s="7"/>
      <c r="BB628" s="7"/>
      <c r="BC628" s="4" t="s">
        <v>227</v>
      </c>
      <c r="BD628" s="8" t="s">
        <v>227</v>
      </c>
      <c r="BE628" s="4" t="s">
        <v>227</v>
      </c>
      <c r="BF628" s="8" t="s">
        <v>227</v>
      </c>
      <c r="BG628" s="7" t="s">
        <v>227</v>
      </c>
      <c r="BH628" s="7" t="s">
        <v>227</v>
      </c>
      <c r="BI628" s="7"/>
      <c r="BJ628" s="4">
        <v>8</v>
      </c>
      <c r="BK628" s="8">
        <v>593.27</v>
      </c>
      <c r="BL628" s="2" t="s">
        <v>3990</v>
      </c>
      <c r="BM628" s="7"/>
      <c r="BN628" s="7"/>
      <c r="BO628" s="4"/>
      <c r="BP628" s="8"/>
      <c r="BQ628" s="4"/>
      <c r="BR628" s="8"/>
      <c r="BS628" s="7"/>
      <c r="BT628" s="7"/>
      <c r="BU628" s="2" t="s">
        <v>3991</v>
      </c>
      <c r="BV628" s="2" t="s">
        <v>227</v>
      </c>
      <c r="BW628" s="2" t="s">
        <v>227</v>
      </c>
      <c r="BX628" s="2" t="s">
        <v>235</v>
      </c>
      <c r="BY628" s="2" t="s">
        <v>236</v>
      </c>
      <c r="BZ628" s="2" t="s">
        <v>224</v>
      </c>
      <c r="CA628" s="2" t="s">
        <v>3992</v>
      </c>
      <c r="CB628" s="2" t="s">
        <v>3993</v>
      </c>
      <c r="CC628" s="2" t="s">
        <v>239</v>
      </c>
      <c r="CD628" s="2" t="s">
        <v>227</v>
      </c>
      <c r="CE628" s="4">
        <v>106</v>
      </c>
      <c r="CF628" s="4"/>
      <c r="CG628" s="4"/>
      <c r="CH628" s="4">
        <v>9</v>
      </c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>
        <v>30</v>
      </c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>
        <v>30</v>
      </c>
      <c r="EM628" s="4">
        <v>20</v>
      </c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>
        <v>120</v>
      </c>
      <c r="FA628" s="4"/>
      <c r="FB628" s="4"/>
      <c r="FC628" s="4"/>
      <c r="FD628" s="4"/>
      <c r="FE628" s="4"/>
      <c r="FF628" s="4"/>
      <c r="FG628" s="4"/>
      <c r="FH628" s="4"/>
      <c r="FI628" s="4"/>
      <c r="FJ628" s="4"/>
      <c r="FK628" s="4"/>
      <c r="FL628" s="4"/>
      <c r="FM628" s="4"/>
      <c r="FN628" s="4"/>
      <c r="FO628" s="4"/>
      <c r="FP628" s="4"/>
      <c r="FQ628" s="4"/>
      <c r="FR628" s="4"/>
      <c r="FS628" s="4"/>
      <c r="FT628" s="4"/>
      <c r="FU628" s="4"/>
      <c r="FV628" s="4"/>
      <c r="FW628" s="4"/>
      <c r="FX628" s="4"/>
      <c r="FY628" s="4"/>
      <c r="FZ628" s="4"/>
      <c r="GA628" s="4"/>
      <c r="GB628" s="4"/>
      <c r="GC628" s="4"/>
      <c r="GD628" s="4"/>
      <c r="GE628" s="4"/>
      <c r="GF628" s="4"/>
      <c r="GG628" s="4"/>
      <c r="GH628" s="4"/>
      <c r="GI628" s="4"/>
      <c r="GJ628" s="4"/>
      <c r="GK628" s="4"/>
      <c r="GL628" s="4"/>
      <c r="GM628" s="4"/>
      <c r="GN628" s="4"/>
      <c r="GO628" s="4"/>
      <c r="GP628" s="4"/>
      <c r="GQ628" s="4"/>
      <c r="GR628" s="4"/>
      <c r="GS628" s="4"/>
      <c r="GT628" s="4"/>
      <c r="GU628" s="4"/>
      <c r="GV628" s="4"/>
      <c r="GW628" s="4"/>
      <c r="GX628" s="4"/>
    </row>
    <row r="629">
      <c r="A629" s="2" t="s">
        <v>3994</v>
      </c>
      <c r="B629" s="2" t="s">
        <v>667</v>
      </c>
      <c r="C629" s="2" t="s">
        <v>360</v>
      </c>
      <c r="D629" s="2" t="s">
        <v>687</v>
      </c>
      <c r="E629" s="2" t="s">
        <v>699</v>
      </c>
      <c r="F629" s="2" t="s">
        <v>3985</v>
      </c>
      <c r="G629" s="2" t="s">
        <v>3986</v>
      </c>
      <c r="H629" s="2" t="s">
        <v>3987</v>
      </c>
      <c r="I629" s="2" t="s">
        <v>3988</v>
      </c>
      <c r="J629" s="2" t="s">
        <v>247</v>
      </c>
      <c r="K629" s="2" t="s">
        <v>3995</v>
      </c>
      <c r="L629" s="3">
        <v>49.9</v>
      </c>
      <c r="M629" s="3">
        <v>52.4</v>
      </c>
      <c r="N629" s="3">
        <v>89.99</v>
      </c>
      <c r="O629" s="2" t="s">
        <v>224</v>
      </c>
      <c r="P629" s="2" t="s">
        <v>225</v>
      </c>
      <c r="Q629" s="2" t="s">
        <v>226</v>
      </c>
      <c r="R629" s="2" t="s">
        <v>227</v>
      </c>
      <c r="S629" s="2" t="s">
        <v>3996</v>
      </c>
      <c r="T629" s="2" t="s">
        <v>227</v>
      </c>
      <c r="U629" s="2" t="s">
        <v>1069</v>
      </c>
      <c r="V629" s="2" t="s">
        <v>3264</v>
      </c>
      <c r="W629" s="2" t="s">
        <v>581</v>
      </c>
      <c r="X629" s="2" t="s">
        <v>836</v>
      </c>
      <c r="Y629" s="2" t="s">
        <v>232</v>
      </c>
      <c r="Z629" s="4">
        <v>115</v>
      </c>
      <c r="AA629" s="4">
        <f>=ROUNDDOWN(23,0)</f>
      </c>
      <c r="AB629" s="5">
        <v>5</v>
      </c>
      <c r="AC629" s="2" t="s">
        <v>3997</v>
      </c>
      <c r="AD629" s="4">
        <v>30</v>
      </c>
      <c r="AE629" s="4">
        <v>280</v>
      </c>
      <c r="AF629" s="6">
        <v>65</v>
      </c>
      <c r="AG629" s="6">
        <v>48</v>
      </c>
      <c r="AH629" s="7">
        <v>1</v>
      </c>
      <c r="AI629" s="4"/>
      <c r="AJ629" s="4">
        <f>=ROUNDDOWN({0},0)</f>
      </c>
      <c r="AK629" s="5"/>
      <c r="AL629" s="2" t="s">
        <v>227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/>
      <c r="AW629" s="8"/>
      <c r="AX629" s="4"/>
      <c r="AY629" s="8"/>
      <c r="AZ629" s="7"/>
      <c r="BA629" s="7"/>
      <c r="BB629" s="7"/>
      <c r="BC629" s="4" t="s">
        <v>227</v>
      </c>
      <c r="BD629" s="8" t="s">
        <v>227</v>
      </c>
      <c r="BE629" s="4" t="s">
        <v>227</v>
      </c>
      <c r="BF629" s="8" t="s">
        <v>227</v>
      </c>
      <c r="BG629" s="7" t="s">
        <v>227</v>
      </c>
      <c r="BH629" s="7" t="s">
        <v>227</v>
      </c>
      <c r="BI629" s="7"/>
      <c r="BJ629" s="4">
        <v>10</v>
      </c>
      <c r="BK629" s="8">
        <v>487.57</v>
      </c>
      <c r="BL629" s="2" t="s">
        <v>3998</v>
      </c>
      <c r="BM629" s="7"/>
      <c r="BN629" s="7"/>
      <c r="BO629" s="4"/>
      <c r="BP629" s="8"/>
      <c r="BQ629" s="4"/>
      <c r="BR629" s="8"/>
      <c r="BS629" s="7"/>
      <c r="BT629" s="7"/>
      <c r="BU629" s="2" t="s">
        <v>3999</v>
      </c>
      <c r="BV629" s="2" t="s">
        <v>227</v>
      </c>
      <c r="BW629" s="2" t="s">
        <v>227</v>
      </c>
      <c r="BX629" s="2" t="s">
        <v>235</v>
      </c>
      <c r="BY629" s="2" t="s">
        <v>236</v>
      </c>
      <c r="BZ629" s="2" t="s">
        <v>224</v>
      </c>
      <c r="CA629" s="2" t="s">
        <v>237</v>
      </c>
      <c r="CB629" s="2" t="s">
        <v>443</v>
      </c>
      <c r="CC629" s="2" t="s">
        <v>239</v>
      </c>
      <c r="CD629" s="2" t="s">
        <v>227</v>
      </c>
      <c r="CE629" s="4">
        <v>66</v>
      </c>
      <c r="CF629" s="4"/>
      <c r="CG629" s="4"/>
      <c r="CH629" s="4">
        <v>49</v>
      </c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>
        <v>30</v>
      </c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>
        <v>20</v>
      </c>
      <c r="ET629" s="4"/>
      <c r="EU629" s="4"/>
      <c r="EV629" s="4"/>
      <c r="EW629" s="4">
        <v>50</v>
      </c>
      <c r="EX629" s="4"/>
      <c r="EY629" s="4"/>
      <c r="EZ629" s="4">
        <v>180</v>
      </c>
      <c r="FA629" s="4"/>
      <c r="FB629" s="4"/>
      <c r="FC629" s="4"/>
      <c r="FD629" s="4"/>
      <c r="FE629" s="4"/>
      <c r="FF629" s="4"/>
      <c r="FG629" s="4"/>
      <c r="FH629" s="4"/>
      <c r="FI629" s="4"/>
      <c r="FJ629" s="4"/>
      <c r="FK629" s="4"/>
      <c r="FL629" s="4"/>
      <c r="FM629" s="4"/>
      <c r="FN629" s="4"/>
      <c r="FO629" s="4"/>
      <c r="FP629" s="4"/>
      <c r="FQ629" s="4"/>
      <c r="FR629" s="4"/>
      <c r="FS629" s="4"/>
      <c r="FT629" s="4"/>
      <c r="FU629" s="4"/>
      <c r="FV629" s="4"/>
      <c r="FW629" s="4"/>
      <c r="FX629" s="4"/>
      <c r="FY629" s="4"/>
      <c r="FZ629" s="4"/>
      <c r="GA629" s="4"/>
      <c r="GB629" s="4"/>
      <c r="GC629" s="4"/>
      <c r="GD629" s="4"/>
      <c r="GE629" s="4"/>
      <c r="GF629" s="4"/>
      <c r="GG629" s="4"/>
      <c r="GH629" s="4"/>
      <c r="GI629" s="4"/>
      <c r="GJ629" s="4"/>
      <c r="GK629" s="4"/>
      <c r="GL629" s="4"/>
      <c r="GM629" s="4"/>
      <c r="GN629" s="4"/>
      <c r="GO629" s="4"/>
      <c r="GP629" s="4"/>
      <c r="GQ629" s="4"/>
      <c r="GR629" s="4"/>
      <c r="GS629" s="4"/>
      <c r="GT629" s="4"/>
      <c r="GU629" s="4"/>
      <c r="GV629" s="4"/>
      <c r="GW629" s="4"/>
      <c r="GX629" s="4"/>
    </row>
    <row r="630">
      <c r="A630" s="2" t="s">
        <v>4000</v>
      </c>
      <c r="B630" s="2" t="s">
        <v>667</v>
      </c>
      <c r="C630" s="2" t="s">
        <v>360</v>
      </c>
      <c r="D630" s="2" t="s">
        <v>687</v>
      </c>
      <c r="E630" s="2" t="s">
        <v>699</v>
      </c>
      <c r="F630" s="2" t="s">
        <v>3985</v>
      </c>
      <c r="G630" s="2" t="s">
        <v>3986</v>
      </c>
      <c r="H630" s="2" t="s">
        <v>3987</v>
      </c>
      <c r="I630" s="2" t="s">
        <v>3988</v>
      </c>
      <c r="J630" s="2" t="s">
        <v>384</v>
      </c>
      <c r="K630" s="2" t="s">
        <v>448</v>
      </c>
      <c r="L630" s="3">
        <v>63.06</v>
      </c>
      <c r="M630" s="3">
        <v>66.21</v>
      </c>
      <c r="N630" s="3">
        <v>119.99</v>
      </c>
      <c r="O630" s="2" t="s">
        <v>224</v>
      </c>
      <c r="P630" s="2" t="s">
        <v>225</v>
      </c>
      <c r="Q630" s="2" t="s">
        <v>226</v>
      </c>
      <c r="R630" s="2" t="s">
        <v>227</v>
      </c>
      <c r="S630" s="2" t="s">
        <v>4001</v>
      </c>
      <c r="T630" s="2" t="s">
        <v>227</v>
      </c>
      <c r="U630" s="2" t="s">
        <v>1069</v>
      </c>
      <c r="V630" s="2" t="s">
        <v>3264</v>
      </c>
      <c r="W630" s="2" t="s">
        <v>581</v>
      </c>
      <c r="X630" s="2" t="s">
        <v>836</v>
      </c>
      <c r="Y630" s="2" t="s">
        <v>232</v>
      </c>
      <c r="Z630" s="4">
        <v>112</v>
      </c>
      <c r="AA630" s="4">
        <f>=ROUNDDOWN(22.4,0)</f>
      </c>
      <c r="AB630" s="5">
        <v>5</v>
      </c>
      <c r="AC630" s="2" t="s">
        <v>3997</v>
      </c>
      <c r="AD630" s="4">
        <v>30</v>
      </c>
      <c r="AE630" s="4">
        <v>340</v>
      </c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227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/>
      <c r="AW630" s="8"/>
      <c r="AX630" s="4"/>
      <c r="AY630" s="8"/>
      <c r="AZ630" s="7"/>
      <c r="BA630" s="7"/>
      <c r="BB630" s="7"/>
      <c r="BC630" s="4" t="s">
        <v>227</v>
      </c>
      <c r="BD630" s="8" t="s">
        <v>227</v>
      </c>
      <c r="BE630" s="4" t="s">
        <v>227</v>
      </c>
      <c r="BF630" s="8" t="s">
        <v>227</v>
      </c>
      <c r="BG630" s="7" t="s">
        <v>227</v>
      </c>
      <c r="BH630" s="7" t="s">
        <v>227</v>
      </c>
      <c r="BI630" s="7"/>
      <c r="BJ630" s="4">
        <v>15</v>
      </c>
      <c r="BK630" s="8">
        <v>986.18</v>
      </c>
      <c r="BL630" s="2" t="s">
        <v>3960</v>
      </c>
      <c r="BM630" s="7"/>
      <c r="BN630" s="7"/>
      <c r="BO630" s="4"/>
      <c r="BP630" s="8"/>
      <c r="BQ630" s="4"/>
      <c r="BR630" s="8"/>
      <c r="BS630" s="7"/>
      <c r="BT630" s="7"/>
      <c r="BU630" s="2" t="s">
        <v>4002</v>
      </c>
      <c r="BV630" s="2" t="s">
        <v>227</v>
      </c>
      <c r="BW630" s="2" t="s">
        <v>227</v>
      </c>
      <c r="BX630" s="2" t="s">
        <v>235</v>
      </c>
      <c r="BY630" s="2" t="s">
        <v>236</v>
      </c>
      <c r="BZ630" s="2" t="s">
        <v>224</v>
      </c>
      <c r="CA630" s="2" t="s">
        <v>237</v>
      </c>
      <c r="CB630" s="2" t="s">
        <v>443</v>
      </c>
      <c r="CC630" s="2" t="s">
        <v>239</v>
      </c>
      <c r="CD630" s="2" t="s">
        <v>227</v>
      </c>
      <c r="CE630" s="4">
        <v>112</v>
      </c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>
        <v>30</v>
      </c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>
        <v>90</v>
      </c>
      <c r="EX630" s="4"/>
      <c r="EY630" s="4"/>
      <c r="EZ630" s="4">
        <v>220</v>
      </c>
      <c r="FA630" s="4"/>
      <c r="FB630" s="4"/>
      <c r="FC630" s="4"/>
      <c r="FD630" s="4"/>
      <c r="FE630" s="4"/>
      <c r="FF630" s="4"/>
      <c r="FG630" s="4"/>
      <c r="FH630" s="4"/>
      <c r="FI630" s="4"/>
      <c r="FJ630" s="4"/>
      <c r="FK630" s="4"/>
      <c r="FL630" s="4"/>
      <c r="FM630" s="4"/>
      <c r="FN630" s="4"/>
      <c r="FO630" s="4"/>
      <c r="FP630" s="4"/>
      <c r="FQ630" s="4"/>
      <c r="FR630" s="4"/>
      <c r="FS630" s="4"/>
      <c r="FT630" s="4"/>
      <c r="FU630" s="4"/>
      <c r="FV630" s="4"/>
      <c r="FW630" s="4"/>
      <c r="FX630" s="4"/>
      <c r="FY630" s="4"/>
      <c r="FZ630" s="4"/>
      <c r="GA630" s="4"/>
      <c r="GB630" s="4"/>
      <c r="GC630" s="4"/>
      <c r="GD630" s="4"/>
      <c r="GE630" s="4"/>
      <c r="GF630" s="4"/>
      <c r="GG630" s="4"/>
      <c r="GH630" s="4"/>
      <c r="GI630" s="4"/>
      <c r="GJ630" s="4"/>
      <c r="GK630" s="4"/>
      <c r="GL630" s="4"/>
      <c r="GM630" s="4"/>
      <c r="GN630" s="4"/>
      <c r="GO630" s="4"/>
      <c r="GP630" s="4"/>
      <c r="GQ630" s="4"/>
      <c r="GR630" s="4"/>
      <c r="GS630" s="4"/>
      <c r="GT630" s="4"/>
      <c r="GU630" s="4"/>
      <c r="GV630" s="4"/>
      <c r="GW630" s="4"/>
      <c r="GX630" s="4"/>
    </row>
    <row r="631">
      <c r="A631" s="2" t="s">
        <v>4003</v>
      </c>
      <c r="B631" s="2" t="s">
        <v>573</v>
      </c>
      <c r="C631" s="2" t="s">
        <v>515</v>
      </c>
      <c r="D631" s="2" t="s">
        <v>4004</v>
      </c>
      <c r="E631" s="2" t="s">
        <v>4005</v>
      </c>
      <c r="F631" s="2" t="s">
        <v>4006</v>
      </c>
      <c r="G631" s="2" t="s">
        <v>227</v>
      </c>
      <c r="H631" s="2" t="s">
        <v>227</v>
      </c>
      <c r="I631" s="2" t="s">
        <v>4005</v>
      </c>
      <c r="J631" s="2" t="s">
        <v>548</v>
      </c>
      <c r="K631" s="2" t="s">
        <v>4007</v>
      </c>
      <c r="L631" s="3">
        <v>166.98</v>
      </c>
      <c r="M631" s="3">
        <v>175.33</v>
      </c>
      <c r="N631" s="3">
        <v>349</v>
      </c>
      <c r="O631" s="2" t="s">
        <v>224</v>
      </c>
      <c r="P631" s="2" t="s">
        <v>225</v>
      </c>
      <c r="Q631" s="2" t="s">
        <v>226</v>
      </c>
      <c r="R631" s="2" t="s">
        <v>227</v>
      </c>
      <c r="S631" s="2" t="s">
        <v>4008</v>
      </c>
      <c r="T631" s="2" t="s">
        <v>227</v>
      </c>
      <c r="U631" s="2" t="s">
        <v>227</v>
      </c>
      <c r="V631" s="2" t="s">
        <v>230</v>
      </c>
      <c r="W631" s="2" t="s">
        <v>836</v>
      </c>
      <c r="X631" s="2" t="s">
        <v>227</v>
      </c>
      <c r="Y631" s="2" t="s">
        <v>4009</v>
      </c>
      <c r="Z631" s="4">
        <v>327</v>
      </c>
      <c r="AA631" s="4">
        <f>=ROUNDDOWN(81.75,0)</f>
      </c>
      <c r="AB631" s="5">
        <v>4</v>
      </c>
      <c r="AC631" s="2" t="s">
        <v>227</v>
      </c>
      <c r="AD631" s="4"/>
      <c r="AE631" s="4"/>
      <c r="AF631" s="6">
        <v>66</v>
      </c>
      <c r="AG631" s="6">
        <v>49</v>
      </c>
      <c r="AH631" s="7">
        <v>1</v>
      </c>
      <c r="AI631" s="4"/>
      <c r="AJ631" s="4">
        <f>=ROUNDDOWN({0},0)</f>
      </c>
      <c r="AK631" s="5"/>
      <c r="AL631" s="2" t="s">
        <v>227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/>
      <c r="AW631" s="8"/>
      <c r="AX631" s="4"/>
      <c r="AY631" s="8"/>
      <c r="AZ631" s="7"/>
      <c r="BA631" s="7"/>
      <c r="BB631" s="7"/>
      <c r="BC631" s="4"/>
      <c r="BD631" s="8"/>
      <c r="BE631" s="4"/>
      <c r="BF631" s="8"/>
      <c r="BG631" s="7"/>
      <c r="BH631" s="7"/>
      <c r="BI631" s="7"/>
      <c r="BJ631" s="4">
        <v>6</v>
      </c>
      <c r="BK631" s="8">
        <v>969.72</v>
      </c>
      <c r="BL631" s="2" t="s">
        <v>4010</v>
      </c>
      <c r="BM631" s="7"/>
      <c r="BN631" s="7"/>
      <c r="BO631" s="4"/>
      <c r="BP631" s="8"/>
      <c r="BQ631" s="4"/>
      <c r="BR631" s="8"/>
      <c r="BS631" s="7"/>
      <c r="BT631" s="7"/>
      <c r="BU631" s="2" t="s">
        <v>4011</v>
      </c>
      <c r="BV631" s="2" t="s">
        <v>227</v>
      </c>
      <c r="BW631" s="2" t="s">
        <v>227</v>
      </c>
      <c r="BX631" s="2" t="s">
        <v>235</v>
      </c>
      <c r="BY631" s="2" t="s">
        <v>236</v>
      </c>
      <c r="BZ631" s="2" t="s">
        <v>224</v>
      </c>
      <c r="CA631" s="2" t="s">
        <v>4012</v>
      </c>
      <c r="CB631" s="2" t="s">
        <v>1863</v>
      </c>
      <c r="CC631" s="2" t="s">
        <v>239</v>
      </c>
      <c r="CD631" s="2" t="s">
        <v>227</v>
      </c>
      <c r="CE631" s="4"/>
      <c r="CF631" s="4">
        <v>327</v>
      </c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/>
      <c r="FD631" s="4"/>
      <c r="FE631" s="4"/>
      <c r="FF631" s="4"/>
      <c r="FG631" s="4"/>
      <c r="FH631" s="4"/>
      <c r="FI631" s="4"/>
      <c r="FJ631" s="4"/>
      <c r="FK631" s="4"/>
      <c r="FL631" s="4"/>
      <c r="FM631" s="4"/>
      <c r="FN631" s="4"/>
      <c r="FO631" s="4"/>
      <c r="FP631" s="4"/>
      <c r="FQ631" s="4"/>
      <c r="FR631" s="4"/>
      <c r="FS631" s="4"/>
      <c r="FT631" s="4"/>
      <c r="FU631" s="4"/>
      <c r="FV631" s="4"/>
      <c r="FW631" s="4"/>
      <c r="FX631" s="4"/>
      <c r="FY631" s="4"/>
      <c r="FZ631" s="4"/>
      <c r="GA631" s="4"/>
      <c r="GB631" s="4"/>
      <c r="GC631" s="4"/>
      <c r="GD631" s="4"/>
      <c r="GE631" s="4"/>
      <c r="GF631" s="4"/>
      <c r="GG631" s="4"/>
      <c r="GH631" s="4"/>
      <c r="GI631" s="4"/>
      <c r="GJ631" s="4"/>
      <c r="GK631" s="4"/>
      <c r="GL631" s="4"/>
      <c r="GM631" s="4"/>
      <c r="GN631" s="4"/>
      <c r="GO631" s="4"/>
      <c r="GP631" s="4"/>
      <c r="GQ631" s="4"/>
      <c r="GR631" s="4"/>
      <c r="GS631" s="4"/>
      <c r="GT631" s="4"/>
      <c r="GU631" s="4"/>
      <c r="GV631" s="4"/>
      <c r="GW631" s="4"/>
      <c r="GX631" s="4"/>
    </row>
    <row r="632">
      <c r="A632" s="2" t="s">
        <v>4013</v>
      </c>
      <c r="B632" s="2" t="s">
        <v>667</v>
      </c>
      <c r="C632" s="2" t="s">
        <v>360</v>
      </c>
      <c r="D632" s="2" t="s">
        <v>687</v>
      </c>
      <c r="E632" s="2" t="s">
        <v>990</v>
      </c>
      <c r="F632" s="2" t="s">
        <v>4014</v>
      </c>
      <c r="G632" s="2" t="s">
        <v>4015</v>
      </c>
      <c r="H632" s="2" t="s">
        <v>4016</v>
      </c>
      <c r="I632" s="2" t="s">
        <v>991</v>
      </c>
      <c r="J632" s="2" t="s">
        <v>384</v>
      </c>
      <c r="K632" s="2" t="s">
        <v>223</v>
      </c>
      <c r="L632" s="3">
        <v>107.8</v>
      </c>
      <c r="M632" s="3">
        <v>113.18</v>
      </c>
      <c r="N632" s="3">
        <v>219.99</v>
      </c>
      <c r="O632" s="2" t="s">
        <v>224</v>
      </c>
      <c r="P632" s="2" t="s">
        <v>225</v>
      </c>
      <c r="Q632" s="2" t="s">
        <v>226</v>
      </c>
      <c r="R632" s="2" t="s">
        <v>227</v>
      </c>
      <c r="S632" s="2" t="s">
        <v>4017</v>
      </c>
      <c r="T632" s="2" t="s">
        <v>227</v>
      </c>
      <c r="U632" s="2" t="s">
        <v>994</v>
      </c>
      <c r="V632" s="2" t="s">
        <v>925</v>
      </c>
      <c r="W632" s="2" t="s">
        <v>506</v>
      </c>
      <c r="X632" s="2" t="s">
        <v>4018</v>
      </c>
      <c r="Y632" s="2" t="s">
        <v>232</v>
      </c>
      <c r="Z632" s="4">
        <v>301</v>
      </c>
      <c r="AA632" s="4">
        <f>=ROUNDDOWN(33.4444444444444,0)</f>
      </c>
      <c r="AB632" s="5">
        <v>9</v>
      </c>
      <c r="AC632" s="2" t="s">
        <v>188</v>
      </c>
      <c r="AD632" s="4">
        <v>100</v>
      </c>
      <c r="AE632" s="4">
        <v>140</v>
      </c>
      <c r="AF632" s="6">
        <v>65</v>
      </c>
      <c r="AG632" s="6">
        <v>48</v>
      </c>
      <c r="AH632" s="7">
        <v>1</v>
      </c>
      <c r="AI632" s="4"/>
      <c r="AJ632" s="4">
        <f>=ROUNDDOWN({0},0)</f>
      </c>
      <c r="AK632" s="5"/>
      <c r="AL632" s="2" t="s">
        <v>227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/>
      <c r="AW632" s="8"/>
      <c r="AX632" s="4"/>
      <c r="AY632" s="8"/>
      <c r="AZ632" s="7"/>
      <c r="BA632" s="7"/>
      <c r="BB632" s="7"/>
      <c r="BC632" s="4"/>
      <c r="BD632" s="8"/>
      <c r="BE632" s="4"/>
      <c r="BF632" s="8"/>
      <c r="BG632" s="7"/>
      <c r="BH632" s="7"/>
      <c r="BI632" s="7"/>
      <c r="BJ632" s="4">
        <v>7</v>
      </c>
      <c r="BK632" s="8">
        <v>733.31</v>
      </c>
      <c r="BL632" s="2" t="s">
        <v>312</v>
      </c>
      <c r="BM632" s="7"/>
      <c r="BN632" s="7"/>
      <c r="BO632" s="4"/>
      <c r="BP632" s="8"/>
      <c r="BQ632" s="4"/>
      <c r="BR632" s="8"/>
      <c r="BS632" s="7"/>
      <c r="BT632" s="7"/>
      <c r="BU632" s="2" t="s">
        <v>4019</v>
      </c>
      <c r="BV632" s="2" t="s">
        <v>227</v>
      </c>
      <c r="BW632" s="2" t="s">
        <v>227</v>
      </c>
      <c r="BX632" s="2" t="s">
        <v>235</v>
      </c>
      <c r="BY632" s="2" t="s">
        <v>236</v>
      </c>
      <c r="BZ632" s="2" t="s">
        <v>224</v>
      </c>
      <c r="CA632" s="2" t="s">
        <v>237</v>
      </c>
      <c r="CB632" s="2" t="s">
        <v>4020</v>
      </c>
      <c r="CC632" s="2" t="s">
        <v>239</v>
      </c>
      <c r="CD632" s="2" t="s">
        <v>227</v>
      </c>
      <c r="CE632" s="4">
        <v>156</v>
      </c>
      <c r="CF632" s="4">
        <v>84</v>
      </c>
      <c r="CG632" s="4"/>
      <c r="CH632" s="4">
        <v>61</v>
      </c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  <c r="FG632" s="4"/>
      <c r="FH632" s="4"/>
      <c r="FI632" s="4"/>
      <c r="FJ632" s="4"/>
      <c r="FK632" s="4"/>
      <c r="FL632" s="4"/>
      <c r="FM632" s="4"/>
      <c r="FN632" s="4"/>
      <c r="FO632" s="4"/>
      <c r="FP632" s="4"/>
      <c r="FQ632" s="4"/>
      <c r="FR632" s="4"/>
      <c r="FS632" s="4"/>
      <c r="FT632" s="4"/>
      <c r="FU632" s="4"/>
      <c r="FV632" s="4"/>
      <c r="FW632" s="4"/>
      <c r="FX632" s="4">
        <v>100</v>
      </c>
      <c r="FY632" s="4"/>
      <c r="FZ632" s="4"/>
      <c r="GA632" s="4"/>
      <c r="GB632" s="4"/>
      <c r="GC632" s="4"/>
      <c r="GD632" s="4"/>
      <c r="GE632" s="4"/>
      <c r="GF632" s="4"/>
      <c r="GG632" s="4"/>
      <c r="GH632" s="4"/>
      <c r="GI632" s="4">
        <v>40</v>
      </c>
      <c r="GJ632" s="4"/>
      <c r="GK632" s="4"/>
      <c r="GL632" s="4"/>
      <c r="GM632" s="4"/>
      <c r="GN632" s="4"/>
      <c r="GO632" s="4"/>
      <c r="GP632" s="4"/>
      <c r="GQ632" s="4"/>
      <c r="GR632" s="4"/>
      <c r="GS632" s="4"/>
      <c r="GT632" s="4"/>
      <c r="GU632" s="4"/>
      <c r="GV632" s="4"/>
      <c r="GW632" s="4"/>
      <c r="GX632" s="4"/>
    </row>
    <row r="633">
      <c r="A633" s="2" t="s">
        <v>4021</v>
      </c>
      <c r="B633" s="2" t="s">
        <v>542</v>
      </c>
      <c r="C633" s="2" t="s">
        <v>360</v>
      </c>
      <c r="D633" s="2" t="s">
        <v>1039</v>
      </c>
      <c r="E633" s="2" t="s">
        <v>1377</v>
      </c>
      <c r="F633" s="2" t="s">
        <v>4022</v>
      </c>
      <c r="G633" s="2" t="s">
        <v>4023</v>
      </c>
      <c r="H633" s="2" t="s">
        <v>4022</v>
      </c>
      <c r="I633" s="2" t="s">
        <v>4024</v>
      </c>
      <c r="J633" s="2" t="s">
        <v>548</v>
      </c>
      <c r="K633" s="2" t="s">
        <v>4025</v>
      </c>
      <c r="L633" s="3">
        <v>34.2</v>
      </c>
      <c r="M633" s="3">
        <v>35.91</v>
      </c>
      <c r="N633" s="3">
        <v>67.99</v>
      </c>
      <c r="O633" s="2" t="s">
        <v>224</v>
      </c>
      <c r="P633" s="2" t="s">
        <v>580</v>
      </c>
      <c r="Q633" s="2" t="s">
        <v>226</v>
      </c>
      <c r="R633" s="2" t="s">
        <v>227</v>
      </c>
      <c r="S633" s="2" t="s">
        <v>4026</v>
      </c>
      <c r="T633" s="2" t="s">
        <v>227</v>
      </c>
      <c r="U633" s="2" t="s">
        <v>552</v>
      </c>
      <c r="V633" s="2" t="s">
        <v>925</v>
      </c>
      <c r="W633" s="2" t="s">
        <v>1381</v>
      </c>
      <c r="X633" s="2" t="s">
        <v>231</v>
      </c>
      <c r="Y633" s="2" t="s">
        <v>4027</v>
      </c>
      <c r="Z633" s="4">
        <v>61</v>
      </c>
      <c r="AA633" s="4">
        <f>=ROUNDDOWN(15.25,0)</f>
      </c>
      <c r="AB633" s="5">
        <v>4</v>
      </c>
      <c r="AC633" s="2" t="s">
        <v>179</v>
      </c>
      <c r="AD633" s="4">
        <v>100</v>
      </c>
      <c r="AE633" s="4">
        <v>100</v>
      </c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227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/>
      <c r="AW633" s="8"/>
      <c r="AX633" s="4"/>
      <c r="AY633" s="8"/>
      <c r="AZ633" s="7"/>
      <c r="BA633" s="7"/>
      <c r="BB633" s="7"/>
      <c r="BC633" s="4"/>
      <c r="BD633" s="8"/>
      <c r="BE633" s="4"/>
      <c r="BF633" s="8"/>
      <c r="BG633" s="7"/>
      <c r="BH633" s="7"/>
      <c r="BI633" s="7"/>
      <c r="BJ633" s="4">
        <v>20</v>
      </c>
      <c r="BK633" s="8">
        <v>921.6</v>
      </c>
      <c r="BL633" s="2" t="s">
        <v>4028</v>
      </c>
      <c r="BM633" s="7"/>
      <c r="BN633" s="7"/>
      <c r="BO633" s="4"/>
      <c r="BP633" s="8"/>
      <c r="BQ633" s="4"/>
      <c r="BR633" s="8"/>
      <c r="BS633" s="7"/>
      <c r="BT633" s="7"/>
      <c r="BU633" s="2" t="s">
        <v>4029</v>
      </c>
      <c r="BV633" s="2" t="s">
        <v>227</v>
      </c>
      <c r="BW633" s="2" t="s">
        <v>227</v>
      </c>
      <c r="BX633" s="2" t="s">
        <v>235</v>
      </c>
      <c r="BY633" s="2" t="s">
        <v>236</v>
      </c>
      <c r="BZ633" s="2" t="s">
        <v>224</v>
      </c>
      <c r="CA633" s="2" t="s">
        <v>3116</v>
      </c>
      <c r="CB633" s="2" t="s">
        <v>4030</v>
      </c>
      <c r="CC633" s="2" t="s">
        <v>239</v>
      </c>
      <c r="CD633" s="2" t="s">
        <v>227</v>
      </c>
      <c r="CE633" s="4"/>
      <c r="CF633" s="4">
        <v>61</v>
      </c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/>
      <c r="FG633" s="4"/>
      <c r="FH633" s="4"/>
      <c r="FI633" s="4"/>
      <c r="FJ633" s="4"/>
      <c r="FK633" s="4"/>
      <c r="FL633" s="4"/>
      <c r="FM633" s="4"/>
      <c r="FN633" s="4"/>
      <c r="FO633" s="4">
        <v>100</v>
      </c>
      <c r="FP633" s="4"/>
      <c r="FQ633" s="4"/>
      <c r="FR633" s="4"/>
      <c r="FS633" s="4"/>
      <c r="FT633" s="4"/>
      <c r="FU633" s="4"/>
      <c r="FV633" s="4"/>
      <c r="FW633" s="4"/>
      <c r="FX633" s="4"/>
      <c r="FY633" s="4"/>
      <c r="FZ633" s="4"/>
      <c r="GA633" s="4"/>
      <c r="GB633" s="4"/>
      <c r="GC633" s="4"/>
      <c r="GD633" s="4"/>
      <c r="GE633" s="4"/>
      <c r="GF633" s="4"/>
      <c r="GG633" s="4"/>
      <c r="GH633" s="4"/>
      <c r="GI633" s="4"/>
      <c r="GJ633" s="4"/>
      <c r="GK633" s="4"/>
      <c r="GL633" s="4"/>
      <c r="GM633" s="4"/>
      <c r="GN633" s="4"/>
      <c r="GO633" s="4"/>
      <c r="GP633" s="4"/>
      <c r="GQ633" s="4"/>
      <c r="GR633" s="4"/>
      <c r="GS633" s="4"/>
      <c r="GT633" s="4"/>
      <c r="GU633" s="4"/>
      <c r="GV633" s="4"/>
      <c r="GW633" s="4"/>
      <c r="GX633" s="4"/>
    </row>
    <row r="634">
      <c r="A634" s="2" t="s">
        <v>4031</v>
      </c>
      <c r="B634" s="2" t="s">
        <v>715</v>
      </c>
      <c r="C634" s="2" t="s">
        <v>360</v>
      </c>
      <c r="D634" s="2" t="s">
        <v>716</v>
      </c>
      <c r="E634" s="2" t="s">
        <v>1078</v>
      </c>
      <c r="F634" s="2" t="s">
        <v>4032</v>
      </c>
      <c r="G634" s="2" t="s">
        <v>4033</v>
      </c>
      <c r="H634" s="2" t="s">
        <v>4034</v>
      </c>
      <c r="I634" s="2" t="s">
        <v>4035</v>
      </c>
      <c r="J634" s="2" t="s">
        <v>848</v>
      </c>
      <c r="K634" s="2" t="s">
        <v>737</v>
      </c>
      <c r="L634" s="3">
        <v>11.88</v>
      </c>
      <c r="M634" s="3">
        <v>12.47</v>
      </c>
      <c r="N634" s="3">
        <v>26.99</v>
      </c>
      <c r="O634" s="2" t="s">
        <v>224</v>
      </c>
      <c r="P634" s="2" t="s">
        <v>225</v>
      </c>
      <c r="Q634" s="2" t="s">
        <v>226</v>
      </c>
      <c r="R634" s="2" t="s">
        <v>227</v>
      </c>
      <c r="S634" s="2" t="s">
        <v>4036</v>
      </c>
      <c r="T634" s="2" t="s">
        <v>227</v>
      </c>
      <c r="U634" s="2" t="s">
        <v>552</v>
      </c>
      <c r="V634" s="2" t="s">
        <v>1045</v>
      </c>
      <c r="W634" s="2" t="s">
        <v>1045</v>
      </c>
      <c r="X634" s="2" t="s">
        <v>1078</v>
      </c>
      <c r="Y634" s="2" t="s">
        <v>4037</v>
      </c>
      <c r="Z634" s="4">
        <v>134</v>
      </c>
      <c r="AA634" s="4">
        <f>=ROUNDDOWN(7.44444444444445,0)</f>
      </c>
      <c r="AB634" s="5">
        <v>18</v>
      </c>
      <c r="AC634" s="2" t="s">
        <v>850</v>
      </c>
      <c r="AD634" s="4">
        <v>300</v>
      </c>
      <c r="AE634" s="4">
        <v>520</v>
      </c>
      <c r="AF634" s="6">
        <v>65</v>
      </c>
      <c r="AG634" s="6"/>
      <c r="AH634" s="7">
        <v>1</v>
      </c>
      <c r="AI634" s="4"/>
      <c r="AJ634" s="4">
        <f>=ROUNDDOWN({0},0)</f>
      </c>
      <c r="AK634" s="5"/>
      <c r="AL634" s="2" t="s">
        <v>227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 t="s">
        <v>227</v>
      </c>
      <c r="AW634" s="8" t="s">
        <v>227</v>
      </c>
      <c r="AX634" s="4" t="s">
        <v>227</v>
      </c>
      <c r="AY634" s="8" t="s">
        <v>227</v>
      </c>
      <c r="AZ634" s="7" t="s">
        <v>227</v>
      </c>
      <c r="BA634" s="7" t="s">
        <v>227</v>
      </c>
      <c r="BB634" s="7"/>
      <c r="BC634" s="4" t="s">
        <v>227</v>
      </c>
      <c r="BD634" s="8" t="s">
        <v>227</v>
      </c>
      <c r="BE634" s="4" t="s">
        <v>227</v>
      </c>
      <c r="BF634" s="8" t="s">
        <v>227</v>
      </c>
      <c r="BG634" s="7" t="s">
        <v>227</v>
      </c>
      <c r="BH634" s="7" t="s">
        <v>227</v>
      </c>
      <c r="BI634" s="7"/>
      <c r="BJ634" s="4">
        <v>38</v>
      </c>
      <c r="BK634" s="8">
        <v>699.18</v>
      </c>
      <c r="BL634" s="2" t="s">
        <v>4038</v>
      </c>
      <c r="BM634" s="7"/>
      <c r="BN634" s="7"/>
      <c r="BO634" s="4"/>
      <c r="BP634" s="8"/>
      <c r="BQ634" s="4"/>
      <c r="BR634" s="8"/>
      <c r="BS634" s="7"/>
      <c r="BT634" s="7"/>
      <c r="BU634" s="2" t="s">
        <v>4039</v>
      </c>
      <c r="BV634" s="2" t="s">
        <v>227</v>
      </c>
      <c r="BW634" s="2" t="s">
        <v>227</v>
      </c>
      <c r="BX634" s="2" t="s">
        <v>2877</v>
      </c>
      <c r="BY634" s="2" t="s">
        <v>236</v>
      </c>
      <c r="BZ634" s="2" t="s">
        <v>224</v>
      </c>
      <c r="CA634" s="2" t="s">
        <v>4040</v>
      </c>
      <c r="CB634" s="2" t="s">
        <v>4041</v>
      </c>
      <c r="CC634" s="2" t="s">
        <v>239</v>
      </c>
      <c r="CD634" s="2" t="s">
        <v>227</v>
      </c>
      <c r="CE634" s="4">
        <v>134</v>
      </c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>
        <v>300</v>
      </c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>
        <v>120</v>
      </c>
      <c r="FF634" s="4"/>
      <c r="FG634" s="4"/>
      <c r="FH634" s="4"/>
      <c r="FI634" s="4"/>
      <c r="FJ634" s="4"/>
      <c r="FK634" s="4"/>
      <c r="FL634" s="4"/>
      <c r="FM634" s="4"/>
      <c r="FN634" s="4"/>
      <c r="FO634" s="4"/>
      <c r="FP634" s="4"/>
      <c r="FQ634" s="4"/>
      <c r="FR634" s="4"/>
      <c r="FS634" s="4"/>
      <c r="FT634" s="4"/>
      <c r="FU634" s="4"/>
      <c r="FV634" s="4"/>
      <c r="FW634" s="4"/>
      <c r="FX634" s="4"/>
      <c r="FY634" s="4"/>
      <c r="FZ634" s="4"/>
      <c r="GA634" s="4"/>
      <c r="GB634" s="4"/>
      <c r="GC634" s="4"/>
      <c r="GD634" s="4"/>
      <c r="GE634" s="4"/>
      <c r="GF634" s="4"/>
      <c r="GG634" s="4"/>
      <c r="GH634" s="4"/>
      <c r="GI634" s="4"/>
      <c r="GJ634" s="4"/>
      <c r="GK634" s="4"/>
      <c r="GL634" s="4"/>
      <c r="GM634" s="4"/>
      <c r="GN634" s="4"/>
      <c r="GO634" s="4"/>
      <c r="GP634" s="4"/>
      <c r="GQ634" s="4"/>
      <c r="GR634" s="4"/>
      <c r="GS634" s="4">
        <v>100</v>
      </c>
      <c r="GT634" s="4"/>
      <c r="GU634" s="4"/>
      <c r="GV634" s="4"/>
      <c r="GW634" s="4"/>
      <c r="GX634" s="4"/>
    </row>
    <row r="635">
      <c r="A635" s="2" t="s">
        <v>4042</v>
      </c>
      <c r="B635" s="2" t="s">
        <v>715</v>
      </c>
      <c r="C635" s="2" t="s">
        <v>360</v>
      </c>
      <c r="D635" s="2" t="s">
        <v>716</v>
      </c>
      <c r="E635" s="2" t="s">
        <v>1078</v>
      </c>
      <c r="F635" s="2" t="s">
        <v>4032</v>
      </c>
      <c r="G635" s="2" t="s">
        <v>4033</v>
      </c>
      <c r="H635" s="2" t="s">
        <v>4034</v>
      </c>
      <c r="I635" s="2" t="s">
        <v>4035</v>
      </c>
      <c r="J635" s="2" t="s">
        <v>808</v>
      </c>
      <c r="K635" s="2" t="s">
        <v>737</v>
      </c>
      <c r="L635" s="3">
        <v>15.91</v>
      </c>
      <c r="M635" s="3">
        <v>16.71</v>
      </c>
      <c r="N635" s="3">
        <v>36.99</v>
      </c>
      <c r="O635" s="2" t="s">
        <v>224</v>
      </c>
      <c r="P635" s="2" t="s">
        <v>225</v>
      </c>
      <c r="Q635" s="2" t="s">
        <v>226</v>
      </c>
      <c r="R635" s="2" t="s">
        <v>227</v>
      </c>
      <c r="S635" s="2" t="s">
        <v>4036</v>
      </c>
      <c r="T635" s="2" t="s">
        <v>227</v>
      </c>
      <c r="U635" s="2" t="s">
        <v>552</v>
      </c>
      <c r="V635" s="2" t="s">
        <v>1045</v>
      </c>
      <c r="W635" s="2" t="s">
        <v>1045</v>
      </c>
      <c r="X635" s="2" t="s">
        <v>1078</v>
      </c>
      <c r="Y635" s="2" t="s">
        <v>4037</v>
      </c>
      <c r="Z635" s="4">
        <v>322</v>
      </c>
      <c r="AA635" s="4">
        <f>=ROUNDDOWN(26.8333333333333,0)</f>
      </c>
      <c r="AB635" s="5">
        <v>12</v>
      </c>
      <c r="AC635" s="2" t="s">
        <v>169</v>
      </c>
      <c r="AD635" s="4">
        <v>40</v>
      </c>
      <c r="AE635" s="4">
        <v>140</v>
      </c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227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 t="s">
        <v>227</v>
      </c>
      <c r="AW635" s="8" t="s">
        <v>227</v>
      </c>
      <c r="AX635" s="4" t="s">
        <v>227</v>
      </c>
      <c r="AY635" s="8" t="s">
        <v>227</v>
      </c>
      <c r="AZ635" s="7" t="s">
        <v>227</v>
      </c>
      <c r="BA635" s="7" t="s">
        <v>227</v>
      </c>
      <c r="BB635" s="7"/>
      <c r="BC635" s="4" t="s">
        <v>227</v>
      </c>
      <c r="BD635" s="8" t="s">
        <v>227</v>
      </c>
      <c r="BE635" s="4" t="s">
        <v>227</v>
      </c>
      <c r="BF635" s="8" t="s">
        <v>227</v>
      </c>
      <c r="BG635" s="7" t="s">
        <v>227</v>
      </c>
      <c r="BH635" s="7" t="s">
        <v>227</v>
      </c>
      <c r="BI635" s="7"/>
      <c r="BJ635" s="4">
        <v>33</v>
      </c>
      <c r="BK635" s="8">
        <v>571.98</v>
      </c>
      <c r="BL635" s="2" t="s">
        <v>4043</v>
      </c>
      <c r="BM635" s="7"/>
      <c r="BN635" s="7"/>
      <c r="BO635" s="4"/>
      <c r="BP635" s="8"/>
      <c r="BQ635" s="4"/>
      <c r="BR635" s="8"/>
      <c r="BS635" s="7"/>
      <c r="BT635" s="7"/>
      <c r="BU635" s="2" t="s">
        <v>4044</v>
      </c>
      <c r="BV635" s="2" t="s">
        <v>227</v>
      </c>
      <c r="BW635" s="2" t="s">
        <v>227</v>
      </c>
      <c r="BX635" s="2" t="s">
        <v>2877</v>
      </c>
      <c r="BY635" s="2" t="s">
        <v>236</v>
      </c>
      <c r="BZ635" s="2" t="s">
        <v>224</v>
      </c>
      <c r="CA635" s="2" t="s">
        <v>4040</v>
      </c>
      <c r="CB635" s="2" t="s">
        <v>4045</v>
      </c>
      <c r="CC635" s="2" t="s">
        <v>239</v>
      </c>
      <c r="CD635" s="2" t="s">
        <v>227</v>
      </c>
      <c r="CE635" s="4">
        <v>322</v>
      </c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>
        <v>40</v>
      </c>
      <c r="FF635" s="4"/>
      <c r="FG635" s="4"/>
      <c r="FH635" s="4"/>
      <c r="FI635" s="4"/>
      <c r="FJ635" s="4"/>
      <c r="FK635" s="4"/>
      <c r="FL635" s="4"/>
      <c r="FM635" s="4"/>
      <c r="FN635" s="4"/>
      <c r="FO635" s="4"/>
      <c r="FP635" s="4"/>
      <c r="FQ635" s="4"/>
      <c r="FR635" s="4"/>
      <c r="FS635" s="4"/>
      <c r="FT635" s="4"/>
      <c r="FU635" s="4"/>
      <c r="FV635" s="4"/>
      <c r="FW635" s="4"/>
      <c r="FX635" s="4"/>
      <c r="FY635" s="4"/>
      <c r="FZ635" s="4"/>
      <c r="GA635" s="4"/>
      <c r="GB635" s="4"/>
      <c r="GC635" s="4"/>
      <c r="GD635" s="4"/>
      <c r="GE635" s="4"/>
      <c r="GF635" s="4"/>
      <c r="GG635" s="4"/>
      <c r="GH635" s="4"/>
      <c r="GI635" s="4"/>
      <c r="GJ635" s="4"/>
      <c r="GK635" s="4"/>
      <c r="GL635" s="4"/>
      <c r="GM635" s="4"/>
      <c r="GN635" s="4"/>
      <c r="GO635" s="4"/>
      <c r="GP635" s="4"/>
      <c r="GQ635" s="4"/>
      <c r="GR635" s="4"/>
      <c r="GS635" s="4">
        <v>100</v>
      </c>
      <c r="GT635" s="4"/>
      <c r="GU635" s="4"/>
      <c r="GV635" s="4"/>
      <c r="GW635" s="4"/>
      <c r="GX635" s="4"/>
    </row>
    <row r="636">
      <c r="A636" s="2" t="s">
        <v>4046</v>
      </c>
      <c r="B636" s="2" t="s">
        <v>715</v>
      </c>
      <c r="C636" s="2" t="s">
        <v>360</v>
      </c>
      <c r="D636" s="2" t="s">
        <v>716</v>
      </c>
      <c r="E636" s="2" t="s">
        <v>1078</v>
      </c>
      <c r="F636" s="2" t="s">
        <v>4032</v>
      </c>
      <c r="G636" s="2" t="s">
        <v>4033</v>
      </c>
      <c r="H636" s="2" t="s">
        <v>4034</v>
      </c>
      <c r="I636" s="2" t="s">
        <v>4035</v>
      </c>
      <c r="J636" s="2" t="s">
        <v>848</v>
      </c>
      <c r="K636" s="2" t="s">
        <v>264</v>
      </c>
      <c r="L636" s="3">
        <v>11.88</v>
      </c>
      <c r="M636" s="3">
        <v>12.47</v>
      </c>
      <c r="N636" s="3">
        <v>26.99</v>
      </c>
      <c r="O636" s="2" t="s">
        <v>224</v>
      </c>
      <c r="P636" s="2" t="s">
        <v>485</v>
      </c>
      <c r="Q636" s="2" t="s">
        <v>226</v>
      </c>
      <c r="R636" s="2" t="s">
        <v>227</v>
      </c>
      <c r="S636" s="2" t="s">
        <v>4047</v>
      </c>
      <c r="T636" s="2" t="s">
        <v>227</v>
      </c>
      <c r="U636" s="2" t="s">
        <v>227</v>
      </c>
      <c r="V636" s="2" t="s">
        <v>1045</v>
      </c>
      <c r="W636" s="2" t="s">
        <v>1045</v>
      </c>
      <c r="X636" s="2" t="s">
        <v>1078</v>
      </c>
      <c r="Y636" s="2" t="s">
        <v>4048</v>
      </c>
      <c r="Z636" s="4">
        <v>734</v>
      </c>
      <c r="AA636" s="4">
        <f>=ROUNDDOWN(17.4761904761905,0)</f>
      </c>
      <c r="AB636" s="5">
        <v>42</v>
      </c>
      <c r="AC636" s="2" t="s">
        <v>182</v>
      </c>
      <c r="AD636" s="4">
        <v>260</v>
      </c>
      <c r="AE636" s="4">
        <v>640</v>
      </c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227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/>
      <c r="AW636" s="8"/>
      <c r="AX636" s="4"/>
      <c r="AY636" s="8"/>
      <c r="AZ636" s="7"/>
      <c r="BA636" s="7"/>
      <c r="BB636" s="7"/>
      <c r="BC636" s="4" t="s">
        <v>227</v>
      </c>
      <c r="BD636" s="8" t="s">
        <v>227</v>
      </c>
      <c r="BE636" s="4" t="s">
        <v>227</v>
      </c>
      <c r="BF636" s="8" t="s">
        <v>227</v>
      </c>
      <c r="BG636" s="7" t="s">
        <v>227</v>
      </c>
      <c r="BH636" s="7" t="s">
        <v>227</v>
      </c>
      <c r="BI636" s="7"/>
      <c r="BJ636" s="4">
        <v>128</v>
      </c>
      <c r="BK636" s="8">
        <v>1546.15</v>
      </c>
      <c r="BL636" s="2" t="s">
        <v>4049</v>
      </c>
      <c r="BM636" s="7"/>
      <c r="BN636" s="7"/>
      <c r="BO636" s="4"/>
      <c r="BP636" s="8"/>
      <c r="BQ636" s="4"/>
      <c r="BR636" s="8"/>
      <c r="BS636" s="7"/>
      <c r="BT636" s="7"/>
      <c r="BU636" s="2" t="s">
        <v>4050</v>
      </c>
      <c r="BV636" s="2" t="s">
        <v>227</v>
      </c>
      <c r="BW636" s="2" t="s">
        <v>227</v>
      </c>
      <c r="BX636" s="2" t="s">
        <v>2877</v>
      </c>
      <c r="BY636" s="2" t="s">
        <v>236</v>
      </c>
      <c r="BZ636" s="2" t="s">
        <v>224</v>
      </c>
      <c r="CA636" s="2" t="s">
        <v>4051</v>
      </c>
      <c r="CB636" s="2" t="s">
        <v>1354</v>
      </c>
      <c r="CC636" s="2" t="s">
        <v>239</v>
      </c>
      <c r="CD636" s="2" t="s">
        <v>227</v>
      </c>
      <c r="CE636" s="4">
        <v>734</v>
      </c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  <c r="FG636" s="4"/>
      <c r="FH636" s="4"/>
      <c r="FI636" s="4"/>
      <c r="FJ636" s="4"/>
      <c r="FK636" s="4"/>
      <c r="FL636" s="4"/>
      <c r="FM636" s="4"/>
      <c r="FN636" s="4"/>
      <c r="FO636" s="4"/>
      <c r="FP636" s="4"/>
      <c r="FQ636" s="4"/>
      <c r="FR636" s="4">
        <v>260</v>
      </c>
      <c r="FS636" s="4"/>
      <c r="FT636" s="4"/>
      <c r="FU636" s="4"/>
      <c r="FV636" s="4"/>
      <c r="FW636" s="4"/>
      <c r="FX636" s="4"/>
      <c r="FY636" s="4"/>
      <c r="FZ636" s="4"/>
      <c r="GA636" s="4"/>
      <c r="GB636" s="4"/>
      <c r="GC636" s="4"/>
      <c r="GD636" s="4"/>
      <c r="GE636" s="4"/>
      <c r="GF636" s="4"/>
      <c r="GG636" s="4"/>
      <c r="GH636" s="4"/>
      <c r="GI636" s="4"/>
      <c r="GJ636" s="4"/>
      <c r="GK636" s="4"/>
      <c r="GL636" s="4"/>
      <c r="GM636" s="4"/>
      <c r="GN636" s="4"/>
      <c r="GO636" s="4"/>
      <c r="GP636" s="4"/>
      <c r="GQ636" s="4"/>
      <c r="GR636" s="4"/>
      <c r="GS636" s="4">
        <v>380</v>
      </c>
      <c r="GT636" s="4"/>
      <c r="GU636" s="4"/>
      <c r="GV636" s="4"/>
      <c r="GW636" s="4"/>
      <c r="GX636" s="4"/>
    </row>
    <row r="637">
      <c r="A637" s="2" t="s">
        <v>4052</v>
      </c>
      <c r="B637" s="2" t="s">
        <v>573</v>
      </c>
      <c r="C637" s="2" t="s">
        <v>668</v>
      </c>
      <c r="D637" s="2" t="s">
        <v>1230</v>
      </c>
      <c r="E637" s="2" t="s">
        <v>1231</v>
      </c>
      <c r="F637" s="2" t="s">
        <v>4053</v>
      </c>
      <c r="G637" s="2" t="s">
        <v>4053</v>
      </c>
      <c r="H637" s="2" t="s">
        <v>4053</v>
      </c>
      <c r="I637" s="2" t="s">
        <v>4054</v>
      </c>
      <c r="J637" s="2" t="s">
        <v>548</v>
      </c>
      <c r="K637" s="2" t="s">
        <v>827</v>
      </c>
      <c r="L637" s="3">
        <v>190</v>
      </c>
      <c r="M637" s="3">
        <v>199.5</v>
      </c>
      <c r="N637" s="3">
        <v>399</v>
      </c>
      <c r="O637" s="2" t="s">
        <v>224</v>
      </c>
      <c r="P637" s="2" t="s">
        <v>580</v>
      </c>
      <c r="Q637" s="2" t="s">
        <v>226</v>
      </c>
      <c r="R637" s="2" t="s">
        <v>227</v>
      </c>
      <c r="S637" s="2" t="s">
        <v>227</v>
      </c>
      <c r="T637" s="2" t="s">
        <v>227</v>
      </c>
      <c r="U637" s="2" t="s">
        <v>1044</v>
      </c>
      <c r="V637" s="2" t="s">
        <v>230</v>
      </c>
      <c r="W637" s="2" t="s">
        <v>836</v>
      </c>
      <c r="X637" s="2" t="s">
        <v>676</v>
      </c>
      <c r="Y637" s="2" t="s">
        <v>4055</v>
      </c>
      <c r="Z637" s="4">
        <v>109</v>
      </c>
      <c r="AA637" s="4">
        <f>=ROUNDDOWN(109,0)</f>
      </c>
      <c r="AB637" s="5">
        <v>1</v>
      </c>
      <c r="AC637" s="2" t="s">
        <v>227</v>
      </c>
      <c r="AD637" s="4"/>
      <c r="AE637" s="4"/>
      <c r="AF637" s="6">
        <v>67</v>
      </c>
      <c r="AG637" s="6"/>
      <c r="AH637" s="7">
        <v>1</v>
      </c>
      <c r="AI637" s="4"/>
      <c r="AJ637" s="4">
        <f>=ROUNDDOWN({0},0)</f>
      </c>
      <c r="AK637" s="5"/>
      <c r="AL637" s="2" t="s">
        <v>227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/>
      <c r="AW637" s="8"/>
      <c r="AX637" s="4"/>
      <c r="AY637" s="8"/>
      <c r="AZ637" s="7"/>
      <c r="BA637" s="7"/>
      <c r="BB637" s="7"/>
      <c r="BC637" s="4"/>
      <c r="BD637" s="8"/>
      <c r="BE637" s="4"/>
      <c r="BF637" s="8"/>
      <c r="BG637" s="7"/>
      <c r="BH637" s="7"/>
      <c r="BI637" s="7"/>
      <c r="BJ637" s="4">
        <v>8</v>
      </c>
      <c r="BK637" s="8">
        <v>1639.21</v>
      </c>
      <c r="BL637" s="2" t="s">
        <v>4056</v>
      </c>
      <c r="BM637" s="7"/>
      <c r="BN637" s="7"/>
      <c r="BO637" s="4"/>
      <c r="BP637" s="8"/>
      <c r="BQ637" s="4"/>
      <c r="BR637" s="8"/>
      <c r="BS637" s="7"/>
      <c r="BT637" s="7"/>
      <c r="BU637" s="2" t="s">
        <v>4057</v>
      </c>
      <c r="BV637" s="2" t="s">
        <v>227</v>
      </c>
      <c r="BW637" s="2" t="s">
        <v>227</v>
      </c>
      <c r="BX637" s="2" t="s">
        <v>235</v>
      </c>
      <c r="BY637" s="2" t="s">
        <v>236</v>
      </c>
      <c r="BZ637" s="2" t="s">
        <v>224</v>
      </c>
      <c r="CA637" s="2" t="s">
        <v>4058</v>
      </c>
      <c r="CB637" s="2" t="s">
        <v>4059</v>
      </c>
      <c r="CC637" s="2" t="s">
        <v>239</v>
      </c>
      <c r="CD637" s="2" t="s">
        <v>227</v>
      </c>
      <c r="CE637" s="4"/>
      <c r="CF637" s="4">
        <v>109</v>
      </c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  <c r="FG637" s="4"/>
      <c r="FH637" s="4"/>
      <c r="FI637" s="4"/>
      <c r="FJ637" s="4"/>
      <c r="FK637" s="4"/>
      <c r="FL637" s="4"/>
      <c r="FM637" s="4"/>
      <c r="FN637" s="4"/>
      <c r="FO637" s="4"/>
      <c r="FP637" s="4"/>
      <c r="FQ637" s="4"/>
      <c r="FR637" s="4"/>
      <c r="FS637" s="4"/>
      <c r="FT637" s="4"/>
      <c r="FU637" s="4"/>
      <c r="FV637" s="4"/>
      <c r="FW637" s="4"/>
      <c r="FX637" s="4"/>
      <c r="FY637" s="4"/>
      <c r="FZ637" s="4"/>
      <c r="GA637" s="4"/>
      <c r="GB637" s="4"/>
      <c r="GC637" s="4"/>
      <c r="GD637" s="4"/>
      <c r="GE637" s="4"/>
      <c r="GF637" s="4"/>
      <c r="GG637" s="4"/>
      <c r="GH637" s="4"/>
      <c r="GI637" s="4"/>
      <c r="GJ637" s="4"/>
      <c r="GK637" s="4"/>
      <c r="GL637" s="4"/>
      <c r="GM637" s="4"/>
      <c r="GN637" s="4"/>
      <c r="GO637" s="4"/>
      <c r="GP637" s="4"/>
      <c r="GQ637" s="4"/>
      <c r="GR637" s="4"/>
      <c r="GS637" s="4"/>
      <c r="GT637" s="4"/>
      <c r="GU637" s="4"/>
      <c r="GV637" s="4"/>
      <c r="GW637" s="4"/>
      <c r="GX637" s="4"/>
    </row>
    <row r="638">
      <c r="A638" s="2" t="s">
        <v>4060</v>
      </c>
      <c r="B638" s="2" t="s">
        <v>542</v>
      </c>
      <c r="C638" s="2" t="s">
        <v>543</v>
      </c>
      <c r="D638" s="2" t="s">
        <v>1039</v>
      </c>
      <c r="E638" s="2" t="s">
        <v>4061</v>
      </c>
      <c r="F638" s="2" t="s">
        <v>2873</v>
      </c>
      <c r="G638" s="2" t="s">
        <v>2873</v>
      </c>
      <c r="H638" s="2" t="s">
        <v>2873</v>
      </c>
      <c r="I638" s="2" t="s">
        <v>4062</v>
      </c>
      <c r="J638" s="2" t="s">
        <v>548</v>
      </c>
      <c r="K638" s="2" t="s">
        <v>4063</v>
      </c>
      <c r="L638" s="3">
        <v>40.47</v>
      </c>
      <c r="M638" s="3">
        <v>42.49</v>
      </c>
      <c r="N638" s="3">
        <v>84.99</v>
      </c>
      <c r="O638" s="2" t="s">
        <v>224</v>
      </c>
      <c r="P638" s="2" t="s">
        <v>580</v>
      </c>
      <c r="Q638" s="2" t="s">
        <v>226</v>
      </c>
      <c r="R638" s="2" t="s">
        <v>227</v>
      </c>
      <c r="S638" s="2" t="s">
        <v>227</v>
      </c>
      <c r="T638" s="2" t="s">
        <v>227</v>
      </c>
      <c r="U638" s="2" t="s">
        <v>552</v>
      </c>
      <c r="V638" s="2" t="s">
        <v>301</v>
      </c>
      <c r="W638" s="2" t="s">
        <v>2864</v>
      </c>
      <c r="X638" s="2" t="s">
        <v>1008</v>
      </c>
      <c r="Y638" s="2" t="s">
        <v>567</v>
      </c>
      <c r="Z638" s="4">
        <v>26</v>
      </c>
      <c r="AA638" s="4">
        <f>=ROUNDDOWN(9.28571428571429,0)</f>
      </c>
      <c r="AB638" s="5">
        <v>2.8</v>
      </c>
      <c r="AC638" s="2" t="s">
        <v>227</v>
      </c>
      <c r="AD638" s="4"/>
      <c r="AE638" s="4"/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227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/>
      <c r="AW638" s="8"/>
      <c r="AX638" s="4"/>
      <c r="AY638" s="8"/>
      <c r="AZ638" s="7"/>
      <c r="BA638" s="7"/>
      <c r="BB638" s="7"/>
      <c r="BC638" s="4"/>
      <c r="BD638" s="8"/>
      <c r="BE638" s="4"/>
      <c r="BF638" s="8"/>
      <c r="BG638" s="7"/>
      <c r="BH638" s="7"/>
      <c r="BI638" s="7"/>
      <c r="BJ638" s="4">
        <v>4</v>
      </c>
      <c r="BK638" s="8">
        <v>172.09</v>
      </c>
      <c r="BL638" s="2" t="s">
        <v>1155</v>
      </c>
      <c r="BM638" s="7"/>
      <c r="BN638" s="7"/>
      <c r="BO638" s="4"/>
      <c r="BP638" s="8"/>
      <c r="BQ638" s="4"/>
      <c r="BR638" s="8"/>
      <c r="BS638" s="7"/>
      <c r="BT638" s="7"/>
      <c r="BU638" s="2" t="s">
        <v>4064</v>
      </c>
      <c r="BV638" s="2" t="s">
        <v>227</v>
      </c>
      <c r="BW638" s="2" t="s">
        <v>227</v>
      </c>
      <c r="BX638" s="2" t="s">
        <v>235</v>
      </c>
      <c r="BY638" s="2" t="s">
        <v>236</v>
      </c>
      <c r="BZ638" s="2" t="s">
        <v>224</v>
      </c>
      <c r="CA638" s="2" t="s">
        <v>570</v>
      </c>
      <c r="CB638" s="2" t="s">
        <v>3542</v>
      </c>
      <c r="CC638" s="2" t="s">
        <v>239</v>
      </c>
      <c r="CD638" s="2" t="s">
        <v>227</v>
      </c>
      <c r="CE638" s="4"/>
      <c r="CF638" s="4">
        <v>26</v>
      </c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  <c r="FG638" s="4"/>
      <c r="FH638" s="4"/>
      <c r="FI638" s="4"/>
      <c r="FJ638" s="4"/>
      <c r="FK638" s="4"/>
      <c r="FL638" s="4"/>
      <c r="FM638" s="4"/>
      <c r="FN638" s="4"/>
      <c r="FO638" s="4"/>
      <c r="FP638" s="4"/>
      <c r="FQ638" s="4"/>
      <c r="FR638" s="4"/>
      <c r="FS638" s="4"/>
      <c r="FT638" s="4"/>
      <c r="FU638" s="4"/>
      <c r="FV638" s="4"/>
      <c r="FW638" s="4"/>
      <c r="FX638" s="4"/>
      <c r="FY638" s="4"/>
      <c r="FZ638" s="4"/>
      <c r="GA638" s="4"/>
      <c r="GB638" s="4"/>
      <c r="GC638" s="4"/>
      <c r="GD638" s="4"/>
      <c r="GE638" s="4"/>
      <c r="GF638" s="4"/>
      <c r="GG638" s="4"/>
      <c r="GH638" s="4"/>
      <c r="GI638" s="4"/>
      <c r="GJ638" s="4"/>
      <c r="GK638" s="4"/>
      <c r="GL638" s="4"/>
      <c r="GM638" s="4"/>
      <c r="GN638" s="4"/>
      <c r="GO638" s="4"/>
      <c r="GP638" s="4"/>
      <c r="GQ638" s="4"/>
      <c r="GR638" s="4"/>
      <c r="GS638" s="4"/>
      <c r="GT638" s="4"/>
      <c r="GU638" s="4"/>
      <c r="GV638" s="4"/>
      <c r="GW638" s="4"/>
      <c r="GX638" s="4"/>
    </row>
    <row r="639">
      <c r="A639" s="2" t="s">
        <v>4065</v>
      </c>
      <c r="B639" s="2" t="s">
        <v>542</v>
      </c>
      <c r="C639" s="2" t="s">
        <v>360</v>
      </c>
      <c r="D639" s="2" t="s">
        <v>1052</v>
      </c>
      <c r="E639" s="2" t="s">
        <v>1053</v>
      </c>
      <c r="F639" s="2" t="s">
        <v>4066</v>
      </c>
      <c r="G639" s="2" t="s">
        <v>4066</v>
      </c>
      <c r="H639" s="2" t="s">
        <v>4066</v>
      </c>
      <c r="I639" s="2" t="s">
        <v>4067</v>
      </c>
      <c r="J639" s="2" t="s">
        <v>548</v>
      </c>
      <c r="K639" s="2" t="s">
        <v>549</v>
      </c>
      <c r="L639" s="3">
        <v>16.15</v>
      </c>
      <c r="M639" s="3">
        <v>16.96</v>
      </c>
      <c r="N639" s="3">
        <v>33.99</v>
      </c>
      <c r="O639" s="2" t="s">
        <v>224</v>
      </c>
      <c r="P639" s="2" t="s">
        <v>580</v>
      </c>
      <c r="Q639" s="2" t="s">
        <v>226</v>
      </c>
      <c r="R639" s="2" t="s">
        <v>227</v>
      </c>
      <c r="S639" s="2" t="s">
        <v>4068</v>
      </c>
      <c r="T639" s="2" t="s">
        <v>227</v>
      </c>
      <c r="U639" s="2" t="s">
        <v>674</v>
      </c>
      <c r="V639" s="2" t="s">
        <v>629</v>
      </c>
      <c r="W639" s="2" t="s">
        <v>581</v>
      </c>
      <c r="X639" s="2" t="s">
        <v>227</v>
      </c>
      <c r="Y639" s="2" t="s">
        <v>232</v>
      </c>
      <c r="Z639" s="4">
        <v>101</v>
      </c>
      <c r="AA639" s="4">
        <f>=ROUNDDOWN(16.8333333333333,0)</f>
      </c>
      <c r="AB639" s="5">
        <v>6</v>
      </c>
      <c r="AC639" s="2" t="s">
        <v>164</v>
      </c>
      <c r="AD639" s="4">
        <v>100</v>
      </c>
      <c r="AE639" s="4">
        <v>100</v>
      </c>
      <c r="AF639" s="6">
        <v>63</v>
      </c>
      <c r="AG639" s="6">
        <v>46</v>
      </c>
      <c r="AH639" s="7">
        <v>0.5484</v>
      </c>
      <c r="AI639" s="4"/>
      <c r="AJ639" s="4">
        <f>=ROUNDDOWN({0},0)</f>
      </c>
      <c r="AK639" s="5"/>
      <c r="AL639" s="2" t="s">
        <v>227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/>
      <c r="AW639" s="8"/>
      <c r="AX639" s="4"/>
      <c r="AY639" s="8"/>
      <c r="AZ639" s="7"/>
      <c r="BA639" s="7"/>
      <c r="BB639" s="7"/>
      <c r="BC639" s="4"/>
      <c r="BD639" s="8"/>
      <c r="BE639" s="4"/>
      <c r="BF639" s="8"/>
      <c r="BG639" s="7"/>
      <c r="BH639" s="7"/>
      <c r="BI639" s="7"/>
      <c r="BJ639" s="4">
        <v>5</v>
      </c>
      <c r="BK639" s="8">
        <v>81.92</v>
      </c>
      <c r="BL639" s="2" t="s">
        <v>4069</v>
      </c>
      <c r="BM639" s="7"/>
      <c r="BN639" s="7"/>
      <c r="BO639" s="4"/>
      <c r="BP639" s="8"/>
      <c r="BQ639" s="4"/>
      <c r="BR639" s="8"/>
      <c r="BS639" s="7"/>
      <c r="BT639" s="7"/>
      <c r="BU639" s="2" t="s">
        <v>4070</v>
      </c>
      <c r="BV639" s="2" t="s">
        <v>227</v>
      </c>
      <c r="BW639" s="2" t="s">
        <v>227</v>
      </c>
      <c r="BX639" s="2" t="s">
        <v>235</v>
      </c>
      <c r="BY639" s="2" t="s">
        <v>236</v>
      </c>
      <c r="BZ639" s="2" t="s">
        <v>224</v>
      </c>
      <c r="CA639" s="2" t="s">
        <v>237</v>
      </c>
      <c r="CB639" s="2" t="s">
        <v>4071</v>
      </c>
      <c r="CC639" s="2" t="s">
        <v>239</v>
      </c>
      <c r="CD639" s="2" t="s">
        <v>227</v>
      </c>
      <c r="CE639" s="4"/>
      <c r="CF639" s="4">
        <v>101</v>
      </c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>
        <v>100</v>
      </c>
      <c r="FA639" s="4"/>
      <c r="FB639" s="4"/>
      <c r="FC639" s="4"/>
      <c r="FD639" s="4"/>
      <c r="FE639" s="4"/>
      <c r="FF639" s="4"/>
      <c r="FG639" s="4"/>
      <c r="FH639" s="4"/>
      <c r="FI639" s="4"/>
      <c r="FJ639" s="4"/>
      <c r="FK639" s="4"/>
      <c r="FL639" s="4"/>
      <c r="FM639" s="4"/>
      <c r="FN639" s="4"/>
      <c r="FO639" s="4"/>
      <c r="FP639" s="4"/>
      <c r="FQ639" s="4"/>
      <c r="FR639" s="4"/>
      <c r="FS639" s="4"/>
      <c r="FT639" s="4"/>
      <c r="FU639" s="4"/>
      <c r="FV639" s="4"/>
      <c r="FW639" s="4"/>
      <c r="FX639" s="4"/>
      <c r="FY639" s="4"/>
      <c r="FZ639" s="4"/>
      <c r="GA639" s="4"/>
      <c r="GB639" s="4"/>
      <c r="GC639" s="4"/>
      <c r="GD639" s="4"/>
      <c r="GE639" s="4"/>
      <c r="GF639" s="4"/>
      <c r="GG639" s="4"/>
      <c r="GH639" s="4"/>
      <c r="GI639" s="4"/>
      <c r="GJ639" s="4"/>
      <c r="GK639" s="4"/>
      <c r="GL639" s="4"/>
      <c r="GM639" s="4"/>
      <c r="GN639" s="4"/>
      <c r="GO639" s="4"/>
      <c r="GP639" s="4"/>
      <c r="GQ639" s="4"/>
      <c r="GR639" s="4"/>
      <c r="GS639" s="4"/>
      <c r="GT639" s="4"/>
      <c r="GU639" s="4"/>
      <c r="GV639" s="4"/>
      <c r="GW639" s="4"/>
      <c r="GX639" s="4"/>
    </row>
    <row r="640">
      <c r="A640" s="2" t="s">
        <v>4072</v>
      </c>
      <c r="B640" s="2" t="s">
        <v>573</v>
      </c>
      <c r="C640" s="2" t="s">
        <v>543</v>
      </c>
      <c r="D640" s="2" t="s">
        <v>4004</v>
      </c>
      <c r="E640" s="2" t="s">
        <v>4005</v>
      </c>
      <c r="F640" s="2" t="s">
        <v>4073</v>
      </c>
      <c r="G640" s="2" t="s">
        <v>4073</v>
      </c>
      <c r="H640" s="2" t="s">
        <v>4073</v>
      </c>
      <c r="I640" s="2" t="s">
        <v>4074</v>
      </c>
      <c r="J640" s="2" t="s">
        <v>548</v>
      </c>
      <c r="K640" s="2" t="s">
        <v>4007</v>
      </c>
      <c r="L640" s="3">
        <v>165</v>
      </c>
      <c r="M640" s="3">
        <v>173.25</v>
      </c>
      <c r="N640" s="3">
        <v>349</v>
      </c>
      <c r="O640" s="2" t="s">
        <v>224</v>
      </c>
      <c r="P640" s="2" t="s">
        <v>580</v>
      </c>
      <c r="Q640" s="2" t="s">
        <v>226</v>
      </c>
      <c r="R640" s="2" t="s">
        <v>227</v>
      </c>
      <c r="S640" s="2" t="s">
        <v>4075</v>
      </c>
      <c r="T640" s="2" t="s">
        <v>227</v>
      </c>
      <c r="U640" s="2" t="s">
        <v>227</v>
      </c>
      <c r="V640" s="2" t="s">
        <v>566</v>
      </c>
      <c r="W640" s="2" t="s">
        <v>487</v>
      </c>
      <c r="X640" s="2" t="s">
        <v>837</v>
      </c>
      <c r="Y640" s="2" t="s">
        <v>1227</v>
      </c>
      <c r="Z640" s="4">
        <v>65</v>
      </c>
      <c r="AA640" s="4">
        <f>=ROUNDDOWN(32.5,0)</f>
      </c>
      <c r="AB640" s="5">
        <v>2</v>
      </c>
      <c r="AC640" s="2" t="s">
        <v>227</v>
      </c>
      <c r="AD640" s="4"/>
      <c r="AE640" s="4"/>
      <c r="AF640" s="6">
        <v>66</v>
      </c>
      <c r="AG640" s="6"/>
      <c r="AH640" s="7">
        <v>1</v>
      </c>
      <c r="AI640" s="4"/>
      <c r="AJ640" s="4">
        <f>=ROUNDDOWN({0},0)</f>
      </c>
      <c r="AK640" s="5"/>
      <c r="AL640" s="2" t="s">
        <v>227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/>
      <c r="AW640" s="8"/>
      <c r="AX640" s="4"/>
      <c r="AY640" s="8"/>
      <c r="AZ640" s="7"/>
      <c r="BA640" s="7"/>
      <c r="BB640" s="7"/>
      <c r="BC640" s="4"/>
      <c r="BD640" s="8"/>
      <c r="BE640" s="4"/>
      <c r="BF640" s="8"/>
      <c r="BG640" s="7"/>
      <c r="BH640" s="7"/>
      <c r="BI640" s="7"/>
      <c r="BJ640" s="4">
        <v>6</v>
      </c>
      <c r="BK640" s="8">
        <v>964.64</v>
      </c>
      <c r="BL640" s="2" t="s">
        <v>4076</v>
      </c>
      <c r="BM640" s="7"/>
      <c r="BN640" s="7"/>
      <c r="BO640" s="4"/>
      <c r="BP640" s="8"/>
      <c r="BQ640" s="4"/>
      <c r="BR640" s="8"/>
      <c r="BS640" s="7"/>
      <c r="BT640" s="7"/>
      <c r="BU640" s="2" t="s">
        <v>4077</v>
      </c>
      <c r="BV640" s="2" t="s">
        <v>227</v>
      </c>
      <c r="BW640" s="2" t="s">
        <v>227</v>
      </c>
      <c r="BX640" s="2" t="s">
        <v>235</v>
      </c>
      <c r="BY640" s="2" t="s">
        <v>236</v>
      </c>
      <c r="BZ640" s="2" t="s">
        <v>224</v>
      </c>
      <c r="CA640" s="2" t="s">
        <v>4078</v>
      </c>
      <c r="CB640" s="2" t="s">
        <v>4079</v>
      </c>
      <c r="CC640" s="2" t="s">
        <v>239</v>
      </c>
      <c r="CD640" s="2" t="s">
        <v>227</v>
      </c>
      <c r="CE640" s="4"/>
      <c r="CF640" s="4">
        <v>65</v>
      </c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  <c r="FG640" s="4"/>
      <c r="FH640" s="4"/>
      <c r="FI640" s="4"/>
      <c r="FJ640" s="4"/>
      <c r="FK640" s="4"/>
      <c r="FL640" s="4"/>
      <c r="FM640" s="4"/>
      <c r="FN640" s="4"/>
      <c r="FO640" s="4"/>
      <c r="FP640" s="4"/>
      <c r="FQ640" s="4"/>
      <c r="FR640" s="4"/>
      <c r="FS640" s="4"/>
      <c r="FT640" s="4"/>
      <c r="FU640" s="4"/>
      <c r="FV640" s="4"/>
      <c r="FW640" s="4"/>
      <c r="FX640" s="4"/>
      <c r="FY640" s="4"/>
      <c r="FZ640" s="4"/>
      <c r="GA640" s="4"/>
      <c r="GB640" s="4"/>
      <c r="GC640" s="4"/>
      <c r="GD640" s="4"/>
      <c r="GE640" s="4"/>
      <c r="GF640" s="4"/>
      <c r="GG640" s="4"/>
      <c r="GH640" s="4"/>
      <c r="GI640" s="4"/>
      <c r="GJ640" s="4"/>
      <c r="GK640" s="4"/>
      <c r="GL640" s="4"/>
      <c r="GM640" s="4"/>
      <c r="GN640" s="4"/>
      <c r="GO640" s="4"/>
      <c r="GP640" s="4"/>
      <c r="GQ640" s="4"/>
      <c r="GR640" s="4"/>
      <c r="GS640" s="4"/>
      <c r="GT640" s="4"/>
      <c r="GU640" s="4"/>
      <c r="GV640" s="4"/>
      <c r="GW640" s="4"/>
      <c r="GX640" s="4"/>
    </row>
    <row r="641">
      <c r="A641" s="2" t="s">
        <v>4080</v>
      </c>
      <c r="B641" s="2" t="s">
        <v>697</v>
      </c>
      <c r="C641" s="2" t="s">
        <v>360</v>
      </c>
      <c r="D641" s="2" t="s">
        <v>1448</v>
      </c>
      <c r="E641" s="2" t="s">
        <v>1449</v>
      </c>
      <c r="F641" s="2" t="s">
        <v>4081</v>
      </c>
      <c r="G641" s="2" t="s">
        <v>4081</v>
      </c>
      <c r="H641" s="2" t="s">
        <v>4081</v>
      </c>
      <c r="I641" s="2" t="s">
        <v>1449</v>
      </c>
      <c r="J641" s="2" t="s">
        <v>222</v>
      </c>
      <c r="K641" s="2" t="s">
        <v>223</v>
      </c>
      <c r="L641" s="3">
        <v>21.15</v>
      </c>
      <c r="M641" s="3">
        <v>22.21</v>
      </c>
      <c r="N641" s="3">
        <v>44.99</v>
      </c>
      <c r="O641" s="2" t="s">
        <v>224</v>
      </c>
      <c r="P641" s="2" t="s">
        <v>225</v>
      </c>
      <c r="Q641" s="2" t="s">
        <v>226</v>
      </c>
      <c r="R641" s="2" t="s">
        <v>227</v>
      </c>
      <c r="S641" s="2" t="s">
        <v>4082</v>
      </c>
      <c r="T641" s="2" t="s">
        <v>286</v>
      </c>
      <c r="U641" s="2" t="s">
        <v>227</v>
      </c>
      <c r="V641" s="2" t="s">
        <v>230</v>
      </c>
      <c r="W641" s="2" t="s">
        <v>231</v>
      </c>
      <c r="X641" s="2" t="s">
        <v>227</v>
      </c>
      <c r="Y641" s="2" t="s">
        <v>232</v>
      </c>
      <c r="Z641" s="4">
        <v>295</v>
      </c>
      <c r="AA641" s="4">
        <f>=ROUNDDOWN(14.75,0)</f>
      </c>
      <c r="AB641" s="5">
        <v>20</v>
      </c>
      <c r="AC641" s="2" t="s">
        <v>732</v>
      </c>
      <c r="AD641" s="4">
        <v>30</v>
      </c>
      <c r="AE641" s="4">
        <v>350</v>
      </c>
      <c r="AF641" s="6">
        <v>69</v>
      </c>
      <c r="AG641" s="6"/>
      <c r="AH641" s="7">
        <v>1</v>
      </c>
      <c r="AI641" s="4"/>
      <c r="AJ641" s="4">
        <f>=ROUNDDOWN({0},0)</f>
      </c>
      <c r="AK641" s="5"/>
      <c r="AL641" s="2" t="s">
        <v>227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/>
      <c r="AW641" s="8"/>
      <c r="AX641" s="4"/>
      <c r="AY641" s="8"/>
      <c r="AZ641" s="7"/>
      <c r="BA641" s="7"/>
      <c r="BB641" s="7"/>
      <c r="BC641" s="4" t="s">
        <v>227</v>
      </c>
      <c r="BD641" s="8" t="s">
        <v>227</v>
      </c>
      <c r="BE641" s="4" t="s">
        <v>227</v>
      </c>
      <c r="BF641" s="8" t="s">
        <v>227</v>
      </c>
      <c r="BG641" s="7" t="s">
        <v>227</v>
      </c>
      <c r="BH641" s="7" t="s">
        <v>227</v>
      </c>
      <c r="BI641" s="7"/>
      <c r="BJ641" s="4">
        <v>72</v>
      </c>
      <c r="BK641" s="8">
        <v>1508.38</v>
      </c>
      <c r="BL641" s="2" t="s">
        <v>693</v>
      </c>
      <c r="BM641" s="7"/>
      <c r="BN641" s="7"/>
      <c r="BO641" s="4"/>
      <c r="BP641" s="8"/>
      <c r="BQ641" s="4"/>
      <c r="BR641" s="8"/>
      <c r="BS641" s="7"/>
      <c r="BT641" s="7"/>
      <c r="BU641" s="2" t="s">
        <v>4083</v>
      </c>
      <c r="BV641" s="2" t="s">
        <v>227</v>
      </c>
      <c r="BW641" s="2" t="s">
        <v>227</v>
      </c>
      <c r="BX641" s="2" t="s">
        <v>235</v>
      </c>
      <c r="BY641" s="2" t="s">
        <v>236</v>
      </c>
      <c r="BZ641" s="2" t="s">
        <v>224</v>
      </c>
      <c r="CA641" s="2" t="s">
        <v>237</v>
      </c>
      <c r="CB641" s="2" t="s">
        <v>3267</v>
      </c>
      <c r="CC641" s="2" t="s">
        <v>239</v>
      </c>
      <c r="CD641" s="2" t="s">
        <v>227</v>
      </c>
      <c r="CE641" s="4">
        <v>295</v>
      </c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>
        <v>30</v>
      </c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  <c r="FG641" s="4"/>
      <c r="FH641" s="4"/>
      <c r="FI641" s="4"/>
      <c r="FJ641" s="4"/>
      <c r="FK641" s="4"/>
      <c r="FL641" s="4"/>
      <c r="FM641" s="4"/>
      <c r="FN641" s="4"/>
      <c r="FO641" s="4"/>
      <c r="FP641" s="4"/>
      <c r="FQ641" s="4"/>
      <c r="FR641" s="4"/>
      <c r="FS641" s="4"/>
      <c r="FT641" s="4"/>
      <c r="FU641" s="4"/>
      <c r="FV641" s="4"/>
      <c r="FW641" s="4"/>
      <c r="FX641" s="4"/>
      <c r="FY641" s="4"/>
      <c r="FZ641" s="4"/>
      <c r="GA641" s="4"/>
      <c r="GB641" s="4"/>
      <c r="GC641" s="4"/>
      <c r="GD641" s="4"/>
      <c r="GE641" s="4"/>
      <c r="GF641" s="4"/>
      <c r="GG641" s="4"/>
      <c r="GH641" s="4"/>
      <c r="GI641" s="4"/>
      <c r="GJ641" s="4"/>
      <c r="GK641" s="4"/>
      <c r="GL641" s="4"/>
      <c r="GM641" s="4"/>
      <c r="GN641" s="4"/>
      <c r="GO641" s="4"/>
      <c r="GP641" s="4"/>
      <c r="GQ641" s="4"/>
      <c r="GR641" s="4"/>
      <c r="GS641" s="4"/>
      <c r="GT641" s="4"/>
      <c r="GU641" s="4">
        <v>320</v>
      </c>
      <c r="GV641" s="4"/>
      <c r="GW641" s="4"/>
      <c r="GX641" s="4"/>
    </row>
    <row r="642">
      <c r="A642" s="2" t="s">
        <v>4084</v>
      </c>
      <c r="B642" s="2" t="s">
        <v>697</v>
      </c>
      <c r="C642" s="2" t="s">
        <v>360</v>
      </c>
      <c r="D642" s="2" t="s">
        <v>1448</v>
      </c>
      <c r="E642" s="2" t="s">
        <v>1449</v>
      </c>
      <c r="F642" s="2" t="s">
        <v>4081</v>
      </c>
      <c r="G642" s="2" t="s">
        <v>4081</v>
      </c>
      <c r="H642" s="2" t="s">
        <v>4081</v>
      </c>
      <c r="I642" s="2" t="s">
        <v>1449</v>
      </c>
      <c r="J642" s="2" t="s">
        <v>257</v>
      </c>
      <c r="K642" s="2" t="s">
        <v>410</v>
      </c>
      <c r="L642" s="3">
        <v>31.85</v>
      </c>
      <c r="M642" s="3">
        <v>33.44</v>
      </c>
      <c r="N642" s="3">
        <v>64.99</v>
      </c>
      <c r="O642" s="2" t="s">
        <v>224</v>
      </c>
      <c r="P642" s="2" t="s">
        <v>225</v>
      </c>
      <c r="Q642" s="2" t="s">
        <v>226</v>
      </c>
      <c r="R642" s="2" t="s">
        <v>227</v>
      </c>
      <c r="S642" s="2" t="s">
        <v>4085</v>
      </c>
      <c r="T642" s="2" t="s">
        <v>286</v>
      </c>
      <c r="U642" s="2" t="s">
        <v>227</v>
      </c>
      <c r="V642" s="2" t="s">
        <v>230</v>
      </c>
      <c r="W642" s="2" t="s">
        <v>231</v>
      </c>
      <c r="X642" s="2" t="s">
        <v>227</v>
      </c>
      <c r="Y642" s="2" t="s">
        <v>232</v>
      </c>
      <c r="Z642" s="4">
        <v>553</v>
      </c>
      <c r="AA642" s="4">
        <f>=ROUNDDOWN(21.2692307692308,0)</f>
      </c>
      <c r="AB642" s="5">
        <v>26</v>
      </c>
      <c r="AC642" s="2" t="s">
        <v>732</v>
      </c>
      <c r="AD642" s="4">
        <v>300</v>
      </c>
      <c r="AE642" s="4">
        <v>650</v>
      </c>
      <c r="AF642" s="6">
        <v>69</v>
      </c>
      <c r="AG642" s="6"/>
      <c r="AH642" s="7">
        <v>1</v>
      </c>
      <c r="AI642" s="4"/>
      <c r="AJ642" s="4">
        <f>=ROUNDDOWN({0},0)</f>
      </c>
      <c r="AK642" s="5"/>
      <c r="AL642" s="2" t="s">
        <v>227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 t="s">
        <v>227</v>
      </c>
      <c r="BD642" s="8" t="s">
        <v>227</v>
      </c>
      <c r="BE642" s="4" t="s">
        <v>227</v>
      </c>
      <c r="BF642" s="8" t="s">
        <v>227</v>
      </c>
      <c r="BG642" s="7" t="s">
        <v>227</v>
      </c>
      <c r="BH642" s="7" t="s">
        <v>227</v>
      </c>
      <c r="BI642" s="7"/>
      <c r="BJ642" s="4">
        <v>80</v>
      </c>
      <c r="BK642" s="8">
        <v>2467.36</v>
      </c>
      <c r="BL642" s="2" t="s">
        <v>4086</v>
      </c>
      <c r="BM642" s="7"/>
      <c r="BN642" s="7"/>
      <c r="BO642" s="4"/>
      <c r="BP642" s="8"/>
      <c r="BQ642" s="4"/>
      <c r="BR642" s="8"/>
      <c r="BS642" s="7"/>
      <c r="BT642" s="7"/>
      <c r="BU642" s="2" t="s">
        <v>4087</v>
      </c>
      <c r="BV642" s="2" t="s">
        <v>227</v>
      </c>
      <c r="BW642" s="2" t="s">
        <v>227</v>
      </c>
      <c r="BX642" s="2" t="s">
        <v>235</v>
      </c>
      <c r="BY642" s="2" t="s">
        <v>236</v>
      </c>
      <c r="BZ642" s="2" t="s">
        <v>224</v>
      </c>
      <c r="CA642" s="2" t="s">
        <v>237</v>
      </c>
      <c r="CB642" s="2" t="s">
        <v>2959</v>
      </c>
      <c r="CC642" s="2" t="s">
        <v>239</v>
      </c>
      <c r="CD642" s="2" t="s">
        <v>227</v>
      </c>
      <c r="CE642" s="4">
        <v>553</v>
      </c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>
        <v>300</v>
      </c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>
        <v>250</v>
      </c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  <c r="FG642" s="4"/>
      <c r="FH642" s="4"/>
      <c r="FI642" s="4"/>
      <c r="FJ642" s="4"/>
      <c r="FK642" s="4"/>
      <c r="FL642" s="4"/>
      <c r="FM642" s="4"/>
      <c r="FN642" s="4"/>
      <c r="FO642" s="4"/>
      <c r="FP642" s="4"/>
      <c r="FQ642" s="4"/>
      <c r="FR642" s="4"/>
      <c r="FS642" s="4">
        <v>100</v>
      </c>
      <c r="FT642" s="4"/>
      <c r="FU642" s="4"/>
      <c r="FV642" s="4"/>
      <c r="FW642" s="4"/>
      <c r="FX642" s="4"/>
      <c r="FY642" s="4"/>
      <c r="FZ642" s="4"/>
      <c r="GA642" s="4"/>
      <c r="GB642" s="4"/>
      <c r="GC642" s="4"/>
      <c r="GD642" s="4"/>
      <c r="GE642" s="4"/>
      <c r="GF642" s="4"/>
      <c r="GG642" s="4"/>
      <c r="GH642" s="4"/>
      <c r="GI642" s="4"/>
      <c r="GJ642" s="4"/>
      <c r="GK642" s="4"/>
      <c r="GL642" s="4"/>
      <c r="GM642" s="4"/>
      <c r="GN642" s="4"/>
      <c r="GO642" s="4"/>
      <c r="GP642" s="4"/>
      <c r="GQ642" s="4"/>
      <c r="GR642" s="4"/>
      <c r="GS642" s="4"/>
      <c r="GT642" s="4"/>
      <c r="GU642" s="4"/>
      <c r="GV642" s="4"/>
      <c r="GW642" s="4"/>
      <c r="GX642" s="4"/>
    </row>
    <row r="643">
      <c r="A643" s="2" t="s">
        <v>4088</v>
      </c>
      <c r="B643" s="2" t="s">
        <v>697</v>
      </c>
      <c r="C643" s="2" t="s">
        <v>360</v>
      </c>
      <c r="D643" s="2" t="s">
        <v>1448</v>
      </c>
      <c r="E643" s="2" t="s">
        <v>1449</v>
      </c>
      <c r="F643" s="2" t="s">
        <v>4081</v>
      </c>
      <c r="G643" s="2" t="s">
        <v>4081</v>
      </c>
      <c r="H643" s="2" t="s">
        <v>4081</v>
      </c>
      <c r="I643" s="2" t="s">
        <v>1449</v>
      </c>
      <c r="J643" s="2" t="s">
        <v>626</v>
      </c>
      <c r="K643" s="2" t="s">
        <v>363</v>
      </c>
      <c r="L643" s="3">
        <v>26.4</v>
      </c>
      <c r="M643" s="3">
        <v>27.72</v>
      </c>
      <c r="N643" s="3">
        <v>54.99</v>
      </c>
      <c r="O643" s="2" t="s">
        <v>224</v>
      </c>
      <c r="P643" s="2" t="s">
        <v>225</v>
      </c>
      <c r="Q643" s="2" t="s">
        <v>226</v>
      </c>
      <c r="R643" s="2" t="s">
        <v>227</v>
      </c>
      <c r="S643" s="2" t="s">
        <v>4089</v>
      </c>
      <c r="T643" s="2" t="s">
        <v>286</v>
      </c>
      <c r="U643" s="2" t="s">
        <v>227</v>
      </c>
      <c r="V643" s="2" t="s">
        <v>230</v>
      </c>
      <c r="W643" s="2" t="s">
        <v>231</v>
      </c>
      <c r="X643" s="2" t="s">
        <v>227</v>
      </c>
      <c r="Y643" s="2" t="s">
        <v>232</v>
      </c>
      <c r="Z643" s="4">
        <v>976</v>
      </c>
      <c r="AA643" s="4">
        <f>=ROUNDDOWN(40.6666666666667,0)</f>
      </c>
      <c r="AB643" s="5">
        <v>24</v>
      </c>
      <c r="AC643" s="2" t="s">
        <v>227</v>
      </c>
      <c r="AD643" s="4"/>
      <c r="AE643" s="4"/>
      <c r="AF643" s="6">
        <v>69</v>
      </c>
      <c r="AG643" s="6"/>
      <c r="AH643" s="7">
        <v>1</v>
      </c>
      <c r="AI643" s="4"/>
      <c r="AJ643" s="4">
        <f>=ROUNDDOWN({0},0)</f>
      </c>
      <c r="AK643" s="5"/>
      <c r="AL643" s="2" t="s">
        <v>227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/>
      <c r="AW643" s="8"/>
      <c r="AX643" s="4"/>
      <c r="AY643" s="8"/>
      <c r="AZ643" s="7"/>
      <c r="BA643" s="7"/>
      <c r="BB643" s="7"/>
      <c r="BC643" s="4" t="s">
        <v>227</v>
      </c>
      <c r="BD643" s="8" t="s">
        <v>227</v>
      </c>
      <c r="BE643" s="4" t="s">
        <v>227</v>
      </c>
      <c r="BF643" s="8" t="s">
        <v>227</v>
      </c>
      <c r="BG643" s="7" t="s">
        <v>227</v>
      </c>
      <c r="BH643" s="7" t="s">
        <v>227</v>
      </c>
      <c r="BI643" s="7"/>
      <c r="BJ643" s="4">
        <v>76</v>
      </c>
      <c r="BK643" s="8">
        <v>1988.6</v>
      </c>
      <c r="BL643" s="2" t="s">
        <v>4090</v>
      </c>
      <c r="BM643" s="7"/>
      <c r="BN643" s="7"/>
      <c r="BO643" s="4"/>
      <c r="BP643" s="8"/>
      <c r="BQ643" s="4"/>
      <c r="BR643" s="8"/>
      <c r="BS643" s="7"/>
      <c r="BT643" s="7"/>
      <c r="BU643" s="2" t="s">
        <v>4091</v>
      </c>
      <c r="BV643" s="2" t="s">
        <v>227</v>
      </c>
      <c r="BW643" s="2" t="s">
        <v>227</v>
      </c>
      <c r="BX643" s="2" t="s">
        <v>235</v>
      </c>
      <c r="BY643" s="2" t="s">
        <v>236</v>
      </c>
      <c r="BZ643" s="2" t="s">
        <v>224</v>
      </c>
      <c r="CA643" s="2" t="s">
        <v>237</v>
      </c>
      <c r="CB643" s="2" t="s">
        <v>439</v>
      </c>
      <c r="CC643" s="2" t="s">
        <v>239</v>
      </c>
      <c r="CD643" s="2" t="s">
        <v>227</v>
      </c>
      <c r="CE643" s="4">
        <v>976</v>
      </c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  <c r="FG643" s="4"/>
      <c r="FH643" s="4"/>
      <c r="FI643" s="4"/>
      <c r="FJ643" s="4"/>
      <c r="FK643" s="4"/>
      <c r="FL643" s="4"/>
      <c r="FM643" s="4"/>
      <c r="FN643" s="4"/>
      <c r="FO643" s="4"/>
      <c r="FP643" s="4"/>
      <c r="FQ643" s="4"/>
      <c r="FR643" s="4"/>
      <c r="FS643" s="4"/>
      <c r="FT643" s="4"/>
      <c r="FU643" s="4"/>
      <c r="FV643" s="4"/>
      <c r="FW643" s="4"/>
      <c r="FX643" s="4"/>
      <c r="FY643" s="4"/>
      <c r="FZ643" s="4"/>
      <c r="GA643" s="4"/>
      <c r="GB643" s="4"/>
      <c r="GC643" s="4"/>
      <c r="GD643" s="4"/>
      <c r="GE643" s="4"/>
      <c r="GF643" s="4"/>
      <c r="GG643" s="4"/>
      <c r="GH643" s="4"/>
      <c r="GI643" s="4"/>
      <c r="GJ643" s="4"/>
      <c r="GK643" s="4"/>
      <c r="GL643" s="4"/>
      <c r="GM643" s="4"/>
      <c r="GN643" s="4"/>
      <c r="GO643" s="4"/>
      <c r="GP643" s="4"/>
      <c r="GQ643" s="4"/>
      <c r="GR643" s="4"/>
      <c r="GS643" s="4"/>
      <c r="GT643" s="4"/>
      <c r="GU643" s="4"/>
      <c r="GV643" s="4"/>
      <c r="GW643" s="4"/>
      <c r="GX643" s="4"/>
    </row>
    <row r="644">
      <c r="A644" s="2" t="s">
        <v>4092</v>
      </c>
      <c r="B644" s="2" t="s">
        <v>697</v>
      </c>
      <c r="C644" s="2" t="s">
        <v>360</v>
      </c>
      <c r="D644" s="2" t="s">
        <v>1448</v>
      </c>
      <c r="E644" s="2" t="s">
        <v>1449</v>
      </c>
      <c r="F644" s="2" t="s">
        <v>4081</v>
      </c>
      <c r="G644" s="2" t="s">
        <v>4081</v>
      </c>
      <c r="H644" s="2" t="s">
        <v>4081</v>
      </c>
      <c r="I644" s="2" t="s">
        <v>1449</v>
      </c>
      <c r="J644" s="2" t="s">
        <v>222</v>
      </c>
      <c r="K644" s="2" t="s">
        <v>4093</v>
      </c>
      <c r="L644" s="3">
        <v>21.15</v>
      </c>
      <c r="M644" s="3">
        <v>22.21</v>
      </c>
      <c r="N644" s="3">
        <v>44.99</v>
      </c>
      <c r="O644" s="2" t="s">
        <v>224</v>
      </c>
      <c r="P644" s="2" t="s">
        <v>225</v>
      </c>
      <c r="Q644" s="2" t="s">
        <v>226</v>
      </c>
      <c r="R644" s="2" t="s">
        <v>227</v>
      </c>
      <c r="S644" s="2" t="s">
        <v>4094</v>
      </c>
      <c r="T644" s="2" t="s">
        <v>286</v>
      </c>
      <c r="U644" s="2" t="s">
        <v>227</v>
      </c>
      <c r="V644" s="2" t="s">
        <v>230</v>
      </c>
      <c r="W644" s="2" t="s">
        <v>231</v>
      </c>
      <c r="X644" s="2" t="s">
        <v>227</v>
      </c>
      <c r="Y644" s="2" t="s">
        <v>232</v>
      </c>
      <c r="Z644" s="4">
        <v>307</v>
      </c>
      <c r="AA644" s="4">
        <f>=ROUNDDOWN(27.9090909090909,0)</f>
      </c>
      <c r="AB644" s="5">
        <v>11</v>
      </c>
      <c r="AC644" s="2" t="s">
        <v>227</v>
      </c>
      <c r="AD644" s="4"/>
      <c r="AE644" s="4"/>
      <c r="AF644" s="6">
        <v>69</v>
      </c>
      <c r="AG644" s="6"/>
      <c r="AH644" s="7">
        <v>1</v>
      </c>
      <c r="AI644" s="4"/>
      <c r="AJ644" s="4">
        <f>=ROUNDDOWN({0},0)</f>
      </c>
      <c r="AK644" s="5"/>
      <c r="AL644" s="2" t="s">
        <v>227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/>
      <c r="AW644" s="8"/>
      <c r="AX644" s="4"/>
      <c r="AY644" s="8"/>
      <c r="AZ644" s="7"/>
      <c r="BA644" s="7"/>
      <c r="BB644" s="7"/>
      <c r="BC644" s="4" t="s">
        <v>227</v>
      </c>
      <c r="BD644" s="8" t="s">
        <v>227</v>
      </c>
      <c r="BE644" s="4" t="s">
        <v>227</v>
      </c>
      <c r="BF644" s="8" t="s">
        <v>227</v>
      </c>
      <c r="BG644" s="7" t="s">
        <v>227</v>
      </c>
      <c r="BH644" s="7" t="s">
        <v>227</v>
      </c>
      <c r="BI644" s="7"/>
      <c r="BJ644" s="4">
        <v>30</v>
      </c>
      <c r="BK644" s="8">
        <v>628.24</v>
      </c>
      <c r="BL644" s="2" t="s">
        <v>312</v>
      </c>
      <c r="BM644" s="7"/>
      <c r="BN644" s="7"/>
      <c r="BO644" s="4"/>
      <c r="BP644" s="8"/>
      <c r="BQ644" s="4"/>
      <c r="BR644" s="8"/>
      <c r="BS644" s="7"/>
      <c r="BT644" s="7"/>
      <c r="BU644" s="2" t="s">
        <v>4095</v>
      </c>
      <c r="BV644" s="2" t="s">
        <v>227</v>
      </c>
      <c r="BW644" s="2" t="s">
        <v>227</v>
      </c>
      <c r="BX644" s="2" t="s">
        <v>235</v>
      </c>
      <c r="BY644" s="2" t="s">
        <v>236</v>
      </c>
      <c r="BZ644" s="2" t="s">
        <v>224</v>
      </c>
      <c r="CA644" s="2" t="s">
        <v>237</v>
      </c>
      <c r="CB644" s="2" t="s">
        <v>4096</v>
      </c>
      <c r="CC644" s="2" t="s">
        <v>239</v>
      </c>
      <c r="CD644" s="2" t="s">
        <v>227</v>
      </c>
      <c r="CE644" s="4">
        <v>307</v>
      </c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/>
      <c r="FH644" s="4"/>
      <c r="FI644" s="4"/>
      <c r="FJ644" s="4"/>
      <c r="FK644" s="4"/>
      <c r="FL644" s="4"/>
      <c r="FM644" s="4"/>
      <c r="FN644" s="4"/>
      <c r="FO644" s="4"/>
      <c r="FP644" s="4"/>
      <c r="FQ644" s="4"/>
      <c r="FR644" s="4"/>
      <c r="FS644" s="4"/>
      <c r="FT644" s="4"/>
      <c r="FU644" s="4"/>
      <c r="FV644" s="4"/>
      <c r="FW644" s="4"/>
      <c r="FX644" s="4"/>
      <c r="FY644" s="4"/>
      <c r="FZ644" s="4"/>
      <c r="GA644" s="4"/>
      <c r="GB644" s="4"/>
      <c r="GC644" s="4"/>
      <c r="GD644" s="4"/>
      <c r="GE644" s="4"/>
      <c r="GF644" s="4"/>
      <c r="GG644" s="4"/>
      <c r="GH644" s="4"/>
      <c r="GI644" s="4"/>
      <c r="GJ644" s="4"/>
      <c r="GK644" s="4"/>
      <c r="GL644" s="4"/>
      <c r="GM644" s="4"/>
      <c r="GN644" s="4"/>
      <c r="GO644" s="4"/>
      <c r="GP644" s="4"/>
      <c r="GQ644" s="4"/>
      <c r="GR644" s="4"/>
      <c r="GS644" s="4"/>
      <c r="GT644" s="4"/>
      <c r="GU644" s="4"/>
      <c r="GV644" s="4"/>
      <c r="GW644" s="4"/>
      <c r="GX644" s="4"/>
    </row>
    <row r="645">
      <c r="A645" s="2" t="s">
        <v>4097</v>
      </c>
      <c r="B645" s="2" t="s">
        <v>697</v>
      </c>
      <c r="C645" s="2" t="s">
        <v>360</v>
      </c>
      <c r="D645" s="2" t="s">
        <v>1448</v>
      </c>
      <c r="E645" s="2" t="s">
        <v>1449</v>
      </c>
      <c r="F645" s="2" t="s">
        <v>4081</v>
      </c>
      <c r="G645" s="2" t="s">
        <v>4081</v>
      </c>
      <c r="H645" s="2" t="s">
        <v>4081</v>
      </c>
      <c r="I645" s="2" t="s">
        <v>1449</v>
      </c>
      <c r="J645" s="2" t="s">
        <v>222</v>
      </c>
      <c r="K645" s="2" t="s">
        <v>657</v>
      </c>
      <c r="L645" s="3">
        <v>21.15</v>
      </c>
      <c r="M645" s="3">
        <v>22.21</v>
      </c>
      <c r="N645" s="3">
        <v>44.99</v>
      </c>
      <c r="O645" s="2" t="s">
        <v>224</v>
      </c>
      <c r="P645" s="2" t="s">
        <v>225</v>
      </c>
      <c r="Q645" s="2" t="s">
        <v>226</v>
      </c>
      <c r="R645" s="2" t="s">
        <v>227</v>
      </c>
      <c r="S645" s="2" t="s">
        <v>4098</v>
      </c>
      <c r="T645" s="2" t="s">
        <v>286</v>
      </c>
      <c r="U645" s="2" t="s">
        <v>552</v>
      </c>
      <c r="V645" s="2" t="s">
        <v>230</v>
      </c>
      <c r="W645" s="2" t="s">
        <v>231</v>
      </c>
      <c r="X645" s="2" t="s">
        <v>227</v>
      </c>
      <c r="Y645" s="2" t="s">
        <v>2868</v>
      </c>
      <c r="Z645" s="4">
        <v>152</v>
      </c>
      <c r="AA645" s="4">
        <f>=ROUNDDOWN(8,0)</f>
      </c>
      <c r="AB645" s="5">
        <v>19</v>
      </c>
      <c r="AC645" s="2" t="s">
        <v>155</v>
      </c>
      <c r="AD645" s="4">
        <v>80</v>
      </c>
      <c r="AE645" s="4">
        <v>310</v>
      </c>
      <c r="AF645" s="6">
        <v>69</v>
      </c>
      <c r="AG645" s="6"/>
      <c r="AH645" s="7">
        <v>1</v>
      </c>
      <c r="AI645" s="4"/>
      <c r="AJ645" s="4">
        <f>=ROUNDDOWN({0},0)</f>
      </c>
      <c r="AK645" s="5"/>
      <c r="AL645" s="2" t="s">
        <v>227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/>
      <c r="AW645" s="8"/>
      <c r="AX645" s="4"/>
      <c r="AY645" s="8"/>
      <c r="AZ645" s="7"/>
      <c r="BA645" s="7"/>
      <c r="BB645" s="7"/>
      <c r="BC645" s="4" t="s">
        <v>227</v>
      </c>
      <c r="BD645" s="8" t="s">
        <v>227</v>
      </c>
      <c r="BE645" s="4" t="s">
        <v>227</v>
      </c>
      <c r="BF645" s="8" t="s">
        <v>227</v>
      </c>
      <c r="BG645" s="7" t="s">
        <v>227</v>
      </c>
      <c r="BH645" s="7" t="s">
        <v>227</v>
      </c>
      <c r="BI645" s="7"/>
      <c r="BJ645" s="4">
        <v>49</v>
      </c>
      <c r="BK645" s="8">
        <v>1078.76</v>
      </c>
      <c r="BL645" s="2" t="s">
        <v>1485</v>
      </c>
      <c r="BM645" s="7"/>
      <c r="BN645" s="7"/>
      <c r="BO645" s="4"/>
      <c r="BP645" s="8"/>
      <c r="BQ645" s="4"/>
      <c r="BR645" s="8"/>
      <c r="BS645" s="7"/>
      <c r="BT645" s="7"/>
      <c r="BU645" s="2" t="s">
        <v>4099</v>
      </c>
      <c r="BV645" s="2" t="s">
        <v>227</v>
      </c>
      <c r="BW645" s="2" t="s">
        <v>227</v>
      </c>
      <c r="BX645" s="2" t="s">
        <v>235</v>
      </c>
      <c r="BY645" s="2" t="s">
        <v>236</v>
      </c>
      <c r="BZ645" s="2" t="s">
        <v>224</v>
      </c>
      <c r="CA645" s="2" t="s">
        <v>1310</v>
      </c>
      <c r="CB645" s="2" t="s">
        <v>1719</v>
      </c>
      <c r="CC645" s="2" t="s">
        <v>239</v>
      </c>
      <c r="CD645" s="2" t="s">
        <v>227</v>
      </c>
      <c r="CE645" s="4">
        <v>152</v>
      </c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>
        <v>80</v>
      </c>
      <c r="ER645" s="4"/>
      <c r="ES645" s="4"/>
      <c r="ET645" s="4"/>
      <c r="EU645" s="4"/>
      <c r="EV645" s="4">
        <v>150</v>
      </c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/>
      <c r="FI645" s="4"/>
      <c r="FJ645" s="4"/>
      <c r="FK645" s="4"/>
      <c r="FL645" s="4"/>
      <c r="FM645" s="4"/>
      <c r="FN645" s="4"/>
      <c r="FO645" s="4"/>
      <c r="FP645" s="4"/>
      <c r="FQ645" s="4"/>
      <c r="FR645" s="4"/>
      <c r="FS645" s="4"/>
      <c r="FT645" s="4"/>
      <c r="FU645" s="4"/>
      <c r="FV645" s="4"/>
      <c r="FW645" s="4"/>
      <c r="FX645" s="4"/>
      <c r="FY645" s="4"/>
      <c r="FZ645" s="4"/>
      <c r="GA645" s="4"/>
      <c r="GB645" s="4"/>
      <c r="GC645" s="4"/>
      <c r="GD645" s="4"/>
      <c r="GE645" s="4"/>
      <c r="GF645" s="4"/>
      <c r="GG645" s="4"/>
      <c r="GH645" s="4"/>
      <c r="GI645" s="4"/>
      <c r="GJ645" s="4"/>
      <c r="GK645" s="4"/>
      <c r="GL645" s="4"/>
      <c r="GM645" s="4"/>
      <c r="GN645" s="4"/>
      <c r="GO645" s="4"/>
      <c r="GP645" s="4"/>
      <c r="GQ645" s="4"/>
      <c r="GR645" s="4"/>
      <c r="GS645" s="4"/>
      <c r="GT645" s="4"/>
      <c r="GU645" s="4">
        <v>80</v>
      </c>
      <c r="GV645" s="4"/>
      <c r="GW645" s="4"/>
      <c r="GX645" s="4"/>
    </row>
    <row r="646">
      <c r="A646" s="2" t="s">
        <v>4100</v>
      </c>
      <c r="B646" s="2" t="s">
        <v>697</v>
      </c>
      <c r="C646" s="2" t="s">
        <v>360</v>
      </c>
      <c r="D646" s="2" t="s">
        <v>1448</v>
      </c>
      <c r="E646" s="2" t="s">
        <v>1449</v>
      </c>
      <c r="F646" s="2" t="s">
        <v>4081</v>
      </c>
      <c r="G646" s="2" t="s">
        <v>4081</v>
      </c>
      <c r="H646" s="2" t="s">
        <v>4081</v>
      </c>
      <c r="I646" s="2" t="s">
        <v>1449</v>
      </c>
      <c r="J646" s="2" t="s">
        <v>626</v>
      </c>
      <c r="K646" s="2" t="s">
        <v>448</v>
      </c>
      <c r="L646" s="3">
        <v>26.4</v>
      </c>
      <c r="M646" s="3">
        <v>27.72</v>
      </c>
      <c r="N646" s="3">
        <v>54.99</v>
      </c>
      <c r="O646" s="2" t="s">
        <v>224</v>
      </c>
      <c r="P646" s="2" t="s">
        <v>225</v>
      </c>
      <c r="Q646" s="2" t="s">
        <v>226</v>
      </c>
      <c r="R646" s="2" t="s">
        <v>227</v>
      </c>
      <c r="S646" s="2" t="s">
        <v>4101</v>
      </c>
      <c r="T646" s="2" t="s">
        <v>286</v>
      </c>
      <c r="U646" s="2" t="s">
        <v>227</v>
      </c>
      <c r="V646" s="2" t="s">
        <v>230</v>
      </c>
      <c r="W646" s="2" t="s">
        <v>231</v>
      </c>
      <c r="X646" s="2" t="s">
        <v>227</v>
      </c>
      <c r="Y646" s="2" t="s">
        <v>232</v>
      </c>
      <c r="Z646" s="4">
        <v>779</v>
      </c>
      <c r="AA646" s="4">
        <f>=ROUNDDOWN(25.9666666666667,0)</f>
      </c>
      <c r="AB646" s="5">
        <v>30</v>
      </c>
      <c r="AC646" s="2" t="s">
        <v>155</v>
      </c>
      <c r="AD646" s="4">
        <v>50</v>
      </c>
      <c r="AE646" s="4">
        <v>530</v>
      </c>
      <c r="AF646" s="6">
        <v>69</v>
      </c>
      <c r="AG646" s="6"/>
      <c r="AH646" s="7">
        <v>1</v>
      </c>
      <c r="AI646" s="4"/>
      <c r="AJ646" s="4">
        <f>=ROUNDDOWN({0},0)</f>
      </c>
      <c r="AK646" s="5"/>
      <c r="AL646" s="2" t="s">
        <v>227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/>
      <c r="AW646" s="8"/>
      <c r="AX646" s="4"/>
      <c r="AY646" s="8"/>
      <c r="AZ646" s="7"/>
      <c r="BA646" s="7"/>
      <c r="BB646" s="7"/>
      <c r="BC646" s="4" t="s">
        <v>227</v>
      </c>
      <c r="BD646" s="8" t="s">
        <v>227</v>
      </c>
      <c r="BE646" s="4" t="s">
        <v>227</v>
      </c>
      <c r="BF646" s="8" t="s">
        <v>227</v>
      </c>
      <c r="BG646" s="7" t="s">
        <v>227</v>
      </c>
      <c r="BH646" s="7" t="s">
        <v>227</v>
      </c>
      <c r="BI646" s="7"/>
      <c r="BJ646" s="4">
        <v>76</v>
      </c>
      <c r="BK646" s="8">
        <v>2006.73</v>
      </c>
      <c r="BL646" s="2" t="s">
        <v>4102</v>
      </c>
      <c r="BM646" s="7"/>
      <c r="BN646" s="7"/>
      <c r="BO646" s="4"/>
      <c r="BP646" s="8"/>
      <c r="BQ646" s="4"/>
      <c r="BR646" s="8"/>
      <c r="BS646" s="7"/>
      <c r="BT646" s="7"/>
      <c r="BU646" s="2" t="s">
        <v>4103</v>
      </c>
      <c r="BV646" s="2" t="s">
        <v>227</v>
      </c>
      <c r="BW646" s="2" t="s">
        <v>227</v>
      </c>
      <c r="BX646" s="2" t="s">
        <v>235</v>
      </c>
      <c r="BY646" s="2" t="s">
        <v>236</v>
      </c>
      <c r="BZ646" s="2" t="s">
        <v>224</v>
      </c>
      <c r="CA646" s="2" t="s">
        <v>237</v>
      </c>
      <c r="CB646" s="2" t="s">
        <v>4104</v>
      </c>
      <c r="CC646" s="2" t="s">
        <v>239</v>
      </c>
      <c r="CD646" s="2" t="s">
        <v>227</v>
      </c>
      <c r="CE646" s="4">
        <v>779</v>
      </c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>
        <v>50</v>
      </c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/>
      <c r="FI646" s="4"/>
      <c r="FJ646" s="4"/>
      <c r="FK646" s="4"/>
      <c r="FL646" s="4"/>
      <c r="FM646" s="4"/>
      <c r="FN646" s="4"/>
      <c r="FO646" s="4"/>
      <c r="FP646" s="4"/>
      <c r="FQ646" s="4"/>
      <c r="FR646" s="4"/>
      <c r="FS646" s="4">
        <v>50</v>
      </c>
      <c r="FT646" s="4"/>
      <c r="FU646" s="4"/>
      <c r="FV646" s="4"/>
      <c r="FW646" s="4"/>
      <c r="FX646" s="4"/>
      <c r="FY646" s="4"/>
      <c r="FZ646" s="4"/>
      <c r="GA646" s="4"/>
      <c r="GB646" s="4"/>
      <c r="GC646" s="4"/>
      <c r="GD646" s="4"/>
      <c r="GE646" s="4"/>
      <c r="GF646" s="4"/>
      <c r="GG646" s="4"/>
      <c r="GH646" s="4"/>
      <c r="GI646" s="4"/>
      <c r="GJ646" s="4">
        <v>380</v>
      </c>
      <c r="GK646" s="4"/>
      <c r="GL646" s="4"/>
      <c r="GM646" s="4"/>
      <c r="GN646" s="4"/>
      <c r="GO646" s="4"/>
      <c r="GP646" s="4"/>
      <c r="GQ646" s="4"/>
      <c r="GR646" s="4"/>
      <c r="GS646" s="4"/>
      <c r="GT646" s="4"/>
      <c r="GU646" s="4">
        <v>50</v>
      </c>
      <c r="GV646" s="4"/>
      <c r="GW646" s="4"/>
      <c r="GX646" s="4"/>
    </row>
    <row r="647">
      <c r="A647" s="2" t="s">
        <v>4105</v>
      </c>
      <c r="B647" s="2" t="s">
        <v>697</v>
      </c>
      <c r="C647" s="2" t="s">
        <v>360</v>
      </c>
      <c r="D647" s="2" t="s">
        <v>1448</v>
      </c>
      <c r="E647" s="2" t="s">
        <v>1449</v>
      </c>
      <c r="F647" s="2" t="s">
        <v>4081</v>
      </c>
      <c r="G647" s="2" t="s">
        <v>4081</v>
      </c>
      <c r="H647" s="2" t="s">
        <v>4081</v>
      </c>
      <c r="I647" s="2" t="s">
        <v>1449</v>
      </c>
      <c r="J647" s="2" t="s">
        <v>257</v>
      </c>
      <c r="K647" s="2" t="s">
        <v>264</v>
      </c>
      <c r="L647" s="3">
        <v>31.85</v>
      </c>
      <c r="M647" s="3">
        <v>33.44</v>
      </c>
      <c r="N647" s="3">
        <v>64.99</v>
      </c>
      <c r="O647" s="2" t="s">
        <v>224</v>
      </c>
      <c r="P647" s="2" t="s">
        <v>485</v>
      </c>
      <c r="Q647" s="2" t="s">
        <v>226</v>
      </c>
      <c r="R647" s="2" t="s">
        <v>227</v>
      </c>
      <c r="S647" s="2" t="s">
        <v>4106</v>
      </c>
      <c r="T647" s="2" t="s">
        <v>286</v>
      </c>
      <c r="U647" s="2" t="s">
        <v>227</v>
      </c>
      <c r="V647" s="2" t="s">
        <v>230</v>
      </c>
      <c r="W647" s="2" t="s">
        <v>231</v>
      </c>
      <c r="X647" s="2" t="s">
        <v>227</v>
      </c>
      <c r="Y647" s="2" t="s">
        <v>232</v>
      </c>
      <c r="Z647" s="4">
        <v>753</v>
      </c>
      <c r="AA647" s="4">
        <f>=ROUNDDOWN(19.8157894736842,0)</f>
      </c>
      <c r="AB647" s="5">
        <v>38</v>
      </c>
      <c r="AC647" s="2" t="s">
        <v>732</v>
      </c>
      <c r="AD647" s="4">
        <v>300</v>
      </c>
      <c r="AE647" s="4">
        <v>700</v>
      </c>
      <c r="AF647" s="6">
        <v>69</v>
      </c>
      <c r="AG647" s="6"/>
      <c r="AH647" s="7">
        <v>1</v>
      </c>
      <c r="AI647" s="4"/>
      <c r="AJ647" s="4">
        <f>=ROUNDDOWN({0},0)</f>
      </c>
      <c r="AK647" s="5"/>
      <c r="AL647" s="2" t="s">
        <v>227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/>
      <c r="AW647" s="8"/>
      <c r="AX647" s="4"/>
      <c r="AY647" s="8"/>
      <c r="AZ647" s="7"/>
      <c r="BA647" s="7"/>
      <c r="BB647" s="7"/>
      <c r="BC647" s="4" t="s">
        <v>227</v>
      </c>
      <c r="BD647" s="8" t="s">
        <v>227</v>
      </c>
      <c r="BE647" s="4" t="s">
        <v>227</v>
      </c>
      <c r="BF647" s="8" t="s">
        <v>227</v>
      </c>
      <c r="BG647" s="7" t="s">
        <v>227</v>
      </c>
      <c r="BH647" s="7" t="s">
        <v>227</v>
      </c>
      <c r="BI647" s="7"/>
      <c r="BJ647" s="4">
        <v>108</v>
      </c>
      <c r="BK647" s="8">
        <v>3383.76</v>
      </c>
      <c r="BL647" s="2" t="s">
        <v>4107</v>
      </c>
      <c r="BM647" s="7"/>
      <c r="BN647" s="7"/>
      <c r="BO647" s="4"/>
      <c r="BP647" s="8"/>
      <c r="BQ647" s="4"/>
      <c r="BR647" s="8"/>
      <c r="BS647" s="7"/>
      <c r="BT647" s="7"/>
      <c r="BU647" s="2" t="s">
        <v>4108</v>
      </c>
      <c r="BV647" s="2" t="s">
        <v>227</v>
      </c>
      <c r="BW647" s="2" t="s">
        <v>227</v>
      </c>
      <c r="BX647" s="2" t="s">
        <v>235</v>
      </c>
      <c r="BY647" s="2" t="s">
        <v>236</v>
      </c>
      <c r="BZ647" s="2" t="s">
        <v>224</v>
      </c>
      <c r="CA647" s="2" t="s">
        <v>237</v>
      </c>
      <c r="CB647" s="2" t="s">
        <v>3414</v>
      </c>
      <c r="CC647" s="2" t="s">
        <v>239</v>
      </c>
      <c r="CD647" s="2" t="s">
        <v>227</v>
      </c>
      <c r="CE647" s="4">
        <v>753</v>
      </c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>
        <v>300</v>
      </c>
      <c r="EG647" s="4"/>
      <c r="EH647" s="4"/>
      <c r="EI647" s="4"/>
      <c r="EJ647" s="4"/>
      <c r="EK647" s="4"/>
      <c r="EL647" s="4"/>
      <c r="EM647" s="4"/>
      <c r="EN647" s="4"/>
      <c r="EO647" s="4"/>
      <c r="EP647" s="4"/>
      <c r="EQ647" s="4">
        <v>300</v>
      </c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/>
      <c r="FH647" s="4"/>
      <c r="FI647" s="4"/>
      <c r="FJ647" s="4"/>
      <c r="FK647" s="4"/>
      <c r="FL647" s="4"/>
      <c r="FM647" s="4"/>
      <c r="FN647" s="4"/>
      <c r="FO647" s="4"/>
      <c r="FP647" s="4"/>
      <c r="FQ647" s="4"/>
      <c r="FR647" s="4"/>
      <c r="FS647" s="4"/>
      <c r="FT647" s="4"/>
      <c r="FU647" s="4"/>
      <c r="FV647" s="4"/>
      <c r="FW647" s="4"/>
      <c r="FX647" s="4"/>
      <c r="FY647" s="4"/>
      <c r="FZ647" s="4"/>
      <c r="GA647" s="4"/>
      <c r="GB647" s="4"/>
      <c r="GC647" s="4"/>
      <c r="GD647" s="4"/>
      <c r="GE647" s="4"/>
      <c r="GF647" s="4"/>
      <c r="GG647" s="4"/>
      <c r="GH647" s="4"/>
      <c r="GI647" s="4"/>
      <c r="GJ647" s="4">
        <v>100</v>
      </c>
      <c r="GK647" s="4"/>
      <c r="GL647" s="4"/>
      <c r="GM647" s="4"/>
      <c r="GN647" s="4"/>
      <c r="GO647" s="4"/>
      <c r="GP647" s="4"/>
      <c r="GQ647" s="4"/>
      <c r="GR647" s="4"/>
      <c r="GS647" s="4"/>
      <c r="GT647" s="4"/>
      <c r="GU647" s="4"/>
      <c r="GV647" s="4"/>
      <c r="GW647" s="4"/>
      <c r="GX647" s="4"/>
    </row>
    <row r="648">
      <c r="A648" s="2" t="s">
        <v>4109</v>
      </c>
      <c r="B648" s="2" t="s">
        <v>744</v>
      </c>
      <c r="C648" s="2" t="s">
        <v>1299</v>
      </c>
      <c r="D648" s="2" t="s">
        <v>4110</v>
      </c>
      <c r="E648" s="2" t="s">
        <v>517</v>
      </c>
      <c r="F648" s="2" t="s">
        <v>4111</v>
      </c>
      <c r="G648" s="2" t="s">
        <v>4111</v>
      </c>
      <c r="H648" s="2" t="s">
        <v>4111</v>
      </c>
      <c r="I648" s="2" t="s">
        <v>4112</v>
      </c>
      <c r="J648" s="2" t="s">
        <v>548</v>
      </c>
      <c r="K648" s="2" t="s">
        <v>4113</v>
      </c>
      <c r="L648" s="3">
        <v>28.99</v>
      </c>
      <c r="M648" s="3">
        <v>30.44</v>
      </c>
      <c r="N648" s="3">
        <v>49.99</v>
      </c>
      <c r="O648" s="2" t="s">
        <v>224</v>
      </c>
      <c r="P648" s="2" t="s">
        <v>580</v>
      </c>
      <c r="Q648" s="2" t="s">
        <v>226</v>
      </c>
      <c r="R648" s="2" t="s">
        <v>227</v>
      </c>
      <c r="S648" s="2" t="s">
        <v>227</v>
      </c>
      <c r="T648" s="2" t="s">
        <v>227</v>
      </c>
      <c r="U648" s="2" t="s">
        <v>594</v>
      </c>
      <c r="V648" s="2" t="s">
        <v>877</v>
      </c>
      <c r="W648" s="2" t="s">
        <v>227</v>
      </c>
      <c r="X648" s="2" t="s">
        <v>227</v>
      </c>
      <c r="Y648" s="2" t="s">
        <v>3116</v>
      </c>
      <c r="Z648" s="4">
        <v>94</v>
      </c>
      <c r="AA648" s="4">
        <f>=ROUNDDOWN(31.3333333333333,0)</f>
      </c>
      <c r="AB648" s="5">
        <v>3</v>
      </c>
      <c r="AC648" s="2" t="s">
        <v>227</v>
      </c>
      <c r="AD648" s="4"/>
      <c r="AE648" s="4"/>
      <c r="AF648" s="6">
        <v>73</v>
      </c>
      <c r="AG648" s="6"/>
      <c r="AH648" s="7">
        <v>1</v>
      </c>
      <c r="AI648" s="4"/>
      <c r="AJ648" s="4">
        <f>=ROUNDDOWN({0},0)</f>
      </c>
      <c r="AK648" s="5"/>
      <c r="AL648" s="2" t="s">
        <v>227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/>
      <c r="AW648" s="8"/>
      <c r="AX648" s="4"/>
      <c r="AY648" s="8"/>
      <c r="AZ648" s="7"/>
      <c r="BA648" s="7"/>
      <c r="BB648" s="7"/>
      <c r="BC648" s="4" t="s">
        <v>227</v>
      </c>
      <c r="BD648" s="8" t="s">
        <v>227</v>
      </c>
      <c r="BE648" s="4" t="s">
        <v>227</v>
      </c>
      <c r="BF648" s="8" t="s">
        <v>227</v>
      </c>
      <c r="BG648" s="7" t="s">
        <v>227</v>
      </c>
      <c r="BH648" s="7" t="s">
        <v>227</v>
      </c>
      <c r="BI648" s="7"/>
      <c r="BJ648" s="4">
        <v>11</v>
      </c>
      <c r="BK648" s="8">
        <v>318.99</v>
      </c>
      <c r="BL648" s="2" t="s">
        <v>4114</v>
      </c>
      <c r="BM648" s="7"/>
      <c r="BN648" s="7"/>
      <c r="BO648" s="4"/>
      <c r="BP648" s="8"/>
      <c r="BQ648" s="4"/>
      <c r="BR648" s="8"/>
      <c r="BS648" s="7"/>
      <c r="BT648" s="7"/>
      <c r="BU648" s="2" t="s">
        <v>4115</v>
      </c>
      <c r="BV648" s="2" t="s">
        <v>227</v>
      </c>
      <c r="BW648" s="2" t="s">
        <v>227</v>
      </c>
      <c r="BX648" s="2" t="s">
        <v>235</v>
      </c>
      <c r="BY648" s="2" t="s">
        <v>236</v>
      </c>
      <c r="BZ648" s="2" t="s">
        <v>224</v>
      </c>
      <c r="CA648" s="2" t="s">
        <v>4116</v>
      </c>
      <c r="CB648" s="2" t="s">
        <v>227</v>
      </c>
      <c r="CC648" s="2" t="s">
        <v>239</v>
      </c>
      <c r="CD648" s="2" t="s">
        <v>227</v>
      </c>
      <c r="CE648" s="4">
        <v>94</v>
      </c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/>
      <c r="FH648" s="4"/>
      <c r="FI648" s="4"/>
      <c r="FJ648" s="4"/>
      <c r="FK648" s="4"/>
      <c r="FL648" s="4"/>
      <c r="FM648" s="4"/>
      <c r="FN648" s="4"/>
      <c r="FO648" s="4"/>
      <c r="FP648" s="4"/>
      <c r="FQ648" s="4"/>
      <c r="FR648" s="4"/>
      <c r="FS648" s="4"/>
      <c r="FT648" s="4"/>
      <c r="FU648" s="4"/>
      <c r="FV648" s="4"/>
      <c r="FW648" s="4"/>
      <c r="FX648" s="4"/>
      <c r="FY648" s="4"/>
      <c r="FZ648" s="4"/>
      <c r="GA648" s="4"/>
      <c r="GB648" s="4"/>
      <c r="GC648" s="4"/>
      <c r="GD648" s="4"/>
      <c r="GE648" s="4"/>
      <c r="GF648" s="4"/>
      <c r="GG648" s="4"/>
      <c r="GH648" s="4"/>
      <c r="GI648" s="4"/>
      <c r="GJ648" s="4"/>
      <c r="GK648" s="4"/>
      <c r="GL648" s="4"/>
      <c r="GM648" s="4"/>
      <c r="GN648" s="4"/>
      <c r="GO648" s="4"/>
      <c r="GP648" s="4"/>
      <c r="GQ648" s="4"/>
      <c r="GR648" s="4"/>
      <c r="GS648" s="4"/>
      <c r="GT648" s="4"/>
      <c r="GU648" s="4"/>
      <c r="GV648" s="4"/>
      <c r="GW648" s="4"/>
      <c r="GX648" s="4"/>
    </row>
    <row r="649">
      <c r="A649" s="2" t="s">
        <v>4117</v>
      </c>
      <c r="B649" s="2" t="s">
        <v>744</v>
      </c>
      <c r="C649" s="2" t="s">
        <v>1299</v>
      </c>
      <c r="D649" s="2" t="s">
        <v>4110</v>
      </c>
      <c r="E649" s="2" t="s">
        <v>517</v>
      </c>
      <c r="F649" s="2" t="s">
        <v>4111</v>
      </c>
      <c r="G649" s="2" t="s">
        <v>4111</v>
      </c>
      <c r="H649" s="2" t="s">
        <v>4111</v>
      </c>
      <c r="I649" s="2" t="s">
        <v>4112</v>
      </c>
      <c r="J649" s="2" t="s">
        <v>548</v>
      </c>
      <c r="K649" s="2" t="s">
        <v>657</v>
      </c>
      <c r="L649" s="3">
        <v>28.99</v>
      </c>
      <c r="M649" s="3">
        <v>30.44</v>
      </c>
      <c r="N649" s="3">
        <v>49.99</v>
      </c>
      <c r="O649" s="2" t="s">
        <v>224</v>
      </c>
      <c r="P649" s="2" t="s">
        <v>225</v>
      </c>
      <c r="Q649" s="2" t="s">
        <v>226</v>
      </c>
      <c r="R649" s="2" t="s">
        <v>227</v>
      </c>
      <c r="S649" s="2" t="s">
        <v>227</v>
      </c>
      <c r="T649" s="2" t="s">
        <v>227</v>
      </c>
      <c r="U649" s="2" t="s">
        <v>594</v>
      </c>
      <c r="V649" s="2" t="s">
        <v>877</v>
      </c>
      <c r="W649" s="2" t="s">
        <v>227</v>
      </c>
      <c r="X649" s="2" t="s">
        <v>227</v>
      </c>
      <c r="Y649" s="2" t="s">
        <v>3116</v>
      </c>
      <c r="Z649" s="4">
        <v>175</v>
      </c>
      <c r="AA649" s="4">
        <f>=ROUNDDOWN(21.875,0)</f>
      </c>
      <c r="AB649" s="5">
        <v>8</v>
      </c>
      <c r="AC649" s="2" t="s">
        <v>227</v>
      </c>
      <c r="AD649" s="4"/>
      <c r="AE649" s="4"/>
      <c r="AF649" s="6">
        <v>73</v>
      </c>
      <c r="AG649" s="6"/>
      <c r="AH649" s="7">
        <v>1</v>
      </c>
      <c r="AI649" s="4"/>
      <c r="AJ649" s="4">
        <f>=ROUNDDOWN({0},0)</f>
      </c>
      <c r="AK649" s="5"/>
      <c r="AL649" s="2" t="s">
        <v>227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/>
      <c r="AW649" s="8"/>
      <c r="AX649" s="4"/>
      <c r="AY649" s="8"/>
      <c r="AZ649" s="7"/>
      <c r="BA649" s="7"/>
      <c r="BB649" s="7"/>
      <c r="BC649" s="4" t="s">
        <v>227</v>
      </c>
      <c r="BD649" s="8" t="s">
        <v>227</v>
      </c>
      <c r="BE649" s="4" t="s">
        <v>227</v>
      </c>
      <c r="BF649" s="8" t="s">
        <v>227</v>
      </c>
      <c r="BG649" s="7" t="s">
        <v>227</v>
      </c>
      <c r="BH649" s="7" t="s">
        <v>227</v>
      </c>
      <c r="BI649" s="7"/>
      <c r="BJ649" s="4">
        <v>51</v>
      </c>
      <c r="BK649" s="8">
        <v>1475.12</v>
      </c>
      <c r="BL649" s="2" t="s">
        <v>4118</v>
      </c>
      <c r="BM649" s="7"/>
      <c r="BN649" s="7"/>
      <c r="BO649" s="4"/>
      <c r="BP649" s="8"/>
      <c r="BQ649" s="4"/>
      <c r="BR649" s="8"/>
      <c r="BS649" s="7"/>
      <c r="BT649" s="7"/>
      <c r="BU649" s="2" t="s">
        <v>4119</v>
      </c>
      <c r="BV649" s="2" t="s">
        <v>227</v>
      </c>
      <c r="BW649" s="2" t="s">
        <v>227</v>
      </c>
      <c r="BX649" s="2" t="s">
        <v>235</v>
      </c>
      <c r="BY649" s="2" t="s">
        <v>236</v>
      </c>
      <c r="BZ649" s="2" t="s">
        <v>224</v>
      </c>
      <c r="CA649" s="2" t="s">
        <v>4116</v>
      </c>
      <c r="CB649" s="2" t="s">
        <v>227</v>
      </c>
      <c r="CC649" s="2" t="s">
        <v>239</v>
      </c>
      <c r="CD649" s="2" t="s">
        <v>227</v>
      </c>
      <c r="CE649" s="4">
        <v>175</v>
      </c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  <c r="FG649" s="4"/>
      <c r="FH649" s="4"/>
      <c r="FI649" s="4"/>
      <c r="FJ649" s="4"/>
      <c r="FK649" s="4"/>
      <c r="FL649" s="4"/>
      <c r="FM649" s="4"/>
      <c r="FN649" s="4"/>
      <c r="FO649" s="4"/>
      <c r="FP649" s="4"/>
      <c r="FQ649" s="4"/>
      <c r="FR649" s="4"/>
      <c r="FS649" s="4"/>
      <c r="FT649" s="4"/>
      <c r="FU649" s="4"/>
      <c r="FV649" s="4"/>
      <c r="FW649" s="4"/>
      <c r="FX649" s="4"/>
      <c r="FY649" s="4"/>
      <c r="FZ649" s="4"/>
      <c r="GA649" s="4"/>
      <c r="GB649" s="4"/>
      <c r="GC649" s="4"/>
      <c r="GD649" s="4"/>
      <c r="GE649" s="4"/>
      <c r="GF649" s="4"/>
      <c r="GG649" s="4"/>
      <c r="GH649" s="4"/>
      <c r="GI649" s="4"/>
      <c r="GJ649" s="4"/>
      <c r="GK649" s="4"/>
      <c r="GL649" s="4"/>
      <c r="GM649" s="4"/>
      <c r="GN649" s="4"/>
      <c r="GO649" s="4"/>
      <c r="GP649" s="4"/>
      <c r="GQ649" s="4"/>
      <c r="GR649" s="4"/>
      <c r="GS649" s="4"/>
      <c r="GT649" s="4"/>
      <c r="GU649" s="4"/>
      <c r="GV649" s="4"/>
      <c r="GW649" s="4"/>
      <c r="GX649" s="4"/>
    </row>
    <row r="650">
      <c r="A650" s="2" t="s">
        <v>4120</v>
      </c>
      <c r="B650" s="2" t="s">
        <v>667</v>
      </c>
      <c r="C650" s="2" t="s">
        <v>360</v>
      </c>
      <c r="D650" s="2" t="s">
        <v>687</v>
      </c>
      <c r="E650" s="2" t="s">
        <v>699</v>
      </c>
      <c r="F650" s="2" t="s">
        <v>4121</v>
      </c>
      <c r="G650" s="2" t="s">
        <v>4122</v>
      </c>
      <c r="H650" s="2" t="s">
        <v>4123</v>
      </c>
      <c r="I650" s="2" t="s">
        <v>4124</v>
      </c>
      <c r="J650" s="2" t="s">
        <v>1304</v>
      </c>
      <c r="K650" s="2" t="s">
        <v>672</v>
      </c>
      <c r="L650" s="3">
        <v>49.68</v>
      </c>
      <c r="M650" s="3">
        <v>52.16</v>
      </c>
      <c r="N650" s="3">
        <v>99.99</v>
      </c>
      <c r="O650" s="2" t="s">
        <v>224</v>
      </c>
      <c r="P650" s="2" t="s">
        <v>225</v>
      </c>
      <c r="Q650" s="2" t="s">
        <v>226</v>
      </c>
      <c r="R650" s="2" t="s">
        <v>227</v>
      </c>
      <c r="S650" s="2" t="s">
        <v>4125</v>
      </c>
      <c r="T650" s="2" t="s">
        <v>227</v>
      </c>
      <c r="U650" s="2" t="s">
        <v>594</v>
      </c>
      <c r="V650" s="2" t="s">
        <v>629</v>
      </c>
      <c r="W650" s="2" t="s">
        <v>581</v>
      </c>
      <c r="X650" s="2" t="s">
        <v>4126</v>
      </c>
      <c r="Y650" s="2" t="s">
        <v>4127</v>
      </c>
      <c r="Z650" s="4">
        <v>152</v>
      </c>
      <c r="AA650" s="4">
        <f>=ROUNDDOWN(25.3333333333333,0)</f>
      </c>
      <c r="AB650" s="5">
        <v>6</v>
      </c>
      <c r="AC650" s="2" t="s">
        <v>182</v>
      </c>
      <c r="AD650" s="4">
        <v>100</v>
      </c>
      <c r="AE650" s="4">
        <v>100</v>
      </c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227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227</v>
      </c>
      <c r="AW650" s="8" t="s">
        <v>227</v>
      </c>
      <c r="AX650" s="4" t="s">
        <v>227</v>
      </c>
      <c r="AY650" s="8" t="s">
        <v>227</v>
      </c>
      <c r="AZ650" s="7" t="s">
        <v>227</v>
      </c>
      <c r="BA650" s="7" t="s">
        <v>227</v>
      </c>
      <c r="BB650" s="7"/>
      <c r="BC650" s="4" t="s">
        <v>227</v>
      </c>
      <c r="BD650" s="8" t="s">
        <v>227</v>
      </c>
      <c r="BE650" s="4" t="s">
        <v>227</v>
      </c>
      <c r="BF650" s="8" t="s">
        <v>227</v>
      </c>
      <c r="BG650" s="7" t="s">
        <v>227</v>
      </c>
      <c r="BH650" s="7" t="s">
        <v>227</v>
      </c>
      <c r="BI650" s="7"/>
      <c r="BJ650" s="4">
        <v>20</v>
      </c>
      <c r="BK650" s="8">
        <v>1016.54</v>
      </c>
      <c r="BL650" s="2" t="s">
        <v>928</v>
      </c>
      <c r="BM650" s="7"/>
      <c r="BN650" s="7"/>
      <c r="BO650" s="4"/>
      <c r="BP650" s="8"/>
      <c r="BQ650" s="4"/>
      <c r="BR650" s="8"/>
      <c r="BS650" s="7"/>
      <c r="BT650" s="7"/>
      <c r="BU650" s="2" t="s">
        <v>4128</v>
      </c>
      <c r="BV650" s="2" t="s">
        <v>227</v>
      </c>
      <c r="BW650" s="2" t="s">
        <v>227</v>
      </c>
      <c r="BX650" s="2" t="s">
        <v>235</v>
      </c>
      <c r="BY650" s="2" t="s">
        <v>236</v>
      </c>
      <c r="BZ650" s="2" t="s">
        <v>224</v>
      </c>
      <c r="CA650" s="2" t="s">
        <v>4129</v>
      </c>
      <c r="CB650" s="2" t="s">
        <v>4130</v>
      </c>
      <c r="CC650" s="2" t="s">
        <v>239</v>
      </c>
      <c r="CD650" s="2" t="s">
        <v>227</v>
      </c>
      <c r="CE650" s="4">
        <v>152</v>
      </c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/>
      <c r="FE650" s="4"/>
      <c r="FF650" s="4"/>
      <c r="FG650" s="4"/>
      <c r="FH650" s="4"/>
      <c r="FI650" s="4"/>
      <c r="FJ650" s="4"/>
      <c r="FK650" s="4"/>
      <c r="FL650" s="4"/>
      <c r="FM650" s="4"/>
      <c r="FN650" s="4"/>
      <c r="FO650" s="4"/>
      <c r="FP650" s="4"/>
      <c r="FQ650" s="4"/>
      <c r="FR650" s="4">
        <v>100</v>
      </c>
      <c r="FS650" s="4"/>
      <c r="FT650" s="4"/>
      <c r="FU650" s="4"/>
      <c r="FV650" s="4"/>
      <c r="FW650" s="4"/>
      <c r="FX650" s="4"/>
      <c r="FY650" s="4"/>
      <c r="FZ650" s="4"/>
      <c r="GA650" s="4"/>
      <c r="GB650" s="4"/>
      <c r="GC650" s="4"/>
      <c r="GD650" s="4"/>
      <c r="GE650" s="4"/>
      <c r="GF650" s="4"/>
      <c r="GG650" s="4"/>
      <c r="GH650" s="4"/>
      <c r="GI650" s="4"/>
      <c r="GJ650" s="4"/>
      <c r="GK650" s="4"/>
      <c r="GL650" s="4"/>
      <c r="GM650" s="4"/>
      <c r="GN650" s="4"/>
      <c r="GO650" s="4"/>
      <c r="GP650" s="4"/>
      <c r="GQ650" s="4"/>
      <c r="GR650" s="4"/>
      <c r="GS650" s="4"/>
      <c r="GT650" s="4"/>
      <c r="GU650" s="4"/>
      <c r="GV650" s="4"/>
      <c r="GW650" s="4"/>
      <c r="GX650" s="4"/>
    </row>
    <row r="651">
      <c r="A651" s="2" t="s">
        <v>4131</v>
      </c>
      <c r="B651" s="2" t="s">
        <v>667</v>
      </c>
      <c r="C651" s="2" t="s">
        <v>360</v>
      </c>
      <c r="D651" s="2" t="s">
        <v>687</v>
      </c>
      <c r="E651" s="2" t="s">
        <v>699</v>
      </c>
      <c r="F651" s="2" t="s">
        <v>4121</v>
      </c>
      <c r="G651" s="2" t="s">
        <v>4122</v>
      </c>
      <c r="H651" s="2" t="s">
        <v>4123</v>
      </c>
      <c r="I651" s="2" t="s">
        <v>4124</v>
      </c>
      <c r="J651" s="2" t="s">
        <v>252</v>
      </c>
      <c r="K651" s="2" t="s">
        <v>672</v>
      </c>
      <c r="L651" s="3">
        <v>64.79</v>
      </c>
      <c r="M651" s="3">
        <v>68.03</v>
      </c>
      <c r="N651" s="3">
        <v>129.99</v>
      </c>
      <c r="O651" s="2" t="s">
        <v>224</v>
      </c>
      <c r="P651" s="2" t="s">
        <v>225</v>
      </c>
      <c r="Q651" s="2" t="s">
        <v>226</v>
      </c>
      <c r="R651" s="2" t="s">
        <v>227</v>
      </c>
      <c r="S651" s="2" t="s">
        <v>4132</v>
      </c>
      <c r="T651" s="2" t="s">
        <v>227</v>
      </c>
      <c r="U651" s="2" t="s">
        <v>1069</v>
      </c>
      <c r="V651" s="2" t="s">
        <v>629</v>
      </c>
      <c r="W651" s="2" t="s">
        <v>581</v>
      </c>
      <c r="X651" s="2" t="s">
        <v>4126</v>
      </c>
      <c r="Y651" s="2" t="s">
        <v>4133</v>
      </c>
      <c r="Z651" s="4">
        <v>293</v>
      </c>
      <c r="AA651" s="4">
        <f>=ROUNDDOWN(12.2083333333333,0)</f>
      </c>
      <c r="AB651" s="5">
        <v>24</v>
      </c>
      <c r="AC651" s="2" t="s">
        <v>2297</v>
      </c>
      <c r="AD651" s="4">
        <v>110</v>
      </c>
      <c r="AE651" s="4">
        <v>820</v>
      </c>
      <c r="AF651" s="6">
        <v>65</v>
      </c>
      <c r="AG651" s="6">
        <v>73</v>
      </c>
      <c r="AH651" s="7">
        <v>1</v>
      </c>
      <c r="AI651" s="4"/>
      <c r="AJ651" s="4">
        <f>=ROUNDDOWN({0},0)</f>
      </c>
      <c r="AK651" s="5"/>
      <c r="AL651" s="2" t="s">
        <v>227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 t="s">
        <v>227</v>
      </c>
      <c r="AW651" s="8" t="s">
        <v>227</v>
      </c>
      <c r="AX651" s="4" t="s">
        <v>227</v>
      </c>
      <c r="AY651" s="8" t="s">
        <v>227</v>
      </c>
      <c r="AZ651" s="7" t="s">
        <v>227</v>
      </c>
      <c r="BA651" s="7" t="s">
        <v>227</v>
      </c>
      <c r="BB651" s="7"/>
      <c r="BC651" s="4" t="s">
        <v>227</v>
      </c>
      <c r="BD651" s="8" t="s">
        <v>227</v>
      </c>
      <c r="BE651" s="4" t="s">
        <v>227</v>
      </c>
      <c r="BF651" s="8" t="s">
        <v>227</v>
      </c>
      <c r="BG651" s="7" t="s">
        <v>227</v>
      </c>
      <c r="BH651" s="7" t="s">
        <v>227</v>
      </c>
      <c r="BI651" s="7"/>
      <c r="BJ651" s="4">
        <v>110</v>
      </c>
      <c r="BK651" s="8">
        <v>7730.69</v>
      </c>
      <c r="BL651" s="2" t="s">
        <v>4134</v>
      </c>
      <c r="BM651" s="7"/>
      <c r="BN651" s="7"/>
      <c r="BO651" s="4"/>
      <c r="BP651" s="8"/>
      <c r="BQ651" s="4"/>
      <c r="BR651" s="8"/>
      <c r="BS651" s="7"/>
      <c r="BT651" s="7"/>
      <c r="BU651" s="2" t="s">
        <v>4135</v>
      </c>
      <c r="BV651" s="2" t="s">
        <v>227</v>
      </c>
      <c r="BW651" s="2" t="s">
        <v>227</v>
      </c>
      <c r="BX651" s="2" t="s">
        <v>235</v>
      </c>
      <c r="BY651" s="2" t="s">
        <v>236</v>
      </c>
      <c r="BZ651" s="2" t="s">
        <v>224</v>
      </c>
      <c r="CA651" s="2" t="s">
        <v>237</v>
      </c>
      <c r="CB651" s="2" t="s">
        <v>4136</v>
      </c>
      <c r="CC651" s="2" t="s">
        <v>239</v>
      </c>
      <c r="CD651" s="2" t="s">
        <v>227</v>
      </c>
      <c r="CE651" s="4">
        <v>293</v>
      </c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>
        <v>110</v>
      </c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>
        <v>400</v>
      </c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/>
      <c r="FG651" s="4"/>
      <c r="FH651" s="4"/>
      <c r="FI651" s="4"/>
      <c r="FJ651" s="4"/>
      <c r="FK651" s="4"/>
      <c r="FL651" s="4"/>
      <c r="FM651" s="4"/>
      <c r="FN651" s="4"/>
      <c r="FO651" s="4"/>
      <c r="FP651" s="4"/>
      <c r="FQ651" s="4"/>
      <c r="FR651" s="4">
        <v>190</v>
      </c>
      <c r="FS651" s="4"/>
      <c r="FT651" s="4"/>
      <c r="FU651" s="4"/>
      <c r="FV651" s="4">
        <v>120</v>
      </c>
      <c r="FW651" s="4"/>
      <c r="FX651" s="4"/>
      <c r="FY651" s="4"/>
      <c r="FZ651" s="4"/>
      <c r="GA651" s="4"/>
      <c r="GB651" s="4"/>
      <c r="GC651" s="4"/>
      <c r="GD651" s="4"/>
      <c r="GE651" s="4"/>
      <c r="GF651" s="4"/>
      <c r="GG651" s="4"/>
      <c r="GH651" s="4"/>
      <c r="GI651" s="4"/>
      <c r="GJ651" s="4"/>
      <c r="GK651" s="4"/>
      <c r="GL651" s="4"/>
      <c r="GM651" s="4"/>
      <c r="GN651" s="4"/>
      <c r="GO651" s="4"/>
      <c r="GP651" s="4"/>
      <c r="GQ651" s="4"/>
      <c r="GR651" s="4"/>
      <c r="GS651" s="4"/>
      <c r="GT651" s="4"/>
      <c r="GU651" s="4"/>
      <c r="GV651" s="4"/>
      <c r="GW651" s="4"/>
      <c r="GX651" s="4"/>
    </row>
    <row r="652">
      <c r="A652" s="2" t="s">
        <v>4137</v>
      </c>
      <c r="B652" s="2" t="s">
        <v>667</v>
      </c>
      <c r="C652" s="2" t="s">
        <v>360</v>
      </c>
      <c r="D652" s="2" t="s">
        <v>1652</v>
      </c>
      <c r="E652" s="2" t="s">
        <v>1653</v>
      </c>
      <c r="F652" s="2" t="s">
        <v>4121</v>
      </c>
      <c r="G652" s="2" t="s">
        <v>4122</v>
      </c>
      <c r="H652" s="2" t="s">
        <v>4123</v>
      </c>
      <c r="I652" s="2" t="s">
        <v>4138</v>
      </c>
      <c r="J652" s="2" t="s">
        <v>682</v>
      </c>
      <c r="K652" s="2" t="s">
        <v>672</v>
      </c>
      <c r="L652" s="3">
        <v>66.29</v>
      </c>
      <c r="M652" s="3">
        <v>69.61</v>
      </c>
      <c r="N652" s="3">
        <v>129.99</v>
      </c>
      <c r="O652" s="2" t="s">
        <v>224</v>
      </c>
      <c r="P652" s="2" t="s">
        <v>225</v>
      </c>
      <c r="Q652" s="2" t="s">
        <v>226</v>
      </c>
      <c r="R652" s="2" t="s">
        <v>227</v>
      </c>
      <c r="S652" s="2" t="s">
        <v>4132</v>
      </c>
      <c r="T652" s="2" t="s">
        <v>227</v>
      </c>
      <c r="U652" s="2" t="s">
        <v>594</v>
      </c>
      <c r="V652" s="2" t="s">
        <v>629</v>
      </c>
      <c r="W652" s="2" t="s">
        <v>581</v>
      </c>
      <c r="X652" s="2" t="s">
        <v>4126</v>
      </c>
      <c r="Y652" s="2" t="s">
        <v>232</v>
      </c>
      <c r="Z652" s="4">
        <v>527</v>
      </c>
      <c r="AA652" s="4">
        <f>=ROUNDDOWN(43.9166666666667,0)</f>
      </c>
      <c r="AB652" s="5">
        <v>12</v>
      </c>
      <c r="AC652" s="2" t="s">
        <v>182</v>
      </c>
      <c r="AD652" s="4">
        <v>40</v>
      </c>
      <c r="AE652" s="4">
        <v>40</v>
      </c>
      <c r="AF652" s="6">
        <v>65</v>
      </c>
      <c r="AG652" s="6">
        <v>73</v>
      </c>
      <c r="AH652" s="7">
        <v>1</v>
      </c>
      <c r="AI652" s="4"/>
      <c r="AJ652" s="4">
        <f>=ROUNDDOWN({0},0)</f>
      </c>
      <c r="AK652" s="5"/>
      <c r="AL652" s="2" t="s">
        <v>227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227</v>
      </c>
      <c r="AW652" s="8" t="s">
        <v>227</v>
      </c>
      <c r="AX652" s="4" t="s">
        <v>227</v>
      </c>
      <c r="AY652" s="8" t="s">
        <v>227</v>
      </c>
      <c r="AZ652" s="7" t="s">
        <v>227</v>
      </c>
      <c r="BA652" s="7" t="s">
        <v>227</v>
      </c>
      <c r="BB652" s="7"/>
      <c r="BC652" s="4" t="s">
        <v>227</v>
      </c>
      <c r="BD652" s="8" t="s">
        <v>227</v>
      </c>
      <c r="BE652" s="4" t="s">
        <v>227</v>
      </c>
      <c r="BF652" s="8" t="s">
        <v>227</v>
      </c>
      <c r="BG652" s="7" t="s">
        <v>227</v>
      </c>
      <c r="BH652" s="7" t="s">
        <v>227</v>
      </c>
      <c r="BI652" s="7"/>
      <c r="BJ652" s="4">
        <v>35</v>
      </c>
      <c r="BK652" s="8">
        <v>2382.6</v>
      </c>
      <c r="BL652" s="2" t="s">
        <v>4139</v>
      </c>
      <c r="BM652" s="7"/>
      <c r="BN652" s="7"/>
      <c r="BO652" s="4"/>
      <c r="BP652" s="8"/>
      <c r="BQ652" s="4"/>
      <c r="BR652" s="8"/>
      <c r="BS652" s="7"/>
      <c r="BT652" s="7"/>
      <c r="BU652" s="2" t="s">
        <v>4140</v>
      </c>
      <c r="BV652" s="2" t="s">
        <v>227</v>
      </c>
      <c r="BW652" s="2" t="s">
        <v>227</v>
      </c>
      <c r="BX652" s="2" t="s">
        <v>235</v>
      </c>
      <c r="BY652" s="2" t="s">
        <v>236</v>
      </c>
      <c r="BZ652" s="2" t="s">
        <v>224</v>
      </c>
      <c r="CA652" s="2" t="s">
        <v>237</v>
      </c>
      <c r="CB652" s="2" t="s">
        <v>2053</v>
      </c>
      <c r="CC652" s="2" t="s">
        <v>239</v>
      </c>
      <c r="CD652" s="2" t="s">
        <v>227</v>
      </c>
      <c r="CE652" s="4">
        <v>348</v>
      </c>
      <c r="CF652" s="4"/>
      <c r="CG652" s="4"/>
      <c r="CH652" s="4">
        <v>179</v>
      </c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/>
      <c r="FG652" s="4"/>
      <c r="FH652" s="4"/>
      <c r="FI652" s="4"/>
      <c r="FJ652" s="4"/>
      <c r="FK652" s="4"/>
      <c r="FL652" s="4"/>
      <c r="FM652" s="4"/>
      <c r="FN652" s="4"/>
      <c r="FO652" s="4"/>
      <c r="FP652" s="4"/>
      <c r="FQ652" s="4"/>
      <c r="FR652" s="4">
        <v>40</v>
      </c>
      <c r="FS652" s="4"/>
      <c r="FT652" s="4"/>
      <c r="FU652" s="4"/>
      <c r="FV652" s="4"/>
      <c r="FW652" s="4"/>
      <c r="FX652" s="4"/>
      <c r="FY652" s="4"/>
      <c r="FZ652" s="4"/>
      <c r="GA652" s="4"/>
      <c r="GB652" s="4"/>
      <c r="GC652" s="4"/>
      <c r="GD652" s="4"/>
      <c r="GE652" s="4"/>
      <c r="GF652" s="4"/>
      <c r="GG652" s="4"/>
      <c r="GH652" s="4"/>
      <c r="GI652" s="4"/>
      <c r="GJ652" s="4"/>
      <c r="GK652" s="4"/>
      <c r="GL652" s="4"/>
      <c r="GM652" s="4"/>
      <c r="GN652" s="4"/>
      <c r="GO652" s="4"/>
      <c r="GP652" s="4"/>
      <c r="GQ652" s="4"/>
      <c r="GR652" s="4"/>
      <c r="GS652" s="4"/>
      <c r="GT652" s="4"/>
      <c r="GU652" s="4"/>
      <c r="GV652" s="4"/>
      <c r="GW652" s="4"/>
      <c r="GX652" s="4"/>
    </row>
    <row r="653">
      <c r="A653" s="2" t="s">
        <v>4141</v>
      </c>
      <c r="B653" s="2" t="s">
        <v>744</v>
      </c>
      <c r="C653" s="2" t="s">
        <v>360</v>
      </c>
      <c r="D653" s="2" t="s">
        <v>768</v>
      </c>
      <c r="E653" s="2" t="s">
        <v>769</v>
      </c>
      <c r="F653" s="2" t="s">
        <v>4121</v>
      </c>
      <c r="G653" s="2" t="s">
        <v>4122</v>
      </c>
      <c r="H653" s="2" t="s">
        <v>4142</v>
      </c>
      <c r="I653" s="2" t="s">
        <v>4143</v>
      </c>
      <c r="J653" s="2" t="s">
        <v>771</v>
      </c>
      <c r="K653" s="2" t="s">
        <v>4144</v>
      </c>
      <c r="L653" s="3">
        <v>17.6</v>
      </c>
      <c r="M653" s="3">
        <v>18.48</v>
      </c>
      <c r="N653" s="3">
        <v>39.99</v>
      </c>
      <c r="O653" s="2" t="s">
        <v>224</v>
      </c>
      <c r="P653" s="2" t="s">
        <v>225</v>
      </c>
      <c r="Q653" s="2" t="s">
        <v>226</v>
      </c>
      <c r="R653" s="2" t="s">
        <v>227</v>
      </c>
      <c r="S653" s="2" t="s">
        <v>4145</v>
      </c>
      <c r="T653" s="2" t="s">
        <v>286</v>
      </c>
      <c r="U653" s="2" t="s">
        <v>227</v>
      </c>
      <c r="V653" s="2" t="s">
        <v>629</v>
      </c>
      <c r="W653" s="2" t="s">
        <v>231</v>
      </c>
      <c r="X653" s="2" t="s">
        <v>227</v>
      </c>
      <c r="Y653" s="2" t="s">
        <v>4146</v>
      </c>
      <c r="Z653" s="4">
        <v>260</v>
      </c>
      <c r="AA653" s="4">
        <f>=ROUNDDOWN(8.38709677419355,0)</f>
      </c>
      <c r="AB653" s="5">
        <v>31</v>
      </c>
      <c r="AC653" s="2" t="s">
        <v>2297</v>
      </c>
      <c r="AD653" s="4">
        <v>240</v>
      </c>
      <c r="AE653" s="4">
        <v>440</v>
      </c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227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 t="s">
        <v>227</v>
      </c>
      <c r="BD653" s="8" t="s">
        <v>227</v>
      </c>
      <c r="BE653" s="4" t="s">
        <v>227</v>
      </c>
      <c r="BF653" s="8" t="s">
        <v>227</v>
      </c>
      <c r="BG653" s="7" t="s">
        <v>227</v>
      </c>
      <c r="BH653" s="7" t="s">
        <v>227</v>
      </c>
      <c r="BI653" s="7"/>
      <c r="BJ653" s="4">
        <v>108</v>
      </c>
      <c r="BK653" s="8">
        <v>2096.6</v>
      </c>
      <c r="BL653" s="2" t="s">
        <v>4147</v>
      </c>
      <c r="BM653" s="7"/>
      <c r="BN653" s="7"/>
      <c r="BO653" s="4"/>
      <c r="BP653" s="8"/>
      <c r="BQ653" s="4"/>
      <c r="BR653" s="8"/>
      <c r="BS653" s="7"/>
      <c r="BT653" s="7"/>
      <c r="BU653" s="2" t="s">
        <v>4148</v>
      </c>
      <c r="BV653" s="2" t="s">
        <v>227</v>
      </c>
      <c r="BW653" s="2" t="s">
        <v>227</v>
      </c>
      <c r="BX653" s="2" t="s">
        <v>235</v>
      </c>
      <c r="BY653" s="2" t="s">
        <v>236</v>
      </c>
      <c r="BZ653" s="2" t="s">
        <v>224</v>
      </c>
      <c r="CA653" s="2" t="s">
        <v>4149</v>
      </c>
      <c r="CB653" s="2" t="s">
        <v>2085</v>
      </c>
      <c r="CC653" s="2" t="s">
        <v>239</v>
      </c>
      <c r="CD653" s="2" t="s">
        <v>227</v>
      </c>
      <c r="CE653" s="4">
        <v>260</v>
      </c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>
        <v>240</v>
      </c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  <c r="FG653" s="4"/>
      <c r="FH653" s="4"/>
      <c r="FI653" s="4"/>
      <c r="FJ653" s="4"/>
      <c r="FK653" s="4"/>
      <c r="FL653" s="4"/>
      <c r="FM653" s="4"/>
      <c r="FN653" s="4"/>
      <c r="FO653" s="4"/>
      <c r="FP653" s="4"/>
      <c r="FQ653" s="4"/>
      <c r="FR653" s="4">
        <v>200</v>
      </c>
      <c r="FS653" s="4"/>
      <c r="FT653" s="4"/>
      <c r="FU653" s="4"/>
      <c r="FV653" s="4"/>
      <c r="FW653" s="4"/>
      <c r="FX653" s="4"/>
      <c r="FY653" s="4"/>
      <c r="FZ653" s="4"/>
      <c r="GA653" s="4"/>
      <c r="GB653" s="4"/>
      <c r="GC653" s="4"/>
      <c r="GD653" s="4"/>
      <c r="GE653" s="4"/>
      <c r="GF653" s="4"/>
      <c r="GG653" s="4"/>
      <c r="GH653" s="4"/>
      <c r="GI653" s="4"/>
      <c r="GJ653" s="4"/>
      <c r="GK653" s="4"/>
      <c r="GL653" s="4"/>
      <c r="GM653" s="4"/>
      <c r="GN653" s="4"/>
      <c r="GO653" s="4"/>
      <c r="GP653" s="4"/>
      <c r="GQ653" s="4"/>
      <c r="GR653" s="4"/>
      <c r="GS653" s="4"/>
      <c r="GT653" s="4"/>
      <c r="GU653" s="4"/>
      <c r="GV653" s="4"/>
      <c r="GW653" s="4"/>
      <c r="GX653" s="4"/>
    </row>
    <row r="654">
      <c r="A654" s="2" t="s">
        <v>4150</v>
      </c>
      <c r="B654" s="2" t="s">
        <v>618</v>
      </c>
      <c r="C654" s="2" t="s">
        <v>4151</v>
      </c>
      <c r="D654" s="2" t="s">
        <v>687</v>
      </c>
      <c r="E654" s="2" t="s">
        <v>699</v>
      </c>
      <c r="F654" s="2" t="s">
        <v>4121</v>
      </c>
      <c r="G654" s="2" t="s">
        <v>1496</v>
      </c>
      <c r="H654" s="2" t="s">
        <v>4152</v>
      </c>
      <c r="I654" s="2" t="s">
        <v>4153</v>
      </c>
      <c r="J654" s="2" t="s">
        <v>222</v>
      </c>
      <c r="K654" s="2" t="s">
        <v>1577</v>
      </c>
      <c r="L654" s="3">
        <v>38.58</v>
      </c>
      <c r="M654" s="3">
        <v>40.51</v>
      </c>
      <c r="N654" s="3">
        <v>79.99</v>
      </c>
      <c r="O654" s="2" t="s">
        <v>224</v>
      </c>
      <c r="P654" s="2" t="s">
        <v>485</v>
      </c>
      <c r="Q654" s="2" t="s">
        <v>226</v>
      </c>
      <c r="R654" s="2" t="s">
        <v>227</v>
      </c>
      <c r="S654" s="2" t="s">
        <v>4154</v>
      </c>
      <c r="T654" s="2" t="s">
        <v>286</v>
      </c>
      <c r="U654" s="2" t="s">
        <v>287</v>
      </c>
      <c r="V654" s="2" t="s">
        <v>906</v>
      </c>
      <c r="W654" s="2" t="s">
        <v>231</v>
      </c>
      <c r="X654" s="2" t="s">
        <v>227</v>
      </c>
      <c r="Y654" s="2" t="s">
        <v>4155</v>
      </c>
      <c r="Z654" s="4">
        <v>555</v>
      </c>
      <c r="AA654" s="4">
        <f>=ROUNDDOWN(34.6875,0)</f>
      </c>
      <c r="AB654" s="5">
        <v>16</v>
      </c>
      <c r="AC654" s="2" t="s">
        <v>1266</v>
      </c>
      <c r="AD654" s="4">
        <v>120</v>
      </c>
      <c r="AE654" s="4">
        <v>710</v>
      </c>
      <c r="AF654" s="6">
        <v>65</v>
      </c>
      <c r="AG654" s="6">
        <v>73</v>
      </c>
      <c r="AH654" s="7">
        <v>1</v>
      </c>
      <c r="AI654" s="4"/>
      <c r="AJ654" s="4">
        <f>=ROUNDDOWN({0},0)</f>
      </c>
      <c r="AK654" s="5"/>
      <c r="AL654" s="2" t="s">
        <v>227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 t="s">
        <v>227</v>
      </c>
      <c r="AW654" s="8" t="s">
        <v>227</v>
      </c>
      <c r="AX654" s="4" t="s">
        <v>227</v>
      </c>
      <c r="AY654" s="8" t="s">
        <v>227</v>
      </c>
      <c r="AZ654" s="7" t="s">
        <v>227</v>
      </c>
      <c r="BA654" s="7" t="s">
        <v>227</v>
      </c>
      <c r="BB654" s="7" t="s">
        <v>227</v>
      </c>
      <c r="BC654" s="4" t="s">
        <v>227</v>
      </c>
      <c r="BD654" s="8" t="s">
        <v>227</v>
      </c>
      <c r="BE654" s="4" t="s">
        <v>227</v>
      </c>
      <c r="BF654" s="8" t="s">
        <v>227</v>
      </c>
      <c r="BG654" s="7" t="s">
        <v>227</v>
      </c>
      <c r="BH654" s="7" t="s">
        <v>227</v>
      </c>
      <c r="BI654" s="7"/>
      <c r="BJ654" s="4">
        <v>84</v>
      </c>
      <c r="BK654" s="8">
        <v>3834.99</v>
      </c>
      <c r="BL654" s="2" t="s">
        <v>4156</v>
      </c>
      <c r="BM654" s="7"/>
      <c r="BN654" s="7"/>
      <c r="BO654" s="4"/>
      <c r="BP654" s="8"/>
      <c r="BQ654" s="4"/>
      <c r="BR654" s="8"/>
      <c r="BS654" s="7"/>
      <c r="BT654" s="7"/>
      <c r="BU654" s="2" t="s">
        <v>4157</v>
      </c>
      <c r="BV654" s="2" t="s">
        <v>227</v>
      </c>
      <c r="BW654" s="2" t="s">
        <v>227</v>
      </c>
      <c r="BX654" s="2" t="s">
        <v>235</v>
      </c>
      <c r="BY654" s="2" t="s">
        <v>236</v>
      </c>
      <c r="BZ654" s="2" t="s">
        <v>224</v>
      </c>
      <c r="CA654" s="2" t="s">
        <v>4158</v>
      </c>
      <c r="CB654" s="2" t="s">
        <v>3977</v>
      </c>
      <c r="CC654" s="2" t="s">
        <v>239</v>
      </c>
      <c r="CD654" s="2" t="s">
        <v>227</v>
      </c>
      <c r="CE654" s="4">
        <v>349</v>
      </c>
      <c r="CF654" s="4"/>
      <c r="CG654" s="4"/>
      <c r="CH654" s="4">
        <v>206</v>
      </c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>
        <v>120</v>
      </c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/>
      <c r="FH654" s="4"/>
      <c r="FI654" s="4"/>
      <c r="FJ654" s="4"/>
      <c r="FK654" s="4"/>
      <c r="FL654" s="4"/>
      <c r="FM654" s="4"/>
      <c r="FN654" s="4"/>
      <c r="FO654" s="4"/>
      <c r="FP654" s="4"/>
      <c r="FQ654" s="4"/>
      <c r="FR654" s="4"/>
      <c r="FS654" s="4"/>
      <c r="FT654" s="4"/>
      <c r="FU654" s="4"/>
      <c r="FV654" s="4"/>
      <c r="FW654" s="4"/>
      <c r="FX654" s="4"/>
      <c r="FY654" s="4"/>
      <c r="FZ654" s="4"/>
      <c r="GA654" s="4"/>
      <c r="GB654" s="4">
        <v>400</v>
      </c>
      <c r="GC654" s="4"/>
      <c r="GD654" s="4"/>
      <c r="GE654" s="4"/>
      <c r="GF654" s="4"/>
      <c r="GG654" s="4"/>
      <c r="GH654" s="4">
        <v>190</v>
      </c>
      <c r="GI654" s="4"/>
      <c r="GJ654" s="4"/>
      <c r="GK654" s="4"/>
      <c r="GL654" s="4"/>
      <c r="GM654" s="4"/>
      <c r="GN654" s="4"/>
      <c r="GO654" s="4"/>
      <c r="GP654" s="4"/>
      <c r="GQ654" s="4"/>
      <c r="GR654" s="4"/>
      <c r="GS654" s="4"/>
      <c r="GT654" s="4"/>
      <c r="GU654" s="4"/>
      <c r="GV654" s="4"/>
      <c r="GW654" s="4"/>
      <c r="GX654" s="4"/>
    </row>
    <row r="655">
      <c r="A655" s="2" t="s">
        <v>4159</v>
      </c>
      <c r="B655" s="2" t="s">
        <v>618</v>
      </c>
      <c r="C655" s="2" t="s">
        <v>4151</v>
      </c>
      <c r="D655" s="2" t="s">
        <v>1652</v>
      </c>
      <c r="E655" s="2" t="s">
        <v>4160</v>
      </c>
      <c r="F655" s="2" t="s">
        <v>4121</v>
      </c>
      <c r="G655" s="2" t="s">
        <v>1496</v>
      </c>
      <c r="H655" s="2" t="s">
        <v>4152</v>
      </c>
      <c r="I655" s="2" t="s">
        <v>4161</v>
      </c>
      <c r="J655" s="2" t="s">
        <v>222</v>
      </c>
      <c r="K655" s="2" t="s">
        <v>1577</v>
      </c>
      <c r="L655" s="3">
        <v>36.8</v>
      </c>
      <c r="M655" s="3">
        <v>38.64</v>
      </c>
      <c r="N655" s="3">
        <v>89.99</v>
      </c>
      <c r="O655" s="2" t="s">
        <v>224</v>
      </c>
      <c r="P655" s="2" t="s">
        <v>225</v>
      </c>
      <c r="Q655" s="2" t="s">
        <v>226</v>
      </c>
      <c r="R655" s="2" t="s">
        <v>227</v>
      </c>
      <c r="S655" s="2" t="s">
        <v>4154</v>
      </c>
      <c r="T655" s="2" t="s">
        <v>286</v>
      </c>
      <c r="U655" s="2" t="s">
        <v>287</v>
      </c>
      <c r="V655" s="2" t="s">
        <v>906</v>
      </c>
      <c r="W655" s="2" t="s">
        <v>231</v>
      </c>
      <c r="X655" s="2" t="s">
        <v>227</v>
      </c>
      <c r="Y655" s="2" t="s">
        <v>4162</v>
      </c>
      <c r="Z655" s="4">
        <v>217</v>
      </c>
      <c r="AA655" s="4">
        <f>=ROUNDDOWN(13.5625,0)</f>
      </c>
      <c r="AB655" s="5">
        <v>16</v>
      </c>
      <c r="AC655" s="2" t="s">
        <v>1266</v>
      </c>
      <c r="AD655" s="4">
        <v>190</v>
      </c>
      <c r="AE655" s="4">
        <v>590</v>
      </c>
      <c r="AF655" s="6">
        <v>65</v>
      </c>
      <c r="AG655" s="6">
        <v>73</v>
      </c>
      <c r="AH655" s="7">
        <v>1</v>
      </c>
      <c r="AI655" s="4"/>
      <c r="AJ655" s="4">
        <f>=ROUNDDOWN({0},0)</f>
      </c>
      <c r="AK655" s="5"/>
      <c r="AL655" s="2" t="s">
        <v>227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 t="s">
        <v>227</v>
      </c>
      <c r="AW655" s="8" t="s">
        <v>227</v>
      </c>
      <c r="AX655" s="4" t="s">
        <v>227</v>
      </c>
      <c r="AY655" s="8" t="s">
        <v>227</v>
      </c>
      <c r="AZ655" s="7" t="s">
        <v>227</v>
      </c>
      <c r="BA655" s="7" t="s">
        <v>227</v>
      </c>
      <c r="BB655" s="7" t="s">
        <v>227</v>
      </c>
      <c r="BC655" s="4" t="s">
        <v>227</v>
      </c>
      <c r="BD655" s="8" t="s">
        <v>227</v>
      </c>
      <c r="BE655" s="4" t="s">
        <v>227</v>
      </c>
      <c r="BF655" s="8" t="s">
        <v>227</v>
      </c>
      <c r="BG655" s="7" t="s">
        <v>227</v>
      </c>
      <c r="BH655" s="7" t="s">
        <v>227</v>
      </c>
      <c r="BI655" s="7"/>
      <c r="BJ655" s="4">
        <v>60</v>
      </c>
      <c r="BK655" s="8">
        <v>2498.36</v>
      </c>
      <c r="BL655" s="2" t="s">
        <v>2088</v>
      </c>
      <c r="BM655" s="7"/>
      <c r="BN655" s="7"/>
      <c r="BO655" s="4"/>
      <c r="BP655" s="8"/>
      <c r="BQ655" s="4"/>
      <c r="BR655" s="8"/>
      <c r="BS655" s="7"/>
      <c r="BT655" s="7"/>
      <c r="BU655" s="2" t="s">
        <v>4163</v>
      </c>
      <c r="BV655" s="2" t="s">
        <v>227</v>
      </c>
      <c r="BW655" s="2" t="s">
        <v>227</v>
      </c>
      <c r="BX655" s="2" t="s">
        <v>235</v>
      </c>
      <c r="BY655" s="2" t="s">
        <v>236</v>
      </c>
      <c r="BZ655" s="2" t="s">
        <v>224</v>
      </c>
      <c r="CA655" s="2" t="s">
        <v>3977</v>
      </c>
      <c r="CB655" s="2" t="s">
        <v>612</v>
      </c>
      <c r="CC655" s="2" t="s">
        <v>239</v>
      </c>
      <c r="CD655" s="2" t="s">
        <v>227</v>
      </c>
      <c r="CE655" s="4">
        <v>215</v>
      </c>
      <c r="CF655" s="4"/>
      <c r="CG655" s="4"/>
      <c r="CH655" s="4">
        <v>2</v>
      </c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>
        <v>190</v>
      </c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>
        <v>350</v>
      </c>
      <c r="EY655" s="4"/>
      <c r="EZ655" s="4"/>
      <c r="FA655" s="4">
        <v>50</v>
      </c>
      <c r="FB655" s="4"/>
      <c r="FC655" s="4"/>
      <c r="FD655" s="4"/>
      <c r="FE655" s="4"/>
      <c r="FF655" s="4"/>
      <c r="FG655" s="4"/>
      <c r="FH655" s="4"/>
      <c r="FI655" s="4"/>
      <c r="FJ655" s="4"/>
      <c r="FK655" s="4"/>
      <c r="FL655" s="4"/>
      <c r="FM655" s="4"/>
      <c r="FN655" s="4"/>
      <c r="FO655" s="4"/>
      <c r="FP655" s="4"/>
      <c r="FQ655" s="4"/>
      <c r="FR655" s="4"/>
      <c r="FS655" s="4"/>
      <c r="FT655" s="4"/>
      <c r="FU655" s="4"/>
      <c r="FV655" s="4"/>
      <c r="FW655" s="4"/>
      <c r="FX655" s="4"/>
      <c r="FY655" s="4"/>
      <c r="FZ655" s="4"/>
      <c r="GA655" s="4"/>
      <c r="GB655" s="4"/>
      <c r="GC655" s="4"/>
      <c r="GD655" s="4"/>
      <c r="GE655" s="4"/>
      <c r="GF655" s="4"/>
      <c r="GG655" s="4"/>
      <c r="GH655" s="4"/>
      <c r="GI655" s="4"/>
      <c r="GJ655" s="4"/>
      <c r="GK655" s="4"/>
      <c r="GL655" s="4"/>
      <c r="GM655" s="4"/>
      <c r="GN655" s="4"/>
      <c r="GO655" s="4"/>
      <c r="GP655" s="4"/>
      <c r="GQ655" s="4"/>
      <c r="GR655" s="4"/>
      <c r="GS655" s="4"/>
      <c r="GT655" s="4"/>
      <c r="GU655" s="4"/>
      <c r="GV655" s="4"/>
      <c r="GW655" s="4"/>
      <c r="GX655" s="4"/>
    </row>
    <row r="656">
      <c r="A656" s="2" t="s">
        <v>4164</v>
      </c>
      <c r="B656" s="2" t="s">
        <v>715</v>
      </c>
      <c r="C656" s="2" t="s">
        <v>1299</v>
      </c>
      <c r="D656" s="2" t="s">
        <v>4165</v>
      </c>
      <c r="E656" s="2" t="s">
        <v>4166</v>
      </c>
      <c r="F656" s="2" t="s">
        <v>4167</v>
      </c>
      <c r="G656" s="2" t="s">
        <v>4168</v>
      </c>
      <c r="H656" s="2" t="s">
        <v>4169</v>
      </c>
      <c r="I656" s="2" t="s">
        <v>4170</v>
      </c>
      <c r="J656" s="2" t="s">
        <v>4171</v>
      </c>
      <c r="K656" s="2" t="s">
        <v>672</v>
      </c>
      <c r="L656" s="3">
        <v>18.25</v>
      </c>
      <c r="M656" s="3">
        <v>19.16</v>
      </c>
      <c r="N656" s="3">
        <v>39.99</v>
      </c>
      <c r="O656" s="2" t="s">
        <v>224</v>
      </c>
      <c r="P656" s="2" t="s">
        <v>225</v>
      </c>
      <c r="Q656" s="2" t="s">
        <v>226</v>
      </c>
      <c r="R656" s="2" t="s">
        <v>227</v>
      </c>
      <c r="S656" s="2" t="s">
        <v>4172</v>
      </c>
      <c r="T656" s="2" t="s">
        <v>227</v>
      </c>
      <c r="U656" s="2" t="s">
        <v>552</v>
      </c>
      <c r="V656" s="2" t="s">
        <v>230</v>
      </c>
      <c r="W656" s="2" t="s">
        <v>231</v>
      </c>
      <c r="X656" s="2" t="s">
        <v>227</v>
      </c>
      <c r="Y656" s="2" t="s">
        <v>4173</v>
      </c>
      <c r="Z656" s="4">
        <v>305</v>
      </c>
      <c r="AA656" s="4">
        <f>=ROUNDDOWN(27.7272727272727,0)</f>
      </c>
      <c r="AB656" s="5">
        <v>11</v>
      </c>
      <c r="AC656" s="2" t="s">
        <v>227</v>
      </c>
      <c r="AD656" s="4"/>
      <c r="AE656" s="4"/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227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/>
      <c r="AW656" s="8"/>
      <c r="AX656" s="4"/>
      <c r="AY656" s="8"/>
      <c r="AZ656" s="7"/>
      <c r="BA656" s="7"/>
      <c r="BB656" s="7"/>
      <c r="BC656" s="4"/>
      <c r="BD656" s="8"/>
      <c r="BE656" s="4"/>
      <c r="BF656" s="8"/>
      <c r="BG656" s="7"/>
      <c r="BH656" s="7"/>
      <c r="BI656" s="7"/>
      <c r="BJ656" s="4">
        <v>34</v>
      </c>
      <c r="BK656" s="8">
        <v>689.78</v>
      </c>
      <c r="BL656" s="2" t="s">
        <v>4174</v>
      </c>
      <c r="BM656" s="7"/>
      <c r="BN656" s="7"/>
      <c r="BO656" s="4"/>
      <c r="BP656" s="8"/>
      <c r="BQ656" s="4"/>
      <c r="BR656" s="8"/>
      <c r="BS656" s="7"/>
      <c r="BT656" s="7"/>
      <c r="BU656" s="2" t="s">
        <v>4175</v>
      </c>
      <c r="BV656" s="2" t="s">
        <v>227</v>
      </c>
      <c r="BW656" s="2" t="s">
        <v>227</v>
      </c>
      <c r="BX656" s="2" t="s">
        <v>235</v>
      </c>
      <c r="BY656" s="2" t="s">
        <v>236</v>
      </c>
      <c r="BZ656" s="2" t="s">
        <v>224</v>
      </c>
      <c r="CA656" s="2" t="s">
        <v>1941</v>
      </c>
      <c r="CB656" s="2" t="s">
        <v>4176</v>
      </c>
      <c r="CC656" s="2" t="s">
        <v>239</v>
      </c>
      <c r="CD656" s="2" t="s">
        <v>227</v>
      </c>
      <c r="CE656" s="4">
        <v>145</v>
      </c>
      <c r="CF656" s="4"/>
      <c r="CG656" s="4"/>
      <c r="CH656" s="4"/>
      <c r="CI656" s="4"/>
      <c r="CJ656" s="4"/>
      <c r="CK656" s="4">
        <v>160</v>
      </c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  <c r="FG656" s="4"/>
      <c r="FH656" s="4"/>
      <c r="FI656" s="4"/>
      <c r="FJ656" s="4"/>
      <c r="FK656" s="4"/>
      <c r="FL656" s="4"/>
      <c r="FM656" s="4"/>
      <c r="FN656" s="4"/>
      <c r="FO656" s="4"/>
      <c r="FP656" s="4"/>
      <c r="FQ656" s="4"/>
      <c r="FR656" s="4"/>
      <c r="FS656" s="4"/>
      <c r="FT656" s="4"/>
      <c r="FU656" s="4"/>
      <c r="FV656" s="4"/>
      <c r="FW656" s="4"/>
      <c r="FX656" s="4"/>
      <c r="FY656" s="4"/>
      <c r="FZ656" s="4"/>
      <c r="GA656" s="4"/>
      <c r="GB656" s="4"/>
      <c r="GC656" s="4"/>
      <c r="GD656" s="4"/>
      <c r="GE656" s="4"/>
      <c r="GF656" s="4"/>
      <c r="GG656" s="4"/>
      <c r="GH656" s="4"/>
      <c r="GI656" s="4"/>
      <c r="GJ656" s="4"/>
      <c r="GK656" s="4"/>
      <c r="GL656" s="4"/>
      <c r="GM656" s="4"/>
      <c r="GN656" s="4"/>
      <c r="GO656" s="4"/>
      <c r="GP656" s="4"/>
      <c r="GQ656" s="4"/>
      <c r="GR656" s="4"/>
      <c r="GS656" s="4"/>
      <c r="GT656" s="4"/>
      <c r="GU656" s="4"/>
      <c r="GV656" s="4"/>
      <c r="GW656" s="4"/>
      <c r="GX656" s="4"/>
    </row>
    <row r="657">
      <c r="A657" s="2" t="s">
        <v>4177</v>
      </c>
      <c r="B657" s="2" t="s">
        <v>573</v>
      </c>
      <c r="C657" s="2" t="s">
        <v>360</v>
      </c>
      <c r="D657" s="2" t="s">
        <v>832</v>
      </c>
      <c r="E657" s="2" t="s">
        <v>833</v>
      </c>
      <c r="F657" s="2" t="s">
        <v>4178</v>
      </c>
      <c r="G657" s="2" t="s">
        <v>4179</v>
      </c>
      <c r="H657" s="2" t="s">
        <v>4180</v>
      </c>
      <c r="I657" s="2" t="s">
        <v>4181</v>
      </c>
      <c r="J657" s="2" t="s">
        <v>548</v>
      </c>
      <c r="K657" s="2" t="s">
        <v>1509</v>
      </c>
      <c r="L657" s="3">
        <v>207.9</v>
      </c>
      <c r="M657" s="3">
        <v>218.3</v>
      </c>
      <c r="N657" s="3">
        <v>439</v>
      </c>
      <c r="O657" s="2" t="s">
        <v>224</v>
      </c>
      <c r="P657" s="2" t="s">
        <v>580</v>
      </c>
      <c r="Q657" s="2" t="s">
        <v>226</v>
      </c>
      <c r="R657" s="2" t="s">
        <v>227</v>
      </c>
      <c r="S657" s="2" t="s">
        <v>4182</v>
      </c>
      <c r="T657" s="2" t="s">
        <v>227</v>
      </c>
      <c r="U657" s="2" t="s">
        <v>552</v>
      </c>
      <c r="V657" s="2" t="s">
        <v>230</v>
      </c>
      <c r="W657" s="2" t="s">
        <v>1008</v>
      </c>
      <c r="X657" s="2" t="s">
        <v>227</v>
      </c>
      <c r="Y657" s="2" t="s">
        <v>4183</v>
      </c>
      <c r="Z657" s="4">
        <v>99</v>
      </c>
      <c r="AA657" s="4">
        <f>=ROUNDDOWN(24.75,0)</f>
      </c>
      <c r="AB657" s="5">
        <v>4</v>
      </c>
      <c r="AC657" s="2" t="s">
        <v>739</v>
      </c>
      <c r="AD657" s="4">
        <v>126</v>
      </c>
      <c r="AE657" s="4">
        <v>126</v>
      </c>
      <c r="AF657" s="6">
        <v>66</v>
      </c>
      <c r="AG657" s="6">
        <v>49</v>
      </c>
      <c r="AH657" s="7">
        <v>1</v>
      </c>
      <c r="AI657" s="4"/>
      <c r="AJ657" s="4">
        <f>=ROUNDDOWN({0},0)</f>
      </c>
      <c r="AK657" s="5"/>
      <c r="AL657" s="2" t="s">
        <v>227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/>
      <c r="BD657" s="8"/>
      <c r="BE657" s="4"/>
      <c r="BF657" s="8"/>
      <c r="BG657" s="7"/>
      <c r="BH657" s="7"/>
      <c r="BI657" s="7"/>
      <c r="BJ657" s="4">
        <v>11</v>
      </c>
      <c r="BK657" s="8">
        <v>2157.59</v>
      </c>
      <c r="BL657" s="2" t="s">
        <v>4184</v>
      </c>
      <c r="BM657" s="7"/>
      <c r="BN657" s="7"/>
      <c r="BO657" s="4"/>
      <c r="BP657" s="8"/>
      <c r="BQ657" s="4"/>
      <c r="BR657" s="8"/>
      <c r="BS657" s="7"/>
      <c r="BT657" s="7"/>
      <c r="BU657" s="2" t="s">
        <v>4185</v>
      </c>
      <c r="BV657" s="2" t="s">
        <v>227</v>
      </c>
      <c r="BW657" s="2" t="s">
        <v>227</v>
      </c>
      <c r="BX657" s="2" t="s">
        <v>235</v>
      </c>
      <c r="BY657" s="2" t="s">
        <v>236</v>
      </c>
      <c r="BZ657" s="2" t="s">
        <v>224</v>
      </c>
      <c r="CA657" s="2" t="s">
        <v>4183</v>
      </c>
      <c r="CB657" s="2" t="s">
        <v>4186</v>
      </c>
      <c r="CC657" s="2" t="s">
        <v>239</v>
      </c>
      <c r="CD657" s="2" t="s">
        <v>227</v>
      </c>
      <c r="CE657" s="4"/>
      <c r="CF657" s="4">
        <v>98</v>
      </c>
      <c r="CG657" s="4"/>
      <c r="CH657" s="4">
        <v>1</v>
      </c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  <c r="FG657" s="4"/>
      <c r="FH657" s="4"/>
      <c r="FI657" s="4"/>
      <c r="FJ657" s="4"/>
      <c r="FK657" s="4">
        <v>126</v>
      </c>
      <c r="FL657" s="4"/>
      <c r="FM657" s="4"/>
      <c r="FN657" s="4"/>
      <c r="FO657" s="4"/>
      <c r="FP657" s="4"/>
      <c r="FQ657" s="4"/>
      <c r="FR657" s="4"/>
      <c r="FS657" s="4"/>
      <c r="FT657" s="4"/>
      <c r="FU657" s="4"/>
      <c r="FV657" s="4"/>
      <c r="FW657" s="4"/>
      <c r="FX657" s="4"/>
      <c r="FY657" s="4"/>
      <c r="FZ657" s="4"/>
      <c r="GA657" s="4"/>
      <c r="GB657" s="4"/>
      <c r="GC657" s="4"/>
      <c r="GD657" s="4"/>
      <c r="GE657" s="4"/>
      <c r="GF657" s="4"/>
      <c r="GG657" s="4"/>
      <c r="GH657" s="4"/>
      <c r="GI657" s="4"/>
      <c r="GJ657" s="4"/>
      <c r="GK657" s="4"/>
      <c r="GL657" s="4"/>
      <c r="GM657" s="4"/>
      <c r="GN657" s="4"/>
      <c r="GO657" s="4"/>
      <c r="GP657" s="4"/>
      <c r="GQ657" s="4"/>
      <c r="GR657" s="4"/>
      <c r="GS657" s="4"/>
      <c r="GT657" s="4"/>
      <c r="GU657" s="4"/>
      <c r="GV657" s="4"/>
      <c r="GW657" s="4"/>
      <c r="GX657" s="4"/>
    </row>
    <row r="658">
      <c r="A658" s="2" t="s">
        <v>4187</v>
      </c>
      <c r="B658" s="2" t="s">
        <v>618</v>
      </c>
      <c r="C658" s="2" t="s">
        <v>1299</v>
      </c>
      <c r="D658" s="2" t="s">
        <v>687</v>
      </c>
      <c r="E658" s="2" t="s">
        <v>688</v>
      </c>
      <c r="F658" s="2" t="s">
        <v>4188</v>
      </c>
      <c r="G658" s="2" t="s">
        <v>4189</v>
      </c>
      <c r="H658" s="2" t="s">
        <v>4190</v>
      </c>
      <c r="I658" s="2" t="s">
        <v>4191</v>
      </c>
      <c r="J658" s="2" t="s">
        <v>1304</v>
      </c>
      <c r="K658" s="2" t="s">
        <v>976</v>
      </c>
      <c r="L658" s="3">
        <v>33.33</v>
      </c>
      <c r="M658" s="3">
        <v>35</v>
      </c>
      <c r="N658" s="3">
        <v>69.99</v>
      </c>
      <c r="O658" s="2" t="s">
        <v>224</v>
      </c>
      <c r="P658" s="2" t="s">
        <v>225</v>
      </c>
      <c r="Q658" s="2" t="s">
        <v>226</v>
      </c>
      <c r="R658" s="2" t="s">
        <v>227</v>
      </c>
      <c r="S658" s="2" t="s">
        <v>4192</v>
      </c>
      <c r="T658" s="2" t="s">
        <v>993</v>
      </c>
      <c r="U658" s="2" t="s">
        <v>1044</v>
      </c>
      <c r="V658" s="2" t="s">
        <v>230</v>
      </c>
      <c r="W658" s="2" t="s">
        <v>836</v>
      </c>
      <c r="X658" s="2" t="s">
        <v>231</v>
      </c>
      <c r="Y658" s="2" t="s">
        <v>4193</v>
      </c>
      <c r="Z658" s="4">
        <v>269</v>
      </c>
      <c r="AA658" s="4">
        <f>=ROUNDDOWN(53.8,0)</f>
      </c>
      <c r="AB658" s="5">
        <v>5</v>
      </c>
      <c r="AC658" s="2" t="s">
        <v>732</v>
      </c>
      <c r="AD658" s="4">
        <v>100</v>
      </c>
      <c r="AE658" s="4">
        <v>100</v>
      </c>
      <c r="AF658" s="6">
        <v>66</v>
      </c>
      <c r="AG658" s="6"/>
      <c r="AH658" s="7">
        <v>1</v>
      </c>
      <c r="AI658" s="4"/>
      <c r="AJ658" s="4">
        <f>=ROUNDDOWN({0},0)</f>
      </c>
      <c r="AK658" s="5"/>
      <c r="AL658" s="2" t="s">
        <v>227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 t="s">
        <v>227</v>
      </c>
      <c r="AW658" s="8" t="s">
        <v>227</v>
      </c>
      <c r="AX658" s="4" t="s">
        <v>227</v>
      </c>
      <c r="AY658" s="8" t="s">
        <v>227</v>
      </c>
      <c r="AZ658" s="7" t="s">
        <v>227</v>
      </c>
      <c r="BA658" s="7" t="s">
        <v>227</v>
      </c>
      <c r="BB658" s="7"/>
      <c r="BC658" s="4" t="s">
        <v>227</v>
      </c>
      <c r="BD658" s="8" t="s">
        <v>227</v>
      </c>
      <c r="BE658" s="4" t="s">
        <v>227</v>
      </c>
      <c r="BF658" s="8" t="s">
        <v>227</v>
      </c>
      <c r="BG658" s="7" t="s">
        <v>227</v>
      </c>
      <c r="BH658" s="7" t="s">
        <v>227</v>
      </c>
      <c r="BI658" s="7"/>
      <c r="BJ658" s="4">
        <v>8</v>
      </c>
      <c r="BK658" s="8">
        <v>300.48</v>
      </c>
      <c r="BL658" s="2" t="s">
        <v>4194</v>
      </c>
      <c r="BM658" s="7"/>
      <c r="BN658" s="7"/>
      <c r="BO658" s="4"/>
      <c r="BP658" s="8"/>
      <c r="BQ658" s="4"/>
      <c r="BR658" s="8"/>
      <c r="BS658" s="7"/>
      <c r="BT658" s="7"/>
      <c r="BU658" s="2" t="s">
        <v>4195</v>
      </c>
      <c r="BV658" s="2" t="s">
        <v>227</v>
      </c>
      <c r="BW658" s="2" t="s">
        <v>227</v>
      </c>
      <c r="BX658" s="2" t="s">
        <v>235</v>
      </c>
      <c r="BY658" s="2" t="s">
        <v>236</v>
      </c>
      <c r="BZ658" s="2" t="s">
        <v>224</v>
      </c>
      <c r="CA658" s="2" t="s">
        <v>4196</v>
      </c>
      <c r="CB658" s="2" t="s">
        <v>4197</v>
      </c>
      <c r="CC658" s="2" t="s">
        <v>239</v>
      </c>
      <c r="CD658" s="2" t="s">
        <v>227</v>
      </c>
      <c r="CE658" s="4">
        <v>269</v>
      </c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>
        <v>100</v>
      </c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/>
      <c r="FH658" s="4"/>
      <c r="FI658" s="4"/>
      <c r="FJ658" s="4"/>
      <c r="FK658" s="4"/>
      <c r="FL658" s="4"/>
      <c r="FM658" s="4"/>
      <c r="FN658" s="4"/>
      <c r="FO658" s="4"/>
      <c r="FP658" s="4"/>
      <c r="FQ658" s="4"/>
      <c r="FR658" s="4"/>
      <c r="FS658" s="4"/>
      <c r="FT658" s="4"/>
      <c r="FU658" s="4"/>
      <c r="FV658" s="4"/>
      <c r="FW658" s="4"/>
      <c r="FX658" s="4"/>
      <c r="FY658" s="4"/>
      <c r="FZ658" s="4"/>
      <c r="GA658" s="4"/>
      <c r="GB658" s="4"/>
      <c r="GC658" s="4"/>
      <c r="GD658" s="4"/>
      <c r="GE658" s="4"/>
      <c r="GF658" s="4"/>
      <c r="GG658" s="4"/>
      <c r="GH658" s="4"/>
      <c r="GI658" s="4"/>
      <c r="GJ658" s="4"/>
      <c r="GK658" s="4"/>
      <c r="GL658" s="4"/>
      <c r="GM658" s="4"/>
      <c r="GN658" s="4"/>
      <c r="GO658" s="4"/>
      <c r="GP658" s="4"/>
      <c r="GQ658" s="4"/>
      <c r="GR658" s="4"/>
      <c r="GS658" s="4"/>
      <c r="GT658" s="4"/>
      <c r="GU658" s="4"/>
      <c r="GV658" s="4"/>
      <c r="GW658" s="4"/>
      <c r="GX658" s="4"/>
    </row>
    <row r="659">
      <c r="A659" s="2" t="s">
        <v>4198</v>
      </c>
      <c r="B659" s="2" t="s">
        <v>618</v>
      </c>
      <c r="C659" s="2" t="s">
        <v>1299</v>
      </c>
      <c r="D659" s="2" t="s">
        <v>687</v>
      </c>
      <c r="E659" s="2" t="s">
        <v>688</v>
      </c>
      <c r="F659" s="2" t="s">
        <v>4188</v>
      </c>
      <c r="G659" s="2" t="s">
        <v>4189</v>
      </c>
      <c r="H659" s="2" t="s">
        <v>4190</v>
      </c>
      <c r="I659" s="2" t="s">
        <v>4191</v>
      </c>
      <c r="J659" s="2" t="s">
        <v>682</v>
      </c>
      <c r="K659" s="2" t="s">
        <v>976</v>
      </c>
      <c r="L659" s="3">
        <v>42.85</v>
      </c>
      <c r="M659" s="3">
        <v>44.99</v>
      </c>
      <c r="N659" s="3">
        <v>89.99</v>
      </c>
      <c r="O659" s="2" t="s">
        <v>224</v>
      </c>
      <c r="P659" s="2" t="s">
        <v>225</v>
      </c>
      <c r="Q659" s="2" t="s">
        <v>226</v>
      </c>
      <c r="R659" s="2" t="s">
        <v>227</v>
      </c>
      <c r="S659" s="2" t="s">
        <v>4192</v>
      </c>
      <c r="T659" s="2" t="s">
        <v>993</v>
      </c>
      <c r="U659" s="2" t="s">
        <v>674</v>
      </c>
      <c r="V659" s="2" t="s">
        <v>230</v>
      </c>
      <c r="W659" s="2" t="s">
        <v>836</v>
      </c>
      <c r="X659" s="2" t="s">
        <v>231</v>
      </c>
      <c r="Y659" s="2" t="s">
        <v>4193</v>
      </c>
      <c r="Z659" s="4">
        <v>126</v>
      </c>
      <c r="AA659" s="4">
        <f>=ROUNDDOWN(18,0)</f>
      </c>
      <c r="AB659" s="5">
        <v>7</v>
      </c>
      <c r="AC659" s="2" t="s">
        <v>732</v>
      </c>
      <c r="AD659" s="4">
        <v>225</v>
      </c>
      <c r="AE659" s="4">
        <v>225</v>
      </c>
      <c r="AF659" s="6">
        <v>66</v>
      </c>
      <c r="AG659" s="6"/>
      <c r="AH659" s="7">
        <v>1</v>
      </c>
      <c r="AI659" s="4"/>
      <c r="AJ659" s="4">
        <f>=ROUNDDOWN({0},0)</f>
      </c>
      <c r="AK659" s="5"/>
      <c r="AL659" s="2" t="s">
        <v>227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 t="s">
        <v>227</v>
      </c>
      <c r="AW659" s="8" t="s">
        <v>227</v>
      </c>
      <c r="AX659" s="4" t="s">
        <v>227</v>
      </c>
      <c r="AY659" s="8" t="s">
        <v>227</v>
      </c>
      <c r="AZ659" s="7" t="s">
        <v>227</v>
      </c>
      <c r="BA659" s="7" t="s">
        <v>227</v>
      </c>
      <c r="BB659" s="7"/>
      <c r="BC659" s="4" t="s">
        <v>227</v>
      </c>
      <c r="BD659" s="8" t="s">
        <v>227</v>
      </c>
      <c r="BE659" s="4" t="s">
        <v>227</v>
      </c>
      <c r="BF659" s="8" t="s">
        <v>227</v>
      </c>
      <c r="BG659" s="7" t="s">
        <v>227</v>
      </c>
      <c r="BH659" s="7" t="s">
        <v>227</v>
      </c>
      <c r="BI659" s="7"/>
      <c r="BJ659" s="4">
        <v>23</v>
      </c>
      <c r="BK659" s="8">
        <v>1091.5</v>
      </c>
      <c r="BL659" s="2" t="s">
        <v>4199</v>
      </c>
      <c r="BM659" s="7"/>
      <c r="BN659" s="7"/>
      <c r="BO659" s="4"/>
      <c r="BP659" s="8"/>
      <c r="BQ659" s="4"/>
      <c r="BR659" s="8"/>
      <c r="BS659" s="7"/>
      <c r="BT659" s="7"/>
      <c r="BU659" s="2" t="s">
        <v>4200</v>
      </c>
      <c r="BV659" s="2" t="s">
        <v>227</v>
      </c>
      <c r="BW659" s="2" t="s">
        <v>227</v>
      </c>
      <c r="BX659" s="2" t="s">
        <v>235</v>
      </c>
      <c r="BY659" s="2" t="s">
        <v>236</v>
      </c>
      <c r="BZ659" s="2" t="s">
        <v>224</v>
      </c>
      <c r="CA659" s="2" t="s">
        <v>4196</v>
      </c>
      <c r="CB659" s="2" t="s">
        <v>4201</v>
      </c>
      <c r="CC659" s="2" t="s">
        <v>239</v>
      </c>
      <c r="CD659" s="2" t="s">
        <v>227</v>
      </c>
      <c r="CE659" s="4">
        <v>126</v>
      </c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>
        <v>225</v>
      </c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/>
      <c r="FH659" s="4"/>
      <c r="FI659" s="4"/>
      <c r="FJ659" s="4"/>
      <c r="FK659" s="4"/>
      <c r="FL659" s="4"/>
      <c r="FM659" s="4"/>
      <c r="FN659" s="4"/>
      <c r="FO659" s="4"/>
      <c r="FP659" s="4"/>
      <c r="FQ659" s="4"/>
      <c r="FR659" s="4"/>
      <c r="FS659" s="4"/>
      <c r="FT659" s="4"/>
      <c r="FU659" s="4"/>
      <c r="FV659" s="4"/>
      <c r="FW659" s="4"/>
      <c r="FX659" s="4"/>
      <c r="FY659" s="4"/>
      <c r="FZ659" s="4"/>
      <c r="GA659" s="4"/>
      <c r="GB659" s="4"/>
      <c r="GC659" s="4"/>
      <c r="GD659" s="4"/>
      <c r="GE659" s="4"/>
      <c r="GF659" s="4"/>
      <c r="GG659" s="4"/>
      <c r="GH659" s="4"/>
      <c r="GI659" s="4"/>
      <c r="GJ659" s="4"/>
      <c r="GK659" s="4"/>
      <c r="GL659" s="4"/>
      <c r="GM659" s="4"/>
      <c r="GN659" s="4"/>
      <c r="GO659" s="4"/>
      <c r="GP659" s="4"/>
      <c r="GQ659" s="4"/>
      <c r="GR659" s="4"/>
      <c r="GS659" s="4"/>
      <c r="GT659" s="4"/>
      <c r="GU659" s="4"/>
      <c r="GV659" s="4"/>
      <c r="GW659" s="4"/>
      <c r="GX659" s="4"/>
    </row>
    <row r="660">
      <c r="A660" s="2" t="s">
        <v>4202</v>
      </c>
      <c r="B660" s="2" t="s">
        <v>618</v>
      </c>
      <c r="C660" s="2" t="s">
        <v>1299</v>
      </c>
      <c r="D660" s="2" t="s">
        <v>687</v>
      </c>
      <c r="E660" s="2" t="s">
        <v>688</v>
      </c>
      <c r="F660" s="2" t="s">
        <v>4188</v>
      </c>
      <c r="G660" s="2" t="s">
        <v>4189</v>
      </c>
      <c r="H660" s="2" t="s">
        <v>4190</v>
      </c>
      <c r="I660" s="2" t="s">
        <v>4191</v>
      </c>
      <c r="J660" s="2" t="s">
        <v>682</v>
      </c>
      <c r="K660" s="2" t="s">
        <v>223</v>
      </c>
      <c r="L660" s="3">
        <v>42.85</v>
      </c>
      <c r="M660" s="3">
        <v>44.99</v>
      </c>
      <c r="N660" s="3">
        <v>89.99</v>
      </c>
      <c r="O660" s="2" t="s">
        <v>224</v>
      </c>
      <c r="P660" s="2" t="s">
        <v>225</v>
      </c>
      <c r="Q660" s="2" t="s">
        <v>226</v>
      </c>
      <c r="R660" s="2" t="s">
        <v>227</v>
      </c>
      <c r="S660" s="2" t="s">
        <v>4203</v>
      </c>
      <c r="T660" s="2" t="s">
        <v>993</v>
      </c>
      <c r="U660" s="2" t="s">
        <v>674</v>
      </c>
      <c r="V660" s="2" t="s">
        <v>230</v>
      </c>
      <c r="W660" s="2" t="s">
        <v>836</v>
      </c>
      <c r="X660" s="2" t="s">
        <v>231</v>
      </c>
      <c r="Y660" s="2" t="s">
        <v>4193</v>
      </c>
      <c r="Z660" s="4">
        <v>150</v>
      </c>
      <c r="AA660" s="4">
        <f>=ROUNDDOWN(16.6666666666667,0)</f>
      </c>
      <c r="AB660" s="5">
        <v>9</v>
      </c>
      <c r="AC660" s="2" t="s">
        <v>732</v>
      </c>
      <c r="AD660" s="4">
        <v>280</v>
      </c>
      <c r="AE660" s="4">
        <v>280</v>
      </c>
      <c r="AF660" s="6">
        <v>66</v>
      </c>
      <c r="AG660" s="6"/>
      <c r="AH660" s="7">
        <v>1</v>
      </c>
      <c r="AI660" s="4"/>
      <c r="AJ660" s="4">
        <f>=ROUNDDOWN({0},0)</f>
      </c>
      <c r="AK660" s="5"/>
      <c r="AL660" s="2" t="s">
        <v>227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 t="s">
        <v>227</v>
      </c>
      <c r="BD660" s="8" t="s">
        <v>227</v>
      </c>
      <c r="BE660" s="4" t="s">
        <v>227</v>
      </c>
      <c r="BF660" s="8" t="s">
        <v>227</v>
      </c>
      <c r="BG660" s="7" t="s">
        <v>227</v>
      </c>
      <c r="BH660" s="7" t="s">
        <v>227</v>
      </c>
      <c r="BI660" s="7"/>
      <c r="BJ660" s="4">
        <v>6</v>
      </c>
      <c r="BK660" s="8">
        <v>290.91</v>
      </c>
      <c r="BL660" s="2" t="s">
        <v>3796</v>
      </c>
      <c r="BM660" s="7"/>
      <c r="BN660" s="7"/>
      <c r="BO660" s="4"/>
      <c r="BP660" s="8"/>
      <c r="BQ660" s="4"/>
      <c r="BR660" s="8"/>
      <c r="BS660" s="7"/>
      <c r="BT660" s="7"/>
      <c r="BU660" s="2" t="s">
        <v>4204</v>
      </c>
      <c r="BV660" s="2" t="s">
        <v>227</v>
      </c>
      <c r="BW660" s="2" t="s">
        <v>227</v>
      </c>
      <c r="BX660" s="2" t="s">
        <v>235</v>
      </c>
      <c r="BY660" s="2" t="s">
        <v>236</v>
      </c>
      <c r="BZ660" s="2" t="s">
        <v>224</v>
      </c>
      <c r="CA660" s="2" t="s">
        <v>4196</v>
      </c>
      <c r="CB660" s="2" t="s">
        <v>4205</v>
      </c>
      <c r="CC660" s="2" t="s">
        <v>239</v>
      </c>
      <c r="CD660" s="2" t="s">
        <v>227</v>
      </c>
      <c r="CE660" s="4">
        <v>150</v>
      </c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>
        <v>280</v>
      </c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/>
      <c r="FH660" s="4"/>
      <c r="FI660" s="4"/>
      <c r="FJ660" s="4"/>
      <c r="FK660" s="4"/>
      <c r="FL660" s="4"/>
      <c r="FM660" s="4"/>
      <c r="FN660" s="4"/>
      <c r="FO660" s="4"/>
      <c r="FP660" s="4"/>
      <c r="FQ660" s="4"/>
      <c r="FR660" s="4"/>
      <c r="FS660" s="4"/>
      <c r="FT660" s="4"/>
      <c r="FU660" s="4"/>
      <c r="FV660" s="4"/>
      <c r="FW660" s="4"/>
      <c r="FX660" s="4"/>
      <c r="FY660" s="4"/>
      <c r="FZ660" s="4"/>
      <c r="GA660" s="4"/>
      <c r="GB660" s="4"/>
      <c r="GC660" s="4"/>
      <c r="GD660" s="4"/>
      <c r="GE660" s="4"/>
      <c r="GF660" s="4"/>
      <c r="GG660" s="4"/>
      <c r="GH660" s="4"/>
      <c r="GI660" s="4"/>
      <c r="GJ660" s="4"/>
      <c r="GK660" s="4"/>
      <c r="GL660" s="4"/>
      <c r="GM660" s="4"/>
      <c r="GN660" s="4"/>
      <c r="GO660" s="4"/>
      <c r="GP660" s="4"/>
      <c r="GQ660" s="4"/>
      <c r="GR660" s="4"/>
      <c r="GS660" s="4"/>
      <c r="GT660" s="4"/>
      <c r="GU660" s="4"/>
      <c r="GV660" s="4"/>
      <c r="GW660" s="4"/>
      <c r="GX660" s="4"/>
    </row>
    <row r="661">
      <c r="A661" s="2" t="s">
        <v>4206</v>
      </c>
      <c r="B661" s="2" t="s">
        <v>618</v>
      </c>
      <c r="C661" s="2" t="s">
        <v>1299</v>
      </c>
      <c r="D661" s="2" t="s">
        <v>687</v>
      </c>
      <c r="E661" s="2" t="s">
        <v>688</v>
      </c>
      <c r="F661" s="2" t="s">
        <v>4188</v>
      </c>
      <c r="G661" s="2" t="s">
        <v>4189</v>
      </c>
      <c r="H661" s="2" t="s">
        <v>4190</v>
      </c>
      <c r="I661" s="2" t="s">
        <v>4191</v>
      </c>
      <c r="J661" s="2" t="s">
        <v>1304</v>
      </c>
      <c r="K661" s="2" t="s">
        <v>410</v>
      </c>
      <c r="L661" s="3">
        <v>33.33</v>
      </c>
      <c r="M661" s="3">
        <v>35</v>
      </c>
      <c r="N661" s="3">
        <v>69.99</v>
      </c>
      <c r="O661" s="2" t="s">
        <v>224</v>
      </c>
      <c r="P661" s="2" t="s">
        <v>225</v>
      </c>
      <c r="Q661" s="2" t="s">
        <v>226</v>
      </c>
      <c r="R661" s="2" t="s">
        <v>227</v>
      </c>
      <c r="S661" s="2" t="s">
        <v>4207</v>
      </c>
      <c r="T661" s="2" t="s">
        <v>993</v>
      </c>
      <c r="U661" s="2" t="s">
        <v>1044</v>
      </c>
      <c r="V661" s="2" t="s">
        <v>230</v>
      </c>
      <c r="W661" s="2" t="s">
        <v>836</v>
      </c>
      <c r="X661" s="2" t="s">
        <v>231</v>
      </c>
      <c r="Y661" s="2" t="s">
        <v>293</v>
      </c>
      <c r="Z661" s="4">
        <v>425</v>
      </c>
      <c r="AA661" s="4">
        <f>=ROUNDDOWN(212.5,0)</f>
      </c>
      <c r="AB661" s="5">
        <v>2</v>
      </c>
      <c r="AC661" s="2" t="s">
        <v>227</v>
      </c>
      <c r="AD661" s="4"/>
      <c r="AE661" s="4"/>
      <c r="AF661" s="6">
        <v>66</v>
      </c>
      <c r="AG661" s="6"/>
      <c r="AH661" s="7">
        <v>1</v>
      </c>
      <c r="AI661" s="4"/>
      <c r="AJ661" s="4">
        <f>=ROUNDDOWN({0},0)</f>
      </c>
      <c r="AK661" s="5"/>
      <c r="AL661" s="2" t="s">
        <v>227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 t="s">
        <v>227</v>
      </c>
      <c r="AW661" s="8" t="s">
        <v>227</v>
      </c>
      <c r="AX661" s="4" t="s">
        <v>227</v>
      </c>
      <c r="AY661" s="8" t="s">
        <v>227</v>
      </c>
      <c r="AZ661" s="7" t="s">
        <v>227</v>
      </c>
      <c r="BA661" s="7" t="s">
        <v>227</v>
      </c>
      <c r="BB661" s="7" t="s">
        <v>227</v>
      </c>
      <c r="BC661" s="4" t="s">
        <v>227</v>
      </c>
      <c r="BD661" s="8" t="s">
        <v>227</v>
      </c>
      <c r="BE661" s="4" t="s">
        <v>227</v>
      </c>
      <c r="BF661" s="8" t="s">
        <v>227</v>
      </c>
      <c r="BG661" s="7" t="s">
        <v>227</v>
      </c>
      <c r="BH661" s="7" t="s">
        <v>227</v>
      </c>
      <c r="BI661" s="7"/>
      <c r="BJ661" s="4">
        <v>9</v>
      </c>
      <c r="BK661" s="8">
        <v>325.5</v>
      </c>
      <c r="BL661" s="2" t="s">
        <v>318</v>
      </c>
      <c r="BM661" s="7"/>
      <c r="BN661" s="7"/>
      <c r="BO661" s="4"/>
      <c r="BP661" s="8"/>
      <c r="BQ661" s="4"/>
      <c r="BR661" s="8"/>
      <c r="BS661" s="7"/>
      <c r="BT661" s="7"/>
      <c r="BU661" s="2" t="s">
        <v>4208</v>
      </c>
      <c r="BV661" s="2" t="s">
        <v>227</v>
      </c>
      <c r="BW661" s="2" t="s">
        <v>227</v>
      </c>
      <c r="BX661" s="2" t="s">
        <v>235</v>
      </c>
      <c r="BY661" s="2" t="s">
        <v>236</v>
      </c>
      <c r="BZ661" s="2" t="s">
        <v>224</v>
      </c>
      <c r="CA661" s="2" t="s">
        <v>314</v>
      </c>
      <c r="CB661" s="2" t="s">
        <v>4209</v>
      </c>
      <c r="CC661" s="2" t="s">
        <v>239</v>
      </c>
      <c r="CD661" s="2" t="s">
        <v>227</v>
      </c>
      <c r="CE661" s="4">
        <v>425</v>
      </c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  <c r="FG661" s="4"/>
      <c r="FH661" s="4"/>
      <c r="FI661" s="4"/>
      <c r="FJ661" s="4"/>
      <c r="FK661" s="4"/>
      <c r="FL661" s="4"/>
      <c r="FM661" s="4"/>
      <c r="FN661" s="4"/>
      <c r="FO661" s="4"/>
      <c r="FP661" s="4"/>
      <c r="FQ661" s="4"/>
      <c r="FR661" s="4"/>
      <c r="FS661" s="4"/>
      <c r="FT661" s="4"/>
      <c r="FU661" s="4"/>
      <c r="FV661" s="4"/>
      <c r="FW661" s="4"/>
      <c r="FX661" s="4"/>
      <c r="FY661" s="4"/>
      <c r="FZ661" s="4"/>
      <c r="GA661" s="4"/>
      <c r="GB661" s="4"/>
      <c r="GC661" s="4"/>
      <c r="GD661" s="4"/>
      <c r="GE661" s="4"/>
      <c r="GF661" s="4"/>
      <c r="GG661" s="4"/>
      <c r="GH661" s="4"/>
      <c r="GI661" s="4"/>
      <c r="GJ661" s="4"/>
      <c r="GK661" s="4"/>
      <c r="GL661" s="4"/>
      <c r="GM661" s="4"/>
      <c r="GN661" s="4"/>
      <c r="GO661" s="4"/>
      <c r="GP661" s="4"/>
      <c r="GQ661" s="4"/>
      <c r="GR661" s="4"/>
      <c r="GS661" s="4"/>
      <c r="GT661" s="4"/>
      <c r="GU661" s="4"/>
      <c r="GV661" s="4"/>
      <c r="GW661" s="4"/>
      <c r="GX661" s="4"/>
    </row>
    <row r="662">
      <c r="A662" s="2" t="s">
        <v>4210</v>
      </c>
      <c r="B662" s="2" t="s">
        <v>618</v>
      </c>
      <c r="C662" s="2" t="s">
        <v>1299</v>
      </c>
      <c r="D662" s="2" t="s">
        <v>620</v>
      </c>
      <c r="E662" s="2" t="s">
        <v>669</v>
      </c>
      <c r="F662" s="2" t="s">
        <v>4188</v>
      </c>
      <c r="G662" s="2" t="s">
        <v>4189</v>
      </c>
      <c r="H662" s="2" t="s">
        <v>4190</v>
      </c>
      <c r="I662" s="2" t="s">
        <v>4211</v>
      </c>
      <c r="J662" s="2" t="s">
        <v>1304</v>
      </c>
      <c r="K662" s="2" t="s">
        <v>410</v>
      </c>
      <c r="L662" s="3">
        <v>26.19</v>
      </c>
      <c r="M662" s="3">
        <v>27.5</v>
      </c>
      <c r="N662" s="3">
        <v>54.99</v>
      </c>
      <c r="O662" s="2" t="s">
        <v>224</v>
      </c>
      <c r="P662" s="2" t="s">
        <v>225</v>
      </c>
      <c r="Q662" s="2" t="s">
        <v>226</v>
      </c>
      <c r="R662" s="2" t="s">
        <v>227</v>
      </c>
      <c r="S662" s="2" t="s">
        <v>4207</v>
      </c>
      <c r="T662" s="2" t="s">
        <v>993</v>
      </c>
      <c r="U662" s="2" t="s">
        <v>1044</v>
      </c>
      <c r="V662" s="2" t="s">
        <v>230</v>
      </c>
      <c r="W662" s="2" t="s">
        <v>836</v>
      </c>
      <c r="X662" s="2" t="s">
        <v>231</v>
      </c>
      <c r="Y662" s="2" t="s">
        <v>293</v>
      </c>
      <c r="Z662" s="4">
        <v>186</v>
      </c>
      <c r="AA662" s="4">
        <f>=ROUNDDOWN(186,0)</f>
      </c>
      <c r="AB662" s="5">
        <v>1</v>
      </c>
      <c r="AC662" s="2" t="s">
        <v>1842</v>
      </c>
      <c r="AD662" s="4">
        <v>100</v>
      </c>
      <c r="AE662" s="4">
        <v>100</v>
      </c>
      <c r="AF662" s="6">
        <v>66</v>
      </c>
      <c r="AG662" s="6"/>
      <c r="AH662" s="7">
        <v>1</v>
      </c>
      <c r="AI662" s="4"/>
      <c r="AJ662" s="4">
        <f>=ROUNDDOWN({0},0)</f>
      </c>
      <c r="AK662" s="5"/>
      <c r="AL662" s="2" t="s">
        <v>227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 t="s">
        <v>227</v>
      </c>
      <c r="AW662" s="8" t="s">
        <v>227</v>
      </c>
      <c r="AX662" s="4" t="s">
        <v>227</v>
      </c>
      <c r="AY662" s="8" t="s">
        <v>227</v>
      </c>
      <c r="AZ662" s="7" t="s">
        <v>227</v>
      </c>
      <c r="BA662" s="7" t="s">
        <v>227</v>
      </c>
      <c r="BB662" s="7" t="s">
        <v>227</v>
      </c>
      <c r="BC662" s="4" t="s">
        <v>227</v>
      </c>
      <c r="BD662" s="8" t="s">
        <v>227</v>
      </c>
      <c r="BE662" s="4" t="s">
        <v>227</v>
      </c>
      <c r="BF662" s="8" t="s">
        <v>227</v>
      </c>
      <c r="BG662" s="7" t="s">
        <v>227</v>
      </c>
      <c r="BH662" s="7" t="s">
        <v>227</v>
      </c>
      <c r="BI662" s="7"/>
      <c r="BJ662" s="4">
        <v>6</v>
      </c>
      <c r="BK662" s="8">
        <v>179.88</v>
      </c>
      <c r="BL662" s="2" t="s">
        <v>1601</v>
      </c>
      <c r="BM662" s="7"/>
      <c r="BN662" s="7"/>
      <c r="BO662" s="4"/>
      <c r="BP662" s="8"/>
      <c r="BQ662" s="4"/>
      <c r="BR662" s="8"/>
      <c r="BS662" s="7"/>
      <c r="BT662" s="7"/>
      <c r="BU662" s="2" t="s">
        <v>4212</v>
      </c>
      <c r="BV662" s="2" t="s">
        <v>227</v>
      </c>
      <c r="BW662" s="2" t="s">
        <v>227</v>
      </c>
      <c r="BX662" s="2" t="s">
        <v>235</v>
      </c>
      <c r="BY662" s="2" t="s">
        <v>236</v>
      </c>
      <c r="BZ662" s="2" t="s">
        <v>224</v>
      </c>
      <c r="CA662" s="2" t="s">
        <v>3674</v>
      </c>
      <c r="CB662" s="2" t="s">
        <v>4201</v>
      </c>
      <c r="CC662" s="2" t="s">
        <v>239</v>
      </c>
      <c r="CD662" s="2" t="s">
        <v>227</v>
      </c>
      <c r="CE662" s="4">
        <v>186</v>
      </c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>
        <v>100</v>
      </c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  <c r="FG662" s="4"/>
      <c r="FH662" s="4"/>
      <c r="FI662" s="4"/>
      <c r="FJ662" s="4"/>
      <c r="FK662" s="4"/>
      <c r="FL662" s="4"/>
      <c r="FM662" s="4"/>
      <c r="FN662" s="4"/>
      <c r="FO662" s="4"/>
      <c r="FP662" s="4"/>
      <c r="FQ662" s="4"/>
      <c r="FR662" s="4"/>
      <c r="FS662" s="4"/>
      <c r="FT662" s="4"/>
      <c r="FU662" s="4"/>
      <c r="FV662" s="4"/>
      <c r="FW662" s="4"/>
      <c r="FX662" s="4"/>
      <c r="FY662" s="4"/>
      <c r="FZ662" s="4"/>
      <c r="GA662" s="4"/>
      <c r="GB662" s="4"/>
      <c r="GC662" s="4"/>
      <c r="GD662" s="4"/>
      <c r="GE662" s="4"/>
      <c r="GF662" s="4"/>
      <c r="GG662" s="4"/>
      <c r="GH662" s="4"/>
      <c r="GI662" s="4"/>
      <c r="GJ662" s="4"/>
      <c r="GK662" s="4"/>
      <c r="GL662" s="4"/>
      <c r="GM662" s="4"/>
      <c r="GN662" s="4"/>
      <c r="GO662" s="4"/>
      <c r="GP662" s="4"/>
      <c r="GQ662" s="4"/>
      <c r="GR662" s="4"/>
      <c r="GS662" s="4"/>
      <c r="GT662" s="4"/>
      <c r="GU662" s="4"/>
      <c r="GV662" s="4"/>
      <c r="GW662" s="4"/>
      <c r="GX662" s="4"/>
    </row>
    <row r="663">
      <c r="A663" s="2" t="s">
        <v>4213</v>
      </c>
      <c r="B663" s="2" t="s">
        <v>618</v>
      </c>
      <c r="C663" s="2" t="s">
        <v>1299</v>
      </c>
      <c r="D663" s="2" t="s">
        <v>687</v>
      </c>
      <c r="E663" s="2" t="s">
        <v>688</v>
      </c>
      <c r="F663" s="2" t="s">
        <v>4188</v>
      </c>
      <c r="G663" s="2" t="s">
        <v>4189</v>
      </c>
      <c r="H663" s="2" t="s">
        <v>4190</v>
      </c>
      <c r="I663" s="2" t="s">
        <v>4191</v>
      </c>
      <c r="J663" s="2" t="s">
        <v>626</v>
      </c>
      <c r="K663" s="2" t="s">
        <v>410</v>
      </c>
      <c r="L663" s="3">
        <v>38.09</v>
      </c>
      <c r="M663" s="3">
        <v>40</v>
      </c>
      <c r="N663" s="3">
        <v>79.99</v>
      </c>
      <c r="O663" s="2" t="s">
        <v>224</v>
      </c>
      <c r="P663" s="2" t="s">
        <v>225</v>
      </c>
      <c r="Q663" s="2" t="s">
        <v>226</v>
      </c>
      <c r="R663" s="2" t="s">
        <v>227</v>
      </c>
      <c r="S663" s="2" t="s">
        <v>4207</v>
      </c>
      <c r="T663" s="2" t="s">
        <v>993</v>
      </c>
      <c r="U663" s="2" t="s">
        <v>674</v>
      </c>
      <c r="V663" s="2" t="s">
        <v>230</v>
      </c>
      <c r="W663" s="2" t="s">
        <v>836</v>
      </c>
      <c r="X663" s="2" t="s">
        <v>231</v>
      </c>
      <c r="Y663" s="2" t="s">
        <v>293</v>
      </c>
      <c r="Z663" s="4">
        <v>762</v>
      </c>
      <c r="AA663" s="4">
        <f>=ROUNDDOWN(152.4,0)</f>
      </c>
      <c r="AB663" s="5">
        <v>5</v>
      </c>
      <c r="AC663" s="2" t="s">
        <v>227</v>
      </c>
      <c r="AD663" s="4"/>
      <c r="AE663" s="4"/>
      <c r="AF663" s="6">
        <v>66</v>
      </c>
      <c r="AG663" s="6"/>
      <c r="AH663" s="7">
        <v>1</v>
      </c>
      <c r="AI663" s="4"/>
      <c r="AJ663" s="4">
        <f>=ROUNDDOWN({0},0)</f>
      </c>
      <c r="AK663" s="5"/>
      <c r="AL663" s="2" t="s">
        <v>227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 t="s">
        <v>227</v>
      </c>
      <c r="AW663" s="8" t="s">
        <v>227</v>
      </c>
      <c r="AX663" s="4" t="s">
        <v>227</v>
      </c>
      <c r="AY663" s="8" t="s">
        <v>227</v>
      </c>
      <c r="AZ663" s="7" t="s">
        <v>227</v>
      </c>
      <c r="BA663" s="7" t="s">
        <v>227</v>
      </c>
      <c r="BB663" s="7"/>
      <c r="BC663" s="4" t="s">
        <v>227</v>
      </c>
      <c r="BD663" s="8" t="s">
        <v>227</v>
      </c>
      <c r="BE663" s="4" t="s">
        <v>227</v>
      </c>
      <c r="BF663" s="8" t="s">
        <v>227</v>
      </c>
      <c r="BG663" s="7" t="s">
        <v>227</v>
      </c>
      <c r="BH663" s="7" t="s">
        <v>227</v>
      </c>
      <c r="BI663" s="7"/>
      <c r="BJ663" s="4">
        <v>18</v>
      </c>
      <c r="BK663" s="8">
        <v>718.83</v>
      </c>
      <c r="BL663" s="2" t="s">
        <v>295</v>
      </c>
      <c r="BM663" s="7"/>
      <c r="BN663" s="7"/>
      <c r="BO663" s="4"/>
      <c r="BP663" s="8"/>
      <c r="BQ663" s="4"/>
      <c r="BR663" s="8"/>
      <c r="BS663" s="7"/>
      <c r="BT663" s="7"/>
      <c r="BU663" s="2" t="s">
        <v>4214</v>
      </c>
      <c r="BV663" s="2" t="s">
        <v>227</v>
      </c>
      <c r="BW663" s="2" t="s">
        <v>227</v>
      </c>
      <c r="BX663" s="2" t="s">
        <v>235</v>
      </c>
      <c r="BY663" s="2" t="s">
        <v>236</v>
      </c>
      <c r="BZ663" s="2" t="s">
        <v>224</v>
      </c>
      <c r="CA663" s="2" t="s">
        <v>314</v>
      </c>
      <c r="CB663" s="2" t="s">
        <v>1919</v>
      </c>
      <c r="CC663" s="2" t="s">
        <v>239</v>
      </c>
      <c r="CD663" s="2" t="s">
        <v>227</v>
      </c>
      <c r="CE663" s="4">
        <v>762</v>
      </c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/>
      <c r="FD663" s="4"/>
      <c r="FE663" s="4"/>
      <c r="FF663" s="4"/>
      <c r="FG663" s="4"/>
      <c r="FH663" s="4"/>
      <c r="FI663" s="4"/>
      <c r="FJ663" s="4"/>
      <c r="FK663" s="4"/>
      <c r="FL663" s="4"/>
      <c r="FM663" s="4"/>
      <c r="FN663" s="4"/>
      <c r="FO663" s="4"/>
      <c r="FP663" s="4"/>
      <c r="FQ663" s="4"/>
      <c r="FR663" s="4"/>
      <c r="FS663" s="4"/>
      <c r="FT663" s="4"/>
      <c r="FU663" s="4"/>
      <c r="FV663" s="4"/>
      <c r="FW663" s="4"/>
      <c r="FX663" s="4"/>
      <c r="FY663" s="4"/>
      <c r="FZ663" s="4"/>
      <c r="GA663" s="4"/>
      <c r="GB663" s="4"/>
      <c r="GC663" s="4"/>
      <c r="GD663" s="4"/>
      <c r="GE663" s="4"/>
      <c r="GF663" s="4"/>
      <c r="GG663" s="4"/>
      <c r="GH663" s="4"/>
      <c r="GI663" s="4"/>
      <c r="GJ663" s="4"/>
      <c r="GK663" s="4"/>
      <c r="GL663" s="4"/>
      <c r="GM663" s="4"/>
      <c r="GN663" s="4"/>
      <c r="GO663" s="4"/>
      <c r="GP663" s="4"/>
      <c r="GQ663" s="4"/>
      <c r="GR663" s="4"/>
      <c r="GS663" s="4"/>
      <c r="GT663" s="4"/>
      <c r="GU663" s="4"/>
      <c r="GV663" s="4"/>
      <c r="GW663" s="4"/>
      <c r="GX663" s="4"/>
    </row>
    <row r="664">
      <c r="A664" s="2" t="s">
        <v>4215</v>
      </c>
      <c r="B664" s="2" t="s">
        <v>618</v>
      </c>
      <c r="C664" s="2" t="s">
        <v>1299</v>
      </c>
      <c r="D664" s="2" t="s">
        <v>687</v>
      </c>
      <c r="E664" s="2" t="s">
        <v>688</v>
      </c>
      <c r="F664" s="2" t="s">
        <v>4188</v>
      </c>
      <c r="G664" s="2" t="s">
        <v>4189</v>
      </c>
      <c r="H664" s="2" t="s">
        <v>4190</v>
      </c>
      <c r="I664" s="2" t="s">
        <v>4191</v>
      </c>
      <c r="J664" s="2" t="s">
        <v>1304</v>
      </c>
      <c r="K664" s="2" t="s">
        <v>657</v>
      </c>
      <c r="L664" s="3">
        <v>33.33</v>
      </c>
      <c r="M664" s="3">
        <v>35</v>
      </c>
      <c r="N664" s="3">
        <v>69.99</v>
      </c>
      <c r="O664" s="2" t="s">
        <v>224</v>
      </c>
      <c r="P664" s="2" t="s">
        <v>225</v>
      </c>
      <c r="Q664" s="2" t="s">
        <v>226</v>
      </c>
      <c r="R664" s="2" t="s">
        <v>227</v>
      </c>
      <c r="S664" s="2" t="s">
        <v>4216</v>
      </c>
      <c r="T664" s="2" t="s">
        <v>993</v>
      </c>
      <c r="U664" s="2" t="s">
        <v>1044</v>
      </c>
      <c r="V664" s="2" t="s">
        <v>230</v>
      </c>
      <c r="W664" s="2" t="s">
        <v>836</v>
      </c>
      <c r="X664" s="2" t="s">
        <v>231</v>
      </c>
      <c r="Y664" s="2" t="s">
        <v>293</v>
      </c>
      <c r="Z664" s="4">
        <v>507</v>
      </c>
      <c r="AA664" s="4">
        <f>=ROUNDDOWN(126.75,0)</f>
      </c>
      <c r="AB664" s="5">
        <v>4</v>
      </c>
      <c r="AC664" s="2" t="s">
        <v>227</v>
      </c>
      <c r="AD664" s="4"/>
      <c r="AE664" s="4"/>
      <c r="AF664" s="6">
        <v>66</v>
      </c>
      <c r="AG664" s="6"/>
      <c r="AH664" s="7">
        <v>1</v>
      </c>
      <c r="AI664" s="4"/>
      <c r="AJ664" s="4">
        <f>=ROUNDDOWN({0},0)</f>
      </c>
      <c r="AK664" s="5"/>
      <c r="AL664" s="2" t="s">
        <v>227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 t="s">
        <v>227</v>
      </c>
      <c r="AW664" s="8" t="s">
        <v>227</v>
      </c>
      <c r="AX664" s="4" t="s">
        <v>227</v>
      </c>
      <c r="AY664" s="8" t="s">
        <v>227</v>
      </c>
      <c r="AZ664" s="7" t="s">
        <v>227</v>
      </c>
      <c r="BA664" s="7" t="s">
        <v>227</v>
      </c>
      <c r="BB664" s="7" t="s">
        <v>227</v>
      </c>
      <c r="BC664" s="4" t="s">
        <v>227</v>
      </c>
      <c r="BD664" s="8" t="s">
        <v>227</v>
      </c>
      <c r="BE664" s="4" t="s">
        <v>227</v>
      </c>
      <c r="BF664" s="8" t="s">
        <v>227</v>
      </c>
      <c r="BG664" s="7" t="s">
        <v>227</v>
      </c>
      <c r="BH664" s="7" t="s">
        <v>227</v>
      </c>
      <c r="BI664" s="7"/>
      <c r="BJ664" s="4">
        <v>30</v>
      </c>
      <c r="BK664" s="8">
        <v>1019.93</v>
      </c>
      <c r="BL664" s="2" t="s">
        <v>4217</v>
      </c>
      <c r="BM664" s="7"/>
      <c r="BN664" s="7"/>
      <c r="BO664" s="4"/>
      <c r="BP664" s="8"/>
      <c r="BQ664" s="4"/>
      <c r="BR664" s="8"/>
      <c r="BS664" s="7"/>
      <c r="BT664" s="7"/>
      <c r="BU664" s="2" t="s">
        <v>4218</v>
      </c>
      <c r="BV664" s="2" t="s">
        <v>227</v>
      </c>
      <c r="BW664" s="2" t="s">
        <v>227</v>
      </c>
      <c r="BX664" s="2" t="s">
        <v>235</v>
      </c>
      <c r="BY664" s="2" t="s">
        <v>236</v>
      </c>
      <c r="BZ664" s="2" t="s">
        <v>224</v>
      </c>
      <c r="CA664" s="2" t="s">
        <v>314</v>
      </c>
      <c r="CB664" s="2" t="s">
        <v>1612</v>
      </c>
      <c r="CC664" s="2" t="s">
        <v>239</v>
      </c>
      <c r="CD664" s="2" t="s">
        <v>227</v>
      </c>
      <c r="CE664" s="4">
        <v>507</v>
      </c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/>
      <c r="FD664" s="4"/>
      <c r="FE664" s="4"/>
      <c r="FF664" s="4"/>
      <c r="FG664" s="4"/>
      <c r="FH664" s="4"/>
      <c r="FI664" s="4"/>
      <c r="FJ664" s="4"/>
      <c r="FK664" s="4"/>
      <c r="FL664" s="4"/>
      <c r="FM664" s="4"/>
      <c r="FN664" s="4"/>
      <c r="FO664" s="4"/>
      <c r="FP664" s="4"/>
      <c r="FQ664" s="4"/>
      <c r="FR664" s="4"/>
      <c r="FS664" s="4"/>
      <c r="FT664" s="4"/>
      <c r="FU664" s="4"/>
      <c r="FV664" s="4"/>
      <c r="FW664" s="4"/>
      <c r="FX664" s="4"/>
      <c r="FY664" s="4"/>
      <c r="FZ664" s="4"/>
      <c r="GA664" s="4"/>
      <c r="GB664" s="4"/>
      <c r="GC664" s="4"/>
      <c r="GD664" s="4"/>
      <c r="GE664" s="4"/>
      <c r="GF664" s="4"/>
      <c r="GG664" s="4"/>
      <c r="GH664" s="4"/>
      <c r="GI664" s="4"/>
      <c r="GJ664" s="4"/>
      <c r="GK664" s="4"/>
      <c r="GL664" s="4"/>
      <c r="GM664" s="4"/>
      <c r="GN664" s="4"/>
      <c r="GO664" s="4"/>
      <c r="GP664" s="4"/>
      <c r="GQ664" s="4"/>
      <c r="GR664" s="4"/>
      <c r="GS664" s="4"/>
      <c r="GT664" s="4"/>
      <c r="GU664" s="4"/>
      <c r="GV664" s="4"/>
      <c r="GW664" s="4"/>
      <c r="GX664" s="4"/>
    </row>
    <row r="665">
      <c r="A665" s="2" t="s">
        <v>4219</v>
      </c>
      <c r="B665" s="2" t="s">
        <v>618</v>
      </c>
      <c r="C665" s="2" t="s">
        <v>1299</v>
      </c>
      <c r="D665" s="2" t="s">
        <v>620</v>
      </c>
      <c r="E665" s="2" t="s">
        <v>669</v>
      </c>
      <c r="F665" s="2" t="s">
        <v>4188</v>
      </c>
      <c r="G665" s="2" t="s">
        <v>4189</v>
      </c>
      <c r="H665" s="2" t="s">
        <v>4190</v>
      </c>
      <c r="I665" s="2" t="s">
        <v>4211</v>
      </c>
      <c r="J665" s="2" t="s">
        <v>1304</v>
      </c>
      <c r="K665" s="2" t="s">
        <v>657</v>
      </c>
      <c r="L665" s="3">
        <v>26.19</v>
      </c>
      <c r="M665" s="3">
        <v>27.5</v>
      </c>
      <c r="N665" s="3">
        <v>54.99</v>
      </c>
      <c r="O665" s="2" t="s">
        <v>224</v>
      </c>
      <c r="P665" s="2" t="s">
        <v>225</v>
      </c>
      <c r="Q665" s="2" t="s">
        <v>226</v>
      </c>
      <c r="R665" s="2" t="s">
        <v>227</v>
      </c>
      <c r="S665" s="2" t="s">
        <v>4216</v>
      </c>
      <c r="T665" s="2" t="s">
        <v>993</v>
      </c>
      <c r="U665" s="2" t="s">
        <v>1044</v>
      </c>
      <c r="V665" s="2" t="s">
        <v>230</v>
      </c>
      <c r="W665" s="2" t="s">
        <v>836</v>
      </c>
      <c r="X665" s="2" t="s">
        <v>231</v>
      </c>
      <c r="Y665" s="2" t="s">
        <v>4220</v>
      </c>
      <c r="Z665" s="4">
        <v>276</v>
      </c>
      <c r="AA665" s="4">
        <f>=ROUNDDOWN(276,0)</f>
      </c>
      <c r="AB665" s="5">
        <v>1</v>
      </c>
      <c r="AC665" s="2" t="s">
        <v>227</v>
      </c>
      <c r="AD665" s="4"/>
      <c r="AE665" s="4"/>
      <c r="AF665" s="6">
        <v>66</v>
      </c>
      <c r="AG665" s="6"/>
      <c r="AH665" s="7">
        <v>1</v>
      </c>
      <c r="AI665" s="4"/>
      <c r="AJ665" s="4">
        <f>=ROUNDDOWN({0},0)</f>
      </c>
      <c r="AK665" s="5"/>
      <c r="AL665" s="2" t="s">
        <v>227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 t="s">
        <v>227</v>
      </c>
      <c r="AW665" s="8" t="s">
        <v>227</v>
      </c>
      <c r="AX665" s="4" t="s">
        <v>227</v>
      </c>
      <c r="AY665" s="8" t="s">
        <v>227</v>
      </c>
      <c r="AZ665" s="7" t="s">
        <v>227</v>
      </c>
      <c r="BA665" s="7" t="s">
        <v>227</v>
      </c>
      <c r="BB665" s="7" t="s">
        <v>227</v>
      </c>
      <c r="BC665" s="4" t="s">
        <v>227</v>
      </c>
      <c r="BD665" s="8" t="s">
        <v>227</v>
      </c>
      <c r="BE665" s="4" t="s">
        <v>227</v>
      </c>
      <c r="BF665" s="8" t="s">
        <v>227</v>
      </c>
      <c r="BG665" s="7" t="s">
        <v>227</v>
      </c>
      <c r="BH665" s="7" t="s">
        <v>227</v>
      </c>
      <c r="BI665" s="7"/>
      <c r="BJ665" s="4">
        <v>6</v>
      </c>
      <c r="BK665" s="8">
        <v>172.83</v>
      </c>
      <c r="BL665" s="2" t="s">
        <v>2283</v>
      </c>
      <c r="BM665" s="7"/>
      <c r="BN665" s="7"/>
      <c r="BO665" s="4"/>
      <c r="BP665" s="8"/>
      <c r="BQ665" s="4"/>
      <c r="BR665" s="8"/>
      <c r="BS665" s="7"/>
      <c r="BT665" s="7"/>
      <c r="BU665" s="2" t="s">
        <v>4221</v>
      </c>
      <c r="BV665" s="2" t="s">
        <v>227</v>
      </c>
      <c r="BW665" s="2" t="s">
        <v>227</v>
      </c>
      <c r="BX665" s="2" t="s">
        <v>235</v>
      </c>
      <c r="BY665" s="2" t="s">
        <v>236</v>
      </c>
      <c r="BZ665" s="2" t="s">
        <v>224</v>
      </c>
      <c r="CA665" s="2" t="s">
        <v>3674</v>
      </c>
      <c r="CB665" s="2" t="s">
        <v>1725</v>
      </c>
      <c r="CC665" s="2" t="s">
        <v>239</v>
      </c>
      <c r="CD665" s="2" t="s">
        <v>227</v>
      </c>
      <c r="CE665" s="4">
        <v>276</v>
      </c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/>
      <c r="FH665" s="4"/>
      <c r="FI665" s="4"/>
      <c r="FJ665" s="4"/>
      <c r="FK665" s="4"/>
      <c r="FL665" s="4"/>
      <c r="FM665" s="4"/>
      <c r="FN665" s="4"/>
      <c r="FO665" s="4"/>
      <c r="FP665" s="4"/>
      <c r="FQ665" s="4"/>
      <c r="FR665" s="4"/>
      <c r="FS665" s="4"/>
      <c r="FT665" s="4"/>
      <c r="FU665" s="4"/>
      <c r="FV665" s="4"/>
      <c r="FW665" s="4"/>
      <c r="FX665" s="4"/>
      <c r="FY665" s="4"/>
      <c r="FZ665" s="4"/>
      <c r="GA665" s="4"/>
      <c r="GB665" s="4"/>
      <c r="GC665" s="4"/>
      <c r="GD665" s="4"/>
      <c r="GE665" s="4"/>
      <c r="GF665" s="4"/>
      <c r="GG665" s="4"/>
      <c r="GH665" s="4"/>
      <c r="GI665" s="4"/>
      <c r="GJ665" s="4"/>
      <c r="GK665" s="4"/>
      <c r="GL665" s="4"/>
      <c r="GM665" s="4"/>
      <c r="GN665" s="4"/>
      <c r="GO665" s="4"/>
      <c r="GP665" s="4"/>
      <c r="GQ665" s="4"/>
      <c r="GR665" s="4"/>
      <c r="GS665" s="4"/>
      <c r="GT665" s="4"/>
      <c r="GU665" s="4"/>
      <c r="GV665" s="4"/>
      <c r="GW665" s="4"/>
      <c r="GX665" s="4"/>
    </row>
    <row r="666">
      <c r="A666" s="2" t="s">
        <v>4222</v>
      </c>
      <c r="B666" s="2" t="s">
        <v>618</v>
      </c>
      <c r="C666" s="2" t="s">
        <v>1299</v>
      </c>
      <c r="D666" s="2" t="s">
        <v>620</v>
      </c>
      <c r="E666" s="2" t="s">
        <v>669</v>
      </c>
      <c r="F666" s="2" t="s">
        <v>4188</v>
      </c>
      <c r="G666" s="2" t="s">
        <v>4189</v>
      </c>
      <c r="H666" s="2" t="s">
        <v>4190</v>
      </c>
      <c r="I666" s="2" t="s">
        <v>4211</v>
      </c>
      <c r="J666" s="2" t="s">
        <v>626</v>
      </c>
      <c r="K666" s="2" t="s">
        <v>657</v>
      </c>
      <c r="L666" s="3">
        <v>30.95</v>
      </c>
      <c r="M666" s="3">
        <v>32.5</v>
      </c>
      <c r="N666" s="3">
        <v>64.99</v>
      </c>
      <c r="O666" s="2" t="s">
        <v>224</v>
      </c>
      <c r="P666" s="2" t="s">
        <v>225</v>
      </c>
      <c r="Q666" s="2" t="s">
        <v>226</v>
      </c>
      <c r="R666" s="2" t="s">
        <v>227</v>
      </c>
      <c r="S666" s="2" t="s">
        <v>4216</v>
      </c>
      <c r="T666" s="2" t="s">
        <v>993</v>
      </c>
      <c r="U666" s="2" t="s">
        <v>674</v>
      </c>
      <c r="V666" s="2" t="s">
        <v>230</v>
      </c>
      <c r="W666" s="2" t="s">
        <v>836</v>
      </c>
      <c r="X666" s="2" t="s">
        <v>231</v>
      </c>
      <c r="Y666" s="2" t="s">
        <v>4220</v>
      </c>
      <c r="Z666" s="4">
        <v>295</v>
      </c>
      <c r="AA666" s="4">
        <f>=ROUNDDOWN(98.3333333333333,0)</f>
      </c>
      <c r="AB666" s="5">
        <v>3</v>
      </c>
      <c r="AC666" s="2" t="s">
        <v>227</v>
      </c>
      <c r="AD666" s="4"/>
      <c r="AE666" s="4"/>
      <c r="AF666" s="6">
        <v>66</v>
      </c>
      <c r="AG666" s="6"/>
      <c r="AH666" s="7">
        <v>1</v>
      </c>
      <c r="AI666" s="4"/>
      <c r="AJ666" s="4">
        <f>=ROUNDDOWN({0},0)</f>
      </c>
      <c r="AK666" s="5"/>
      <c r="AL666" s="2" t="s">
        <v>227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 t="s">
        <v>227</v>
      </c>
      <c r="AW666" s="8" t="s">
        <v>227</v>
      </c>
      <c r="AX666" s="4" t="s">
        <v>227</v>
      </c>
      <c r="AY666" s="8" t="s">
        <v>227</v>
      </c>
      <c r="AZ666" s="7" t="s">
        <v>227</v>
      </c>
      <c r="BA666" s="7" t="s">
        <v>227</v>
      </c>
      <c r="BB666" s="7"/>
      <c r="BC666" s="4" t="s">
        <v>227</v>
      </c>
      <c r="BD666" s="8" t="s">
        <v>227</v>
      </c>
      <c r="BE666" s="4" t="s">
        <v>227</v>
      </c>
      <c r="BF666" s="8" t="s">
        <v>227</v>
      </c>
      <c r="BG666" s="7" t="s">
        <v>227</v>
      </c>
      <c r="BH666" s="7" t="s">
        <v>227</v>
      </c>
      <c r="BI666" s="7"/>
      <c r="BJ666" s="4">
        <v>9</v>
      </c>
      <c r="BK666" s="8">
        <v>305.5</v>
      </c>
      <c r="BL666" s="2" t="s">
        <v>1444</v>
      </c>
      <c r="BM666" s="7"/>
      <c r="BN666" s="7"/>
      <c r="BO666" s="4"/>
      <c r="BP666" s="8"/>
      <c r="BQ666" s="4"/>
      <c r="BR666" s="8"/>
      <c r="BS666" s="7"/>
      <c r="BT666" s="7"/>
      <c r="BU666" s="2" t="s">
        <v>4223</v>
      </c>
      <c r="BV666" s="2" t="s">
        <v>227</v>
      </c>
      <c r="BW666" s="2" t="s">
        <v>227</v>
      </c>
      <c r="BX666" s="2" t="s">
        <v>235</v>
      </c>
      <c r="BY666" s="2" t="s">
        <v>236</v>
      </c>
      <c r="BZ666" s="2" t="s">
        <v>224</v>
      </c>
      <c r="CA666" s="2" t="s">
        <v>3674</v>
      </c>
      <c r="CB666" s="2" t="s">
        <v>1699</v>
      </c>
      <c r="CC666" s="2" t="s">
        <v>239</v>
      </c>
      <c r="CD666" s="2" t="s">
        <v>227</v>
      </c>
      <c r="CE666" s="4">
        <v>295</v>
      </c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  <c r="FG666" s="4"/>
      <c r="FH666" s="4"/>
      <c r="FI666" s="4"/>
      <c r="FJ666" s="4"/>
      <c r="FK666" s="4"/>
      <c r="FL666" s="4"/>
      <c r="FM666" s="4"/>
      <c r="FN666" s="4"/>
      <c r="FO666" s="4"/>
      <c r="FP666" s="4"/>
      <c r="FQ666" s="4"/>
      <c r="FR666" s="4"/>
      <c r="FS666" s="4"/>
      <c r="FT666" s="4"/>
      <c r="FU666" s="4"/>
      <c r="FV666" s="4"/>
      <c r="FW666" s="4"/>
      <c r="FX666" s="4"/>
      <c r="FY666" s="4"/>
      <c r="FZ666" s="4"/>
      <c r="GA666" s="4"/>
      <c r="GB666" s="4"/>
      <c r="GC666" s="4"/>
      <c r="GD666" s="4"/>
      <c r="GE666" s="4"/>
      <c r="GF666" s="4"/>
      <c r="GG666" s="4"/>
      <c r="GH666" s="4"/>
      <c r="GI666" s="4"/>
      <c r="GJ666" s="4"/>
      <c r="GK666" s="4"/>
      <c r="GL666" s="4"/>
      <c r="GM666" s="4"/>
      <c r="GN666" s="4"/>
      <c r="GO666" s="4"/>
      <c r="GP666" s="4"/>
      <c r="GQ666" s="4"/>
      <c r="GR666" s="4"/>
      <c r="GS666" s="4"/>
      <c r="GT666" s="4"/>
      <c r="GU666" s="4"/>
      <c r="GV666" s="4"/>
      <c r="GW666" s="4"/>
      <c r="GX666" s="4"/>
    </row>
    <row r="667">
      <c r="A667" s="2" t="s">
        <v>4224</v>
      </c>
      <c r="B667" s="2" t="s">
        <v>618</v>
      </c>
      <c r="C667" s="2" t="s">
        <v>1299</v>
      </c>
      <c r="D667" s="2" t="s">
        <v>687</v>
      </c>
      <c r="E667" s="2" t="s">
        <v>688</v>
      </c>
      <c r="F667" s="2" t="s">
        <v>4188</v>
      </c>
      <c r="G667" s="2" t="s">
        <v>4189</v>
      </c>
      <c r="H667" s="2" t="s">
        <v>4190</v>
      </c>
      <c r="I667" s="2" t="s">
        <v>4191</v>
      </c>
      <c r="J667" s="2" t="s">
        <v>682</v>
      </c>
      <c r="K667" s="2" t="s">
        <v>1577</v>
      </c>
      <c r="L667" s="3">
        <v>42.85</v>
      </c>
      <c r="M667" s="3">
        <v>44.99</v>
      </c>
      <c r="N667" s="3">
        <v>89.99</v>
      </c>
      <c r="O667" s="2" t="s">
        <v>224</v>
      </c>
      <c r="P667" s="2" t="s">
        <v>550</v>
      </c>
      <c r="Q667" s="2" t="s">
        <v>226</v>
      </c>
      <c r="R667" s="2" t="s">
        <v>227</v>
      </c>
      <c r="S667" s="2" t="s">
        <v>4225</v>
      </c>
      <c r="T667" s="2" t="s">
        <v>993</v>
      </c>
      <c r="U667" s="2" t="s">
        <v>674</v>
      </c>
      <c r="V667" s="2" t="s">
        <v>230</v>
      </c>
      <c r="W667" s="2" t="s">
        <v>836</v>
      </c>
      <c r="X667" s="2" t="s">
        <v>231</v>
      </c>
      <c r="Y667" s="2" t="s">
        <v>293</v>
      </c>
      <c r="Z667" s="4">
        <v>460</v>
      </c>
      <c r="AA667" s="4">
        <f>=ROUNDDOWN(92,0)</f>
      </c>
      <c r="AB667" s="5">
        <v>5</v>
      </c>
      <c r="AC667" s="2" t="s">
        <v>739</v>
      </c>
      <c r="AD667" s="4">
        <v>120</v>
      </c>
      <c r="AE667" s="4">
        <v>120</v>
      </c>
      <c r="AF667" s="6">
        <v>66</v>
      </c>
      <c r="AG667" s="6"/>
      <c r="AH667" s="7">
        <v>1</v>
      </c>
      <c r="AI667" s="4"/>
      <c r="AJ667" s="4">
        <f>=ROUNDDOWN({0},0)</f>
      </c>
      <c r="AK667" s="5"/>
      <c r="AL667" s="2" t="s">
        <v>227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/>
      <c r="AW667" s="8"/>
      <c r="AX667" s="4"/>
      <c r="AY667" s="8"/>
      <c r="AZ667" s="7"/>
      <c r="BA667" s="7"/>
      <c r="BB667" s="7"/>
      <c r="BC667" s="4" t="s">
        <v>227</v>
      </c>
      <c r="BD667" s="8" t="s">
        <v>227</v>
      </c>
      <c r="BE667" s="4" t="s">
        <v>227</v>
      </c>
      <c r="BF667" s="8" t="s">
        <v>227</v>
      </c>
      <c r="BG667" s="7" t="s">
        <v>227</v>
      </c>
      <c r="BH667" s="7" t="s">
        <v>227</v>
      </c>
      <c r="BI667" s="7"/>
      <c r="BJ667" s="4">
        <v>20</v>
      </c>
      <c r="BK667" s="8">
        <v>922.99</v>
      </c>
      <c r="BL667" s="2" t="s">
        <v>3237</v>
      </c>
      <c r="BM667" s="7"/>
      <c r="BN667" s="7"/>
      <c r="BO667" s="4"/>
      <c r="BP667" s="8"/>
      <c r="BQ667" s="4"/>
      <c r="BR667" s="8"/>
      <c r="BS667" s="7"/>
      <c r="BT667" s="7"/>
      <c r="BU667" s="2" t="s">
        <v>4226</v>
      </c>
      <c r="BV667" s="2" t="s">
        <v>227</v>
      </c>
      <c r="BW667" s="2" t="s">
        <v>227</v>
      </c>
      <c r="BX667" s="2" t="s">
        <v>235</v>
      </c>
      <c r="BY667" s="2" t="s">
        <v>236</v>
      </c>
      <c r="BZ667" s="2" t="s">
        <v>224</v>
      </c>
      <c r="CA667" s="2" t="s">
        <v>314</v>
      </c>
      <c r="CB667" s="2" t="s">
        <v>2330</v>
      </c>
      <c r="CC667" s="2" t="s">
        <v>239</v>
      </c>
      <c r="CD667" s="2" t="s">
        <v>227</v>
      </c>
      <c r="CE667" s="4">
        <v>460</v>
      </c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/>
      <c r="FG667" s="4"/>
      <c r="FH667" s="4"/>
      <c r="FI667" s="4"/>
      <c r="FJ667" s="4"/>
      <c r="FK667" s="4">
        <v>120</v>
      </c>
      <c r="FL667" s="4"/>
      <c r="FM667" s="4"/>
      <c r="FN667" s="4"/>
      <c r="FO667" s="4"/>
      <c r="FP667" s="4"/>
      <c r="FQ667" s="4"/>
      <c r="FR667" s="4"/>
      <c r="FS667" s="4"/>
      <c r="FT667" s="4"/>
      <c r="FU667" s="4"/>
      <c r="FV667" s="4"/>
      <c r="FW667" s="4"/>
      <c r="FX667" s="4"/>
      <c r="FY667" s="4"/>
      <c r="FZ667" s="4"/>
      <c r="GA667" s="4"/>
      <c r="GB667" s="4"/>
      <c r="GC667" s="4"/>
      <c r="GD667" s="4"/>
      <c r="GE667" s="4"/>
      <c r="GF667" s="4"/>
      <c r="GG667" s="4"/>
      <c r="GH667" s="4"/>
      <c r="GI667" s="4"/>
      <c r="GJ667" s="4"/>
      <c r="GK667" s="4"/>
      <c r="GL667" s="4"/>
      <c r="GM667" s="4"/>
      <c r="GN667" s="4"/>
      <c r="GO667" s="4"/>
      <c r="GP667" s="4"/>
      <c r="GQ667" s="4"/>
      <c r="GR667" s="4"/>
      <c r="GS667" s="4"/>
      <c r="GT667" s="4"/>
      <c r="GU667" s="4"/>
      <c r="GV667" s="4"/>
      <c r="GW667" s="4"/>
      <c r="GX667" s="4"/>
    </row>
    <row r="668">
      <c r="A668" s="2" t="s">
        <v>4227</v>
      </c>
      <c r="B668" s="2" t="s">
        <v>618</v>
      </c>
      <c r="C668" s="2" t="s">
        <v>1299</v>
      </c>
      <c r="D668" s="2" t="s">
        <v>620</v>
      </c>
      <c r="E668" s="2" t="s">
        <v>669</v>
      </c>
      <c r="F668" s="2" t="s">
        <v>4188</v>
      </c>
      <c r="G668" s="2" t="s">
        <v>4189</v>
      </c>
      <c r="H668" s="2" t="s">
        <v>4190</v>
      </c>
      <c r="I668" s="2" t="s">
        <v>4211</v>
      </c>
      <c r="J668" s="2" t="s">
        <v>1304</v>
      </c>
      <c r="K668" s="2" t="s">
        <v>1593</v>
      </c>
      <c r="L668" s="3">
        <v>26.19</v>
      </c>
      <c r="M668" s="3">
        <v>27.5</v>
      </c>
      <c r="N668" s="3">
        <v>54.99</v>
      </c>
      <c r="O668" s="2" t="s">
        <v>224</v>
      </c>
      <c r="P668" s="2" t="s">
        <v>225</v>
      </c>
      <c r="Q668" s="2" t="s">
        <v>226</v>
      </c>
      <c r="R668" s="2" t="s">
        <v>227</v>
      </c>
      <c r="S668" s="2" t="s">
        <v>4228</v>
      </c>
      <c r="T668" s="2" t="s">
        <v>993</v>
      </c>
      <c r="U668" s="2" t="s">
        <v>1044</v>
      </c>
      <c r="V668" s="2" t="s">
        <v>230</v>
      </c>
      <c r="W668" s="2" t="s">
        <v>836</v>
      </c>
      <c r="X668" s="2" t="s">
        <v>231</v>
      </c>
      <c r="Y668" s="2" t="s">
        <v>4220</v>
      </c>
      <c r="Z668" s="4">
        <v>251</v>
      </c>
      <c r="AA668" s="4">
        <f>=ROUNDDOWN(251,0)</f>
      </c>
      <c r="AB668" s="5">
        <v>1</v>
      </c>
      <c r="AC668" s="2" t="s">
        <v>227</v>
      </c>
      <c r="AD668" s="4"/>
      <c r="AE668" s="4"/>
      <c r="AF668" s="6">
        <v>66</v>
      </c>
      <c r="AG668" s="6"/>
      <c r="AH668" s="7">
        <v>1</v>
      </c>
      <c r="AI668" s="4"/>
      <c r="AJ668" s="4">
        <f>=ROUNDDOWN({0},0)</f>
      </c>
      <c r="AK668" s="5"/>
      <c r="AL668" s="2" t="s">
        <v>227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 t="s">
        <v>227</v>
      </c>
      <c r="AW668" s="8" t="s">
        <v>227</v>
      </c>
      <c r="AX668" s="4" t="s">
        <v>227</v>
      </c>
      <c r="AY668" s="8" t="s">
        <v>227</v>
      </c>
      <c r="AZ668" s="7" t="s">
        <v>227</v>
      </c>
      <c r="BA668" s="7" t="s">
        <v>227</v>
      </c>
      <c r="BB668" s="7"/>
      <c r="BC668" s="4" t="s">
        <v>227</v>
      </c>
      <c r="BD668" s="8" t="s">
        <v>227</v>
      </c>
      <c r="BE668" s="4" t="s">
        <v>227</v>
      </c>
      <c r="BF668" s="8" t="s">
        <v>227</v>
      </c>
      <c r="BG668" s="7" t="s">
        <v>227</v>
      </c>
      <c r="BH668" s="7" t="s">
        <v>227</v>
      </c>
      <c r="BI668" s="7"/>
      <c r="BJ668" s="4">
        <v>1</v>
      </c>
      <c r="BK668" s="8">
        <v>29.7</v>
      </c>
      <c r="BL668" s="2" t="s">
        <v>367</v>
      </c>
      <c r="BM668" s="7"/>
      <c r="BN668" s="7"/>
      <c r="BO668" s="4"/>
      <c r="BP668" s="8"/>
      <c r="BQ668" s="4"/>
      <c r="BR668" s="8"/>
      <c r="BS668" s="7"/>
      <c r="BT668" s="7"/>
      <c r="BU668" s="2" t="s">
        <v>4229</v>
      </c>
      <c r="BV668" s="2" t="s">
        <v>227</v>
      </c>
      <c r="BW668" s="2" t="s">
        <v>227</v>
      </c>
      <c r="BX668" s="2" t="s">
        <v>235</v>
      </c>
      <c r="BY668" s="2" t="s">
        <v>236</v>
      </c>
      <c r="BZ668" s="2" t="s">
        <v>224</v>
      </c>
      <c r="CA668" s="2" t="s">
        <v>3674</v>
      </c>
      <c r="CB668" s="2" t="s">
        <v>4230</v>
      </c>
      <c r="CC668" s="2" t="s">
        <v>239</v>
      </c>
      <c r="CD668" s="2" t="s">
        <v>227</v>
      </c>
      <c r="CE668" s="4">
        <v>251</v>
      </c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  <c r="FG668" s="4"/>
      <c r="FH668" s="4"/>
      <c r="FI668" s="4"/>
      <c r="FJ668" s="4"/>
      <c r="FK668" s="4"/>
      <c r="FL668" s="4"/>
      <c r="FM668" s="4"/>
      <c r="FN668" s="4"/>
      <c r="FO668" s="4"/>
      <c r="FP668" s="4"/>
      <c r="FQ668" s="4"/>
      <c r="FR668" s="4"/>
      <c r="FS668" s="4"/>
      <c r="FT668" s="4"/>
      <c r="FU668" s="4"/>
      <c r="FV668" s="4"/>
      <c r="FW668" s="4"/>
      <c r="FX668" s="4"/>
      <c r="FY668" s="4"/>
      <c r="FZ668" s="4"/>
      <c r="GA668" s="4"/>
      <c r="GB668" s="4"/>
      <c r="GC668" s="4"/>
      <c r="GD668" s="4"/>
      <c r="GE668" s="4"/>
      <c r="GF668" s="4"/>
      <c r="GG668" s="4"/>
      <c r="GH668" s="4"/>
      <c r="GI668" s="4"/>
      <c r="GJ668" s="4"/>
      <c r="GK668" s="4"/>
      <c r="GL668" s="4"/>
      <c r="GM668" s="4"/>
      <c r="GN668" s="4"/>
      <c r="GO668" s="4"/>
      <c r="GP668" s="4"/>
      <c r="GQ668" s="4"/>
      <c r="GR668" s="4"/>
      <c r="GS668" s="4"/>
      <c r="GT668" s="4"/>
      <c r="GU668" s="4"/>
      <c r="GV668" s="4"/>
      <c r="GW668" s="4"/>
      <c r="GX668" s="4"/>
    </row>
    <row r="669">
      <c r="A669" s="2" t="s">
        <v>4231</v>
      </c>
      <c r="B669" s="2" t="s">
        <v>618</v>
      </c>
      <c r="C669" s="2" t="s">
        <v>1299</v>
      </c>
      <c r="D669" s="2" t="s">
        <v>620</v>
      </c>
      <c r="E669" s="2" t="s">
        <v>669</v>
      </c>
      <c r="F669" s="2" t="s">
        <v>4188</v>
      </c>
      <c r="G669" s="2" t="s">
        <v>4189</v>
      </c>
      <c r="H669" s="2" t="s">
        <v>4190</v>
      </c>
      <c r="I669" s="2" t="s">
        <v>4211</v>
      </c>
      <c r="J669" s="2" t="s">
        <v>626</v>
      </c>
      <c r="K669" s="2" t="s">
        <v>1593</v>
      </c>
      <c r="L669" s="3">
        <v>30.95</v>
      </c>
      <c r="M669" s="3">
        <v>32.5</v>
      </c>
      <c r="N669" s="3">
        <v>64.99</v>
      </c>
      <c r="O669" s="2" t="s">
        <v>224</v>
      </c>
      <c r="P669" s="2" t="s">
        <v>225</v>
      </c>
      <c r="Q669" s="2" t="s">
        <v>226</v>
      </c>
      <c r="R669" s="2" t="s">
        <v>227</v>
      </c>
      <c r="S669" s="2" t="s">
        <v>4228</v>
      </c>
      <c r="T669" s="2" t="s">
        <v>993</v>
      </c>
      <c r="U669" s="2" t="s">
        <v>674</v>
      </c>
      <c r="V669" s="2" t="s">
        <v>230</v>
      </c>
      <c r="W669" s="2" t="s">
        <v>836</v>
      </c>
      <c r="X669" s="2" t="s">
        <v>231</v>
      </c>
      <c r="Y669" s="2" t="s">
        <v>4220</v>
      </c>
      <c r="Z669" s="4">
        <v>255</v>
      </c>
      <c r="AA669" s="4">
        <f>=ROUNDDOWN(63.75,0)</f>
      </c>
      <c r="AB669" s="5">
        <v>4</v>
      </c>
      <c r="AC669" s="2" t="s">
        <v>227</v>
      </c>
      <c r="AD669" s="4"/>
      <c r="AE669" s="4"/>
      <c r="AF669" s="6">
        <v>66</v>
      </c>
      <c r="AG669" s="6"/>
      <c r="AH669" s="7">
        <v>1</v>
      </c>
      <c r="AI669" s="4"/>
      <c r="AJ669" s="4">
        <f>=ROUNDDOWN({0},0)</f>
      </c>
      <c r="AK669" s="5"/>
      <c r="AL669" s="2" t="s">
        <v>227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227</v>
      </c>
      <c r="AW669" s="8" t="s">
        <v>227</v>
      </c>
      <c r="AX669" s="4" t="s">
        <v>227</v>
      </c>
      <c r="AY669" s="8" t="s">
        <v>227</v>
      </c>
      <c r="AZ669" s="7" t="s">
        <v>227</v>
      </c>
      <c r="BA669" s="7" t="s">
        <v>227</v>
      </c>
      <c r="BB669" s="7"/>
      <c r="BC669" s="4" t="s">
        <v>227</v>
      </c>
      <c r="BD669" s="8" t="s">
        <v>227</v>
      </c>
      <c r="BE669" s="4" t="s">
        <v>227</v>
      </c>
      <c r="BF669" s="8" t="s">
        <v>227</v>
      </c>
      <c r="BG669" s="7" t="s">
        <v>227</v>
      </c>
      <c r="BH669" s="7" t="s">
        <v>227</v>
      </c>
      <c r="BI669" s="7"/>
      <c r="BJ669" s="4">
        <v>12</v>
      </c>
      <c r="BK669" s="8">
        <v>429.26</v>
      </c>
      <c r="BL669" s="2" t="s">
        <v>4232</v>
      </c>
      <c r="BM669" s="7"/>
      <c r="BN669" s="7"/>
      <c r="BO669" s="4"/>
      <c r="BP669" s="8"/>
      <c r="BQ669" s="4"/>
      <c r="BR669" s="8"/>
      <c r="BS669" s="7"/>
      <c r="BT669" s="7"/>
      <c r="BU669" s="2" t="s">
        <v>4233</v>
      </c>
      <c r="BV669" s="2" t="s">
        <v>227</v>
      </c>
      <c r="BW669" s="2" t="s">
        <v>227</v>
      </c>
      <c r="BX669" s="2" t="s">
        <v>235</v>
      </c>
      <c r="BY669" s="2" t="s">
        <v>236</v>
      </c>
      <c r="BZ669" s="2" t="s">
        <v>224</v>
      </c>
      <c r="CA669" s="2" t="s">
        <v>3674</v>
      </c>
      <c r="CB669" s="2" t="s">
        <v>4209</v>
      </c>
      <c r="CC669" s="2" t="s">
        <v>239</v>
      </c>
      <c r="CD669" s="2" t="s">
        <v>227</v>
      </c>
      <c r="CE669" s="4">
        <v>255</v>
      </c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  <c r="FG669" s="4"/>
      <c r="FH669" s="4"/>
      <c r="FI669" s="4"/>
      <c r="FJ669" s="4"/>
      <c r="FK669" s="4"/>
      <c r="FL669" s="4"/>
      <c r="FM669" s="4"/>
      <c r="FN669" s="4"/>
      <c r="FO669" s="4"/>
      <c r="FP669" s="4"/>
      <c r="FQ669" s="4"/>
      <c r="FR669" s="4"/>
      <c r="FS669" s="4"/>
      <c r="FT669" s="4"/>
      <c r="FU669" s="4"/>
      <c r="FV669" s="4"/>
      <c r="FW669" s="4"/>
      <c r="FX669" s="4"/>
      <c r="FY669" s="4"/>
      <c r="FZ669" s="4"/>
      <c r="GA669" s="4"/>
      <c r="GB669" s="4"/>
      <c r="GC669" s="4"/>
      <c r="GD669" s="4"/>
      <c r="GE669" s="4"/>
      <c r="GF669" s="4"/>
      <c r="GG669" s="4"/>
      <c r="GH669" s="4"/>
      <c r="GI669" s="4"/>
      <c r="GJ669" s="4"/>
      <c r="GK669" s="4"/>
      <c r="GL669" s="4"/>
      <c r="GM669" s="4"/>
      <c r="GN669" s="4"/>
      <c r="GO669" s="4"/>
      <c r="GP669" s="4"/>
      <c r="GQ669" s="4"/>
      <c r="GR669" s="4"/>
      <c r="GS669" s="4"/>
      <c r="GT669" s="4"/>
      <c r="GU669" s="4"/>
      <c r="GV669" s="4"/>
      <c r="GW669" s="4"/>
      <c r="GX669" s="4"/>
    </row>
    <row r="670">
      <c r="A670" s="2" t="s">
        <v>4234</v>
      </c>
      <c r="B670" s="2" t="s">
        <v>542</v>
      </c>
      <c r="C670" s="2" t="s">
        <v>360</v>
      </c>
      <c r="D670" s="2" t="s">
        <v>1052</v>
      </c>
      <c r="E670" s="2" t="s">
        <v>1053</v>
      </c>
      <c r="F670" s="2" t="s">
        <v>4235</v>
      </c>
      <c r="G670" s="2" t="s">
        <v>4235</v>
      </c>
      <c r="H670" s="2" t="s">
        <v>4235</v>
      </c>
      <c r="I670" s="2" t="s">
        <v>4236</v>
      </c>
      <c r="J670" s="2" t="s">
        <v>548</v>
      </c>
      <c r="K670" s="2" t="s">
        <v>223</v>
      </c>
      <c r="L670" s="3">
        <v>63.6</v>
      </c>
      <c r="M670" s="3">
        <v>66.78</v>
      </c>
      <c r="N670" s="3">
        <v>124.94</v>
      </c>
      <c r="O670" s="2" t="s">
        <v>224</v>
      </c>
      <c r="P670" s="2" t="s">
        <v>225</v>
      </c>
      <c r="Q670" s="2" t="s">
        <v>226</v>
      </c>
      <c r="R670" s="2" t="s">
        <v>227</v>
      </c>
      <c r="S670" s="2" t="s">
        <v>4237</v>
      </c>
      <c r="T670" s="2" t="s">
        <v>227</v>
      </c>
      <c r="U670" s="2" t="s">
        <v>674</v>
      </c>
      <c r="V670" s="2" t="s">
        <v>945</v>
      </c>
      <c r="W670" s="2" t="s">
        <v>487</v>
      </c>
      <c r="X670" s="2" t="s">
        <v>227</v>
      </c>
      <c r="Y670" s="2" t="s">
        <v>4238</v>
      </c>
      <c r="Z670" s="4">
        <v>23</v>
      </c>
      <c r="AA670" s="4">
        <f>=ROUNDDOWN(3.28571428571429,0)</f>
      </c>
      <c r="AB670" s="5">
        <v>7</v>
      </c>
      <c r="AC670" s="2" t="s">
        <v>164</v>
      </c>
      <c r="AD670" s="4">
        <v>150</v>
      </c>
      <c r="AE670" s="4">
        <v>150</v>
      </c>
      <c r="AF670" s="6">
        <v>63</v>
      </c>
      <c r="AG670" s="6"/>
      <c r="AH670" s="7">
        <v>1</v>
      </c>
      <c r="AI670" s="4"/>
      <c r="AJ670" s="4">
        <f>=ROUNDDOWN({0},0)</f>
      </c>
      <c r="AK670" s="5"/>
      <c r="AL670" s="2" t="s">
        <v>227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/>
      <c r="AW670" s="8"/>
      <c r="AX670" s="4"/>
      <c r="AY670" s="8"/>
      <c r="AZ670" s="7"/>
      <c r="BA670" s="7"/>
      <c r="BB670" s="7"/>
      <c r="BC670" s="4" t="s">
        <v>227</v>
      </c>
      <c r="BD670" s="8" t="s">
        <v>227</v>
      </c>
      <c r="BE670" s="4" t="s">
        <v>227</v>
      </c>
      <c r="BF670" s="8" t="s">
        <v>227</v>
      </c>
      <c r="BG670" s="7" t="s">
        <v>227</v>
      </c>
      <c r="BH670" s="7" t="s">
        <v>227</v>
      </c>
      <c r="BI670" s="7"/>
      <c r="BJ670" s="4">
        <v>26</v>
      </c>
      <c r="BK670" s="8">
        <v>1966.1</v>
      </c>
      <c r="BL670" s="2" t="s">
        <v>4239</v>
      </c>
      <c r="BM670" s="7"/>
      <c r="BN670" s="7"/>
      <c r="BO670" s="4"/>
      <c r="BP670" s="8"/>
      <c r="BQ670" s="4"/>
      <c r="BR670" s="8"/>
      <c r="BS670" s="7"/>
      <c r="BT670" s="7"/>
      <c r="BU670" s="2" t="s">
        <v>4240</v>
      </c>
      <c r="BV670" s="2" t="s">
        <v>227</v>
      </c>
      <c r="BW670" s="2" t="s">
        <v>227</v>
      </c>
      <c r="BX670" s="2" t="s">
        <v>235</v>
      </c>
      <c r="BY670" s="2" t="s">
        <v>236</v>
      </c>
      <c r="BZ670" s="2" t="s">
        <v>224</v>
      </c>
      <c r="CA670" s="2" t="s">
        <v>4241</v>
      </c>
      <c r="CB670" s="2" t="s">
        <v>4242</v>
      </c>
      <c r="CC670" s="2" t="s">
        <v>239</v>
      </c>
      <c r="CD670" s="2" t="s">
        <v>227</v>
      </c>
      <c r="CE670" s="4"/>
      <c r="CF670" s="4">
        <v>23</v>
      </c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>
        <v>150</v>
      </c>
      <c r="FA670" s="4"/>
      <c r="FB670" s="4"/>
      <c r="FC670" s="4"/>
      <c r="FD670" s="4"/>
      <c r="FE670" s="4"/>
      <c r="FF670" s="4"/>
      <c r="FG670" s="4"/>
      <c r="FH670" s="4"/>
      <c r="FI670" s="4"/>
      <c r="FJ670" s="4"/>
      <c r="FK670" s="4"/>
      <c r="FL670" s="4"/>
      <c r="FM670" s="4"/>
      <c r="FN670" s="4"/>
      <c r="FO670" s="4"/>
      <c r="FP670" s="4"/>
      <c r="FQ670" s="4"/>
      <c r="FR670" s="4"/>
      <c r="FS670" s="4"/>
      <c r="FT670" s="4"/>
      <c r="FU670" s="4"/>
      <c r="FV670" s="4"/>
      <c r="FW670" s="4"/>
      <c r="FX670" s="4"/>
      <c r="FY670" s="4"/>
      <c r="FZ670" s="4"/>
      <c r="GA670" s="4"/>
      <c r="GB670" s="4"/>
      <c r="GC670" s="4"/>
      <c r="GD670" s="4"/>
      <c r="GE670" s="4"/>
      <c r="GF670" s="4"/>
      <c r="GG670" s="4"/>
      <c r="GH670" s="4"/>
      <c r="GI670" s="4"/>
      <c r="GJ670" s="4"/>
      <c r="GK670" s="4"/>
      <c r="GL670" s="4"/>
      <c r="GM670" s="4"/>
      <c r="GN670" s="4"/>
      <c r="GO670" s="4"/>
      <c r="GP670" s="4"/>
      <c r="GQ670" s="4"/>
      <c r="GR670" s="4"/>
      <c r="GS670" s="4"/>
      <c r="GT670" s="4"/>
      <c r="GU670" s="4"/>
      <c r="GV670" s="4"/>
      <c r="GW670" s="4"/>
      <c r="GX670" s="4"/>
    </row>
    <row r="671">
      <c r="A671" s="2" t="s">
        <v>4243</v>
      </c>
      <c r="B671" s="2" t="s">
        <v>542</v>
      </c>
      <c r="C671" s="2" t="s">
        <v>360</v>
      </c>
      <c r="D671" s="2" t="s">
        <v>1052</v>
      </c>
      <c r="E671" s="2" t="s">
        <v>1053</v>
      </c>
      <c r="F671" s="2" t="s">
        <v>4235</v>
      </c>
      <c r="G671" s="2" t="s">
        <v>4235</v>
      </c>
      <c r="H671" s="2" t="s">
        <v>4235</v>
      </c>
      <c r="I671" s="2" t="s">
        <v>4236</v>
      </c>
      <c r="J671" s="2" t="s">
        <v>548</v>
      </c>
      <c r="K671" s="2" t="s">
        <v>410</v>
      </c>
      <c r="L671" s="3">
        <v>67.34</v>
      </c>
      <c r="M671" s="3">
        <v>70.71</v>
      </c>
      <c r="N671" s="3">
        <v>124.94</v>
      </c>
      <c r="O671" s="2" t="s">
        <v>224</v>
      </c>
      <c r="P671" s="2" t="s">
        <v>225</v>
      </c>
      <c r="Q671" s="2" t="s">
        <v>226</v>
      </c>
      <c r="R671" s="2" t="s">
        <v>227</v>
      </c>
      <c r="S671" s="2" t="s">
        <v>227</v>
      </c>
      <c r="T671" s="2" t="s">
        <v>227</v>
      </c>
      <c r="U671" s="2" t="s">
        <v>674</v>
      </c>
      <c r="V671" s="2" t="s">
        <v>945</v>
      </c>
      <c r="W671" s="2" t="s">
        <v>487</v>
      </c>
      <c r="X671" s="2" t="s">
        <v>836</v>
      </c>
      <c r="Y671" s="2" t="s">
        <v>3297</v>
      </c>
      <c r="Z671" s="4">
        <v>37</v>
      </c>
      <c r="AA671" s="4">
        <f>=ROUNDDOWN(7.4,0)</f>
      </c>
      <c r="AB671" s="5">
        <v>5</v>
      </c>
      <c r="AC671" s="2" t="s">
        <v>732</v>
      </c>
      <c r="AD671" s="4">
        <v>100</v>
      </c>
      <c r="AE671" s="4">
        <v>100</v>
      </c>
      <c r="AF671" s="6">
        <v>63</v>
      </c>
      <c r="AG671" s="6"/>
      <c r="AH671" s="7">
        <v>1</v>
      </c>
      <c r="AI671" s="4"/>
      <c r="AJ671" s="4">
        <f>=ROUNDDOWN({0},0)</f>
      </c>
      <c r="AK671" s="5"/>
      <c r="AL671" s="2" t="s">
        <v>227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/>
      <c r="AW671" s="8"/>
      <c r="AX671" s="4"/>
      <c r="AY671" s="8"/>
      <c r="AZ671" s="7"/>
      <c r="BA671" s="7"/>
      <c r="BB671" s="7"/>
      <c r="BC671" s="4" t="s">
        <v>227</v>
      </c>
      <c r="BD671" s="8" t="s">
        <v>227</v>
      </c>
      <c r="BE671" s="4" t="s">
        <v>227</v>
      </c>
      <c r="BF671" s="8" t="s">
        <v>227</v>
      </c>
      <c r="BG671" s="7" t="s">
        <v>227</v>
      </c>
      <c r="BH671" s="7" t="s">
        <v>227</v>
      </c>
      <c r="BI671" s="7"/>
      <c r="BJ671" s="4">
        <v>15</v>
      </c>
      <c r="BK671" s="8">
        <v>1203.87</v>
      </c>
      <c r="BL671" s="2" t="s">
        <v>4244</v>
      </c>
      <c r="BM671" s="7"/>
      <c r="BN671" s="7"/>
      <c r="BO671" s="4"/>
      <c r="BP671" s="8"/>
      <c r="BQ671" s="4"/>
      <c r="BR671" s="8"/>
      <c r="BS671" s="7"/>
      <c r="BT671" s="7"/>
      <c r="BU671" s="2" t="s">
        <v>4245</v>
      </c>
      <c r="BV671" s="2" t="s">
        <v>227</v>
      </c>
      <c r="BW671" s="2" t="s">
        <v>227</v>
      </c>
      <c r="BX671" s="2" t="s">
        <v>235</v>
      </c>
      <c r="BY671" s="2" t="s">
        <v>236</v>
      </c>
      <c r="BZ671" s="2" t="s">
        <v>224</v>
      </c>
      <c r="CA671" s="2" t="s">
        <v>3300</v>
      </c>
      <c r="CB671" s="2" t="s">
        <v>4246</v>
      </c>
      <c r="CC671" s="2" t="s">
        <v>239</v>
      </c>
      <c r="CD671" s="2" t="s">
        <v>227</v>
      </c>
      <c r="CE671" s="4"/>
      <c r="CF671" s="4">
        <v>37</v>
      </c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>
        <v>100</v>
      </c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/>
      <c r="FH671" s="4"/>
      <c r="FI671" s="4"/>
      <c r="FJ671" s="4"/>
      <c r="FK671" s="4"/>
      <c r="FL671" s="4"/>
      <c r="FM671" s="4"/>
      <c r="FN671" s="4"/>
      <c r="FO671" s="4"/>
      <c r="FP671" s="4"/>
      <c r="FQ671" s="4"/>
      <c r="FR671" s="4"/>
      <c r="FS671" s="4"/>
      <c r="FT671" s="4"/>
      <c r="FU671" s="4"/>
      <c r="FV671" s="4"/>
      <c r="FW671" s="4"/>
      <c r="FX671" s="4"/>
      <c r="FY671" s="4"/>
      <c r="FZ671" s="4"/>
      <c r="GA671" s="4"/>
      <c r="GB671" s="4"/>
      <c r="GC671" s="4"/>
      <c r="GD671" s="4"/>
      <c r="GE671" s="4"/>
      <c r="GF671" s="4"/>
      <c r="GG671" s="4"/>
      <c r="GH671" s="4"/>
      <c r="GI671" s="4"/>
      <c r="GJ671" s="4"/>
      <c r="GK671" s="4"/>
      <c r="GL671" s="4"/>
      <c r="GM671" s="4"/>
      <c r="GN671" s="4"/>
      <c r="GO671" s="4"/>
      <c r="GP671" s="4"/>
      <c r="GQ671" s="4"/>
      <c r="GR671" s="4"/>
      <c r="GS671" s="4"/>
      <c r="GT671" s="4"/>
      <c r="GU671" s="4"/>
      <c r="GV671" s="4"/>
      <c r="GW671" s="4"/>
      <c r="GX671" s="4"/>
    </row>
    <row r="672">
      <c r="A672" s="2" t="s">
        <v>4247</v>
      </c>
      <c r="B672" s="2" t="s">
        <v>542</v>
      </c>
      <c r="C672" s="2" t="s">
        <v>360</v>
      </c>
      <c r="D672" s="2" t="s">
        <v>1052</v>
      </c>
      <c r="E672" s="2" t="s">
        <v>1053</v>
      </c>
      <c r="F672" s="2" t="s">
        <v>4248</v>
      </c>
      <c r="G672" s="2" t="s">
        <v>4248</v>
      </c>
      <c r="H672" s="2" t="s">
        <v>4248</v>
      </c>
      <c r="I672" s="2" t="s">
        <v>4249</v>
      </c>
      <c r="J672" s="2" t="s">
        <v>548</v>
      </c>
      <c r="K672" s="2" t="s">
        <v>223</v>
      </c>
      <c r="L672" s="3">
        <v>24.48</v>
      </c>
      <c r="M672" s="3">
        <v>25.7</v>
      </c>
      <c r="N672" s="3">
        <v>59.49</v>
      </c>
      <c r="O672" s="2" t="s">
        <v>224</v>
      </c>
      <c r="P672" s="2" t="s">
        <v>580</v>
      </c>
      <c r="Q672" s="2" t="s">
        <v>226</v>
      </c>
      <c r="R672" s="2" t="s">
        <v>227</v>
      </c>
      <c r="S672" s="2" t="s">
        <v>227</v>
      </c>
      <c r="T672" s="2" t="s">
        <v>227</v>
      </c>
      <c r="U672" s="2" t="s">
        <v>552</v>
      </c>
      <c r="V672" s="2" t="s">
        <v>629</v>
      </c>
      <c r="W672" s="2" t="s">
        <v>581</v>
      </c>
      <c r="X672" s="2" t="s">
        <v>227</v>
      </c>
      <c r="Y672" s="2" t="s">
        <v>4250</v>
      </c>
      <c r="Z672" s="4">
        <v>115</v>
      </c>
      <c r="AA672" s="4">
        <f>=ROUNDDOWN(42.5925925925926,0)</f>
      </c>
      <c r="AB672" s="5">
        <v>2.7</v>
      </c>
      <c r="AC672" s="2" t="s">
        <v>227</v>
      </c>
      <c r="AD672" s="4"/>
      <c r="AE672" s="4"/>
      <c r="AF672" s="6">
        <v>63</v>
      </c>
      <c r="AG672" s="6"/>
      <c r="AH672" s="7">
        <v>1</v>
      </c>
      <c r="AI672" s="4"/>
      <c r="AJ672" s="4">
        <f>=ROUNDDOWN({0},0)</f>
      </c>
      <c r="AK672" s="5"/>
      <c r="AL672" s="2" t="s">
        <v>227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/>
      <c r="AW672" s="8"/>
      <c r="AX672" s="4"/>
      <c r="AY672" s="8"/>
      <c r="AZ672" s="7"/>
      <c r="BA672" s="7"/>
      <c r="BB672" s="7"/>
      <c r="BC672" s="4"/>
      <c r="BD672" s="8"/>
      <c r="BE672" s="4"/>
      <c r="BF672" s="8"/>
      <c r="BG672" s="7"/>
      <c r="BH672" s="7"/>
      <c r="BI672" s="7"/>
      <c r="BJ672" s="4">
        <v>10</v>
      </c>
      <c r="BK672" s="8">
        <v>295.07</v>
      </c>
      <c r="BL672" s="2" t="s">
        <v>4251</v>
      </c>
      <c r="BM672" s="7"/>
      <c r="BN672" s="7"/>
      <c r="BO672" s="4"/>
      <c r="BP672" s="8"/>
      <c r="BQ672" s="4"/>
      <c r="BR672" s="8"/>
      <c r="BS672" s="7"/>
      <c r="BT672" s="7"/>
      <c r="BU672" s="2" t="s">
        <v>4252</v>
      </c>
      <c r="BV672" s="2" t="s">
        <v>227</v>
      </c>
      <c r="BW672" s="2" t="s">
        <v>227</v>
      </c>
      <c r="BX672" s="2" t="s">
        <v>235</v>
      </c>
      <c r="BY672" s="2" t="s">
        <v>236</v>
      </c>
      <c r="BZ672" s="2" t="s">
        <v>224</v>
      </c>
      <c r="CA672" s="2" t="s">
        <v>4253</v>
      </c>
      <c r="CB672" s="2" t="s">
        <v>4254</v>
      </c>
      <c r="CC672" s="2" t="s">
        <v>239</v>
      </c>
      <c r="CD672" s="2" t="s">
        <v>227</v>
      </c>
      <c r="CE672" s="4"/>
      <c r="CF672" s="4">
        <v>115</v>
      </c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/>
      <c r="FH672" s="4"/>
      <c r="FI672" s="4"/>
      <c r="FJ672" s="4"/>
      <c r="FK672" s="4"/>
      <c r="FL672" s="4"/>
      <c r="FM672" s="4"/>
      <c r="FN672" s="4"/>
      <c r="FO672" s="4"/>
      <c r="FP672" s="4"/>
      <c r="FQ672" s="4"/>
      <c r="FR672" s="4"/>
      <c r="FS672" s="4"/>
      <c r="FT672" s="4"/>
      <c r="FU672" s="4"/>
      <c r="FV672" s="4"/>
      <c r="FW672" s="4"/>
      <c r="FX672" s="4"/>
      <c r="FY672" s="4"/>
      <c r="FZ672" s="4"/>
      <c r="GA672" s="4"/>
      <c r="GB672" s="4"/>
      <c r="GC672" s="4"/>
      <c r="GD672" s="4"/>
      <c r="GE672" s="4"/>
      <c r="GF672" s="4"/>
      <c r="GG672" s="4"/>
      <c r="GH672" s="4"/>
      <c r="GI672" s="4"/>
      <c r="GJ672" s="4"/>
      <c r="GK672" s="4"/>
      <c r="GL672" s="4"/>
      <c r="GM672" s="4"/>
      <c r="GN672" s="4"/>
      <c r="GO672" s="4"/>
      <c r="GP672" s="4"/>
      <c r="GQ672" s="4"/>
      <c r="GR672" s="4"/>
      <c r="GS672" s="4"/>
      <c r="GT672" s="4"/>
      <c r="GU672" s="4"/>
      <c r="GV672" s="4"/>
      <c r="GW672" s="4"/>
      <c r="GX672" s="4"/>
    </row>
    <row r="673">
      <c r="A673" s="2" t="s">
        <v>4255</v>
      </c>
      <c r="B673" s="2" t="s">
        <v>278</v>
      </c>
      <c r="C673" s="2" t="s">
        <v>4256</v>
      </c>
      <c r="D673" s="2" t="s">
        <v>280</v>
      </c>
      <c r="E673" s="2" t="s">
        <v>281</v>
      </c>
      <c r="F673" s="2" t="s">
        <v>4257</v>
      </c>
      <c r="G673" s="2" t="s">
        <v>4257</v>
      </c>
      <c r="H673" s="2" t="s">
        <v>4257</v>
      </c>
      <c r="I673" s="2" t="s">
        <v>4258</v>
      </c>
      <c r="J673" s="2" t="s">
        <v>257</v>
      </c>
      <c r="K673" s="2" t="s">
        <v>410</v>
      </c>
      <c r="L673" s="3">
        <v>22.28</v>
      </c>
      <c r="M673" s="3">
        <v>23.39</v>
      </c>
      <c r="N673" s="3">
        <v>59.99</v>
      </c>
      <c r="O673" s="2" t="s">
        <v>224</v>
      </c>
      <c r="P673" s="2" t="s">
        <v>225</v>
      </c>
      <c r="Q673" s="2" t="s">
        <v>226</v>
      </c>
      <c r="R673" s="2" t="s">
        <v>227</v>
      </c>
      <c r="S673" s="2" t="s">
        <v>227</v>
      </c>
      <c r="T673" s="2" t="s">
        <v>286</v>
      </c>
      <c r="U673" s="2" t="s">
        <v>227</v>
      </c>
      <c r="V673" s="2" t="s">
        <v>230</v>
      </c>
      <c r="W673" s="2" t="s">
        <v>487</v>
      </c>
      <c r="X673" s="2" t="s">
        <v>227</v>
      </c>
      <c r="Y673" s="2" t="s">
        <v>3560</v>
      </c>
      <c r="Z673" s="4">
        <v>26</v>
      </c>
      <c r="AA673" s="4">
        <f>=ROUNDDOWN(6.5,0)</f>
      </c>
      <c r="AB673" s="5">
        <v>4</v>
      </c>
      <c r="AC673" s="2" t="s">
        <v>191</v>
      </c>
      <c r="AD673" s="4">
        <v>32</v>
      </c>
      <c r="AE673" s="4">
        <v>52</v>
      </c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227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227</v>
      </c>
      <c r="AW673" s="8" t="s">
        <v>227</v>
      </c>
      <c r="AX673" s="4" t="s">
        <v>227</v>
      </c>
      <c r="AY673" s="8" t="s">
        <v>227</v>
      </c>
      <c r="AZ673" s="7" t="s">
        <v>227</v>
      </c>
      <c r="BA673" s="7" t="s">
        <v>227</v>
      </c>
      <c r="BB673" s="7"/>
      <c r="BC673" s="4" t="s">
        <v>227</v>
      </c>
      <c r="BD673" s="8" t="s">
        <v>227</v>
      </c>
      <c r="BE673" s="4" t="s">
        <v>227</v>
      </c>
      <c r="BF673" s="8" t="s">
        <v>227</v>
      </c>
      <c r="BG673" s="7" t="s">
        <v>227</v>
      </c>
      <c r="BH673" s="7" t="s">
        <v>227</v>
      </c>
      <c r="BI673" s="7"/>
      <c r="BJ673" s="4">
        <v>4</v>
      </c>
      <c r="BK673" s="8">
        <v>100.36</v>
      </c>
      <c r="BL673" s="2" t="s">
        <v>4259</v>
      </c>
      <c r="BM673" s="7"/>
      <c r="BN673" s="7"/>
      <c r="BO673" s="4"/>
      <c r="BP673" s="8"/>
      <c r="BQ673" s="4"/>
      <c r="BR673" s="8"/>
      <c r="BS673" s="7"/>
      <c r="BT673" s="7"/>
      <c r="BU673" s="2" t="s">
        <v>4260</v>
      </c>
      <c r="BV673" s="2" t="s">
        <v>227</v>
      </c>
      <c r="BW673" s="2" t="s">
        <v>227</v>
      </c>
      <c r="BX673" s="2" t="s">
        <v>235</v>
      </c>
      <c r="BY673" s="2" t="s">
        <v>236</v>
      </c>
      <c r="BZ673" s="2" t="s">
        <v>224</v>
      </c>
      <c r="CA673" s="2" t="s">
        <v>4261</v>
      </c>
      <c r="CB673" s="2" t="s">
        <v>4262</v>
      </c>
      <c r="CC673" s="2" t="s">
        <v>239</v>
      </c>
      <c r="CD673" s="2" t="s">
        <v>227</v>
      </c>
      <c r="CE673" s="4">
        <v>26</v>
      </c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/>
      <c r="FH673" s="4"/>
      <c r="FI673" s="4"/>
      <c r="FJ673" s="4"/>
      <c r="FK673" s="4"/>
      <c r="FL673" s="4"/>
      <c r="FM673" s="4"/>
      <c r="FN673" s="4"/>
      <c r="FO673" s="4"/>
      <c r="FP673" s="4"/>
      <c r="FQ673" s="4"/>
      <c r="FR673" s="4"/>
      <c r="FS673" s="4"/>
      <c r="FT673" s="4"/>
      <c r="FU673" s="4"/>
      <c r="FV673" s="4"/>
      <c r="FW673" s="4"/>
      <c r="FX673" s="4"/>
      <c r="FY673" s="4"/>
      <c r="FZ673" s="4"/>
      <c r="GA673" s="4">
        <v>32</v>
      </c>
      <c r="GB673" s="4"/>
      <c r="GC673" s="4"/>
      <c r="GD673" s="4"/>
      <c r="GE673" s="4"/>
      <c r="GF673" s="4"/>
      <c r="GG673" s="4"/>
      <c r="GH673" s="4"/>
      <c r="GI673" s="4"/>
      <c r="GJ673" s="4"/>
      <c r="GK673" s="4"/>
      <c r="GL673" s="4"/>
      <c r="GM673" s="4"/>
      <c r="GN673" s="4"/>
      <c r="GO673" s="4"/>
      <c r="GP673" s="4"/>
      <c r="GQ673" s="4"/>
      <c r="GR673" s="4"/>
      <c r="GS673" s="4"/>
      <c r="GT673" s="4"/>
      <c r="GU673" s="4"/>
      <c r="GV673" s="4">
        <v>20</v>
      </c>
      <c r="GW673" s="4"/>
      <c r="GX673" s="4"/>
    </row>
    <row r="674">
      <c r="A674" s="2" t="s">
        <v>4263</v>
      </c>
      <c r="B674" s="2" t="s">
        <v>278</v>
      </c>
      <c r="C674" s="2" t="s">
        <v>4256</v>
      </c>
      <c r="D674" s="2" t="s">
        <v>280</v>
      </c>
      <c r="E674" s="2" t="s">
        <v>281</v>
      </c>
      <c r="F674" s="2" t="s">
        <v>4257</v>
      </c>
      <c r="G674" s="2" t="s">
        <v>4257</v>
      </c>
      <c r="H674" s="2" t="s">
        <v>4257</v>
      </c>
      <c r="I674" s="2" t="s">
        <v>4264</v>
      </c>
      <c r="J674" s="2" t="s">
        <v>384</v>
      </c>
      <c r="K674" s="2" t="s">
        <v>410</v>
      </c>
      <c r="L674" s="3">
        <v>74.28</v>
      </c>
      <c r="M674" s="3">
        <v>77.99</v>
      </c>
      <c r="N674" s="3">
        <v>199.99</v>
      </c>
      <c r="O674" s="2" t="s">
        <v>224</v>
      </c>
      <c r="P674" s="2" t="s">
        <v>225</v>
      </c>
      <c r="Q674" s="2" t="s">
        <v>226</v>
      </c>
      <c r="R674" s="2" t="s">
        <v>227</v>
      </c>
      <c r="S674" s="2" t="s">
        <v>227</v>
      </c>
      <c r="T674" s="2" t="s">
        <v>286</v>
      </c>
      <c r="U674" s="2" t="s">
        <v>227</v>
      </c>
      <c r="V674" s="2" t="s">
        <v>230</v>
      </c>
      <c r="W674" s="2" t="s">
        <v>487</v>
      </c>
      <c r="X674" s="2" t="s">
        <v>227</v>
      </c>
      <c r="Y674" s="2" t="s">
        <v>3560</v>
      </c>
      <c r="Z674" s="4">
        <v>96</v>
      </c>
      <c r="AA674" s="4">
        <f>=ROUNDDOWN(48,0)</f>
      </c>
      <c r="AB674" s="5">
        <v>2</v>
      </c>
      <c r="AC674" s="2" t="s">
        <v>4265</v>
      </c>
      <c r="AD674" s="4">
        <v>30</v>
      </c>
      <c r="AE674" s="4">
        <v>30</v>
      </c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227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227</v>
      </c>
      <c r="AW674" s="8" t="s">
        <v>227</v>
      </c>
      <c r="AX674" s="4" t="s">
        <v>227</v>
      </c>
      <c r="AY674" s="8" t="s">
        <v>227</v>
      </c>
      <c r="AZ674" s="7" t="s">
        <v>227</v>
      </c>
      <c r="BA674" s="7" t="s">
        <v>227</v>
      </c>
      <c r="BB674" s="7"/>
      <c r="BC674" s="4" t="s">
        <v>227</v>
      </c>
      <c r="BD674" s="8" t="s">
        <v>227</v>
      </c>
      <c r="BE674" s="4" t="s">
        <v>227</v>
      </c>
      <c r="BF674" s="8" t="s">
        <v>227</v>
      </c>
      <c r="BG674" s="7" t="s">
        <v>227</v>
      </c>
      <c r="BH674" s="7" t="s">
        <v>227</v>
      </c>
      <c r="BI674" s="7"/>
      <c r="BJ674" s="4">
        <v>8</v>
      </c>
      <c r="BK674" s="8">
        <v>655.12</v>
      </c>
      <c r="BL674" s="2" t="s">
        <v>2881</v>
      </c>
      <c r="BM674" s="7"/>
      <c r="BN674" s="7"/>
      <c r="BO674" s="4"/>
      <c r="BP674" s="8"/>
      <c r="BQ674" s="4"/>
      <c r="BR674" s="8"/>
      <c r="BS674" s="7"/>
      <c r="BT674" s="7"/>
      <c r="BU674" s="2" t="s">
        <v>4266</v>
      </c>
      <c r="BV674" s="2" t="s">
        <v>227</v>
      </c>
      <c r="BW674" s="2" t="s">
        <v>227</v>
      </c>
      <c r="BX674" s="2" t="s">
        <v>235</v>
      </c>
      <c r="BY674" s="2" t="s">
        <v>236</v>
      </c>
      <c r="BZ674" s="2" t="s">
        <v>224</v>
      </c>
      <c r="CA674" s="2" t="s">
        <v>4261</v>
      </c>
      <c r="CB674" s="2" t="s">
        <v>1919</v>
      </c>
      <c r="CC674" s="2" t="s">
        <v>239</v>
      </c>
      <c r="CD674" s="2" t="s">
        <v>227</v>
      </c>
      <c r="CE674" s="4">
        <v>96</v>
      </c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  <c r="FG674" s="4"/>
      <c r="FH674" s="4"/>
      <c r="FI674" s="4"/>
      <c r="FJ674" s="4"/>
      <c r="FK674" s="4"/>
      <c r="FL674" s="4"/>
      <c r="FM674" s="4"/>
      <c r="FN674" s="4"/>
      <c r="FO674" s="4"/>
      <c r="FP674" s="4"/>
      <c r="FQ674" s="4"/>
      <c r="FR674" s="4"/>
      <c r="FS674" s="4"/>
      <c r="FT674" s="4"/>
      <c r="FU674" s="4"/>
      <c r="FV674" s="4"/>
      <c r="FW674" s="4"/>
      <c r="FX674" s="4"/>
      <c r="FY674" s="4"/>
      <c r="FZ674" s="4"/>
      <c r="GA674" s="4"/>
      <c r="GB674" s="4"/>
      <c r="GC674" s="4"/>
      <c r="GD674" s="4"/>
      <c r="GE674" s="4"/>
      <c r="GF674" s="4"/>
      <c r="GG674" s="4"/>
      <c r="GH674" s="4"/>
      <c r="GI674" s="4"/>
      <c r="GJ674" s="4"/>
      <c r="GK674" s="4"/>
      <c r="GL674" s="4"/>
      <c r="GM674" s="4"/>
      <c r="GN674" s="4"/>
      <c r="GO674" s="4"/>
      <c r="GP674" s="4"/>
      <c r="GQ674" s="4"/>
      <c r="GR674" s="4"/>
      <c r="GS674" s="4"/>
      <c r="GT674" s="4"/>
      <c r="GU674" s="4"/>
      <c r="GV674" s="4">
        <v>30</v>
      </c>
      <c r="GW674" s="4"/>
      <c r="GX674" s="4"/>
    </row>
    <row r="675">
      <c r="A675" s="2" t="s">
        <v>4267</v>
      </c>
      <c r="B675" s="2" t="s">
        <v>278</v>
      </c>
      <c r="C675" s="2" t="s">
        <v>4256</v>
      </c>
      <c r="D675" s="2" t="s">
        <v>280</v>
      </c>
      <c r="E675" s="2" t="s">
        <v>281</v>
      </c>
      <c r="F675" s="2" t="s">
        <v>4257</v>
      </c>
      <c r="G675" s="2" t="s">
        <v>4257</v>
      </c>
      <c r="H675" s="2" t="s">
        <v>4257</v>
      </c>
      <c r="I675" s="2" t="s">
        <v>4258</v>
      </c>
      <c r="J675" s="2" t="s">
        <v>4268</v>
      </c>
      <c r="K675" s="2" t="s">
        <v>410</v>
      </c>
      <c r="L675" s="3">
        <v>18.57</v>
      </c>
      <c r="M675" s="3">
        <v>19.5</v>
      </c>
      <c r="N675" s="3">
        <v>49.99</v>
      </c>
      <c r="O675" s="2" t="s">
        <v>224</v>
      </c>
      <c r="P675" s="2" t="s">
        <v>225</v>
      </c>
      <c r="Q675" s="2" t="s">
        <v>226</v>
      </c>
      <c r="R675" s="2" t="s">
        <v>227</v>
      </c>
      <c r="S675" s="2" t="s">
        <v>227</v>
      </c>
      <c r="T675" s="2" t="s">
        <v>286</v>
      </c>
      <c r="U675" s="2" t="s">
        <v>227</v>
      </c>
      <c r="V675" s="2" t="s">
        <v>230</v>
      </c>
      <c r="W675" s="2" t="s">
        <v>487</v>
      </c>
      <c r="X675" s="2" t="s">
        <v>227</v>
      </c>
      <c r="Y675" s="2" t="s">
        <v>3560</v>
      </c>
      <c r="Z675" s="4">
        <v>32</v>
      </c>
      <c r="AA675" s="4">
        <f>=ROUNDDOWN(11.4285714285714,0)</f>
      </c>
      <c r="AB675" s="5">
        <v>2.8</v>
      </c>
      <c r="AC675" s="2" t="s">
        <v>191</v>
      </c>
      <c r="AD675" s="4">
        <v>32</v>
      </c>
      <c r="AE675" s="4">
        <v>72</v>
      </c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227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227</v>
      </c>
      <c r="AW675" s="8" t="s">
        <v>227</v>
      </c>
      <c r="AX675" s="4" t="s">
        <v>227</v>
      </c>
      <c r="AY675" s="8" t="s">
        <v>227</v>
      </c>
      <c r="AZ675" s="7" t="s">
        <v>227</v>
      </c>
      <c r="BA675" s="7" t="s">
        <v>227</v>
      </c>
      <c r="BB675" s="7"/>
      <c r="BC675" s="4" t="s">
        <v>227</v>
      </c>
      <c r="BD675" s="8" t="s">
        <v>227</v>
      </c>
      <c r="BE675" s="4" t="s">
        <v>227</v>
      </c>
      <c r="BF675" s="8" t="s">
        <v>227</v>
      </c>
      <c r="BG675" s="7" t="s">
        <v>227</v>
      </c>
      <c r="BH675" s="7" t="s">
        <v>227</v>
      </c>
      <c r="BI675" s="7"/>
      <c r="BJ675" s="4">
        <v>11</v>
      </c>
      <c r="BK675" s="8">
        <v>232.29</v>
      </c>
      <c r="BL675" s="2" t="s">
        <v>1091</v>
      </c>
      <c r="BM675" s="7"/>
      <c r="BN675" s="7"/>
      <c r="BO675" s="4"/>
      <c r="BP675" s="8"/>
      <c r="BQ675" s="4"/>
      <c r="BR675" s="8"/>
      <c r="BS675" s="7"/>
      <c r="BT675" s="7"/>
      <c r="BU675" s="2" t="s">
        <v>4269</v>
      </c>
      <c r="BV675" s="2" t="s">
        <v>227</v>
      </c>
      <c r="BW675" s="2" t="s">
        <v>227</v>
      </c>
      <c r="BX675" s="2" t="s">
        <v>235</v>
      </c>
      <c r="BY675" s="2" t="s">
        <v>236</v>
      </c>
      <c r="BZ675" s="2" t="s">
        <v>224</v>
      </c>
      <c r="CA675" s="2" t="s">
        <v>4261</v>
      </c>
      <c r="CB675" s="2" t="s">
        <v>1297</v>
      </c>
      <c r="CC675" s="2" t="s">
        <v>239</v>
      </c>
      <c r="CD675" s="2" t="s">
        <v>227</v>
      </c>
      <c r="CE675" s="4">
        <v>32</v>
      </c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/>
      <c r="FH675" s="4"/>
      <c r="FI675" s="4"/>
      <c r="FJ675" s="4"/>
      <c r="FK675" s="4"/>
      <c r="FL675" s="4"/>
      <c r="FM675" s="4"/>
      <c r="FN675" s="4"/>
      <c r="FO675" s="4"/>
      <c r="FP675" s="4"/>
      <c r="FQ675" s="4"/>
      <c r="FR675" s="4"/>
      <c r="FS675" s="4"/>
      <c r="FT675" s="4"/>
      <c r="FU675" s="4"/>
      <c r="FV675" s="4"/>
      <c r="FW675" s="4"/>
      <c r="FX675" s="4"/>
      <c r="FY675" s="4"/>
      <c r="FZ675" s="4"/>
      <c r="GA675" s="4">
        <v>32</v>
      </c>
      <c r="GB675" s="4"/>
      <c r="GC675" s="4"/>
      <c r="GD675" s="4"/>
      <c r="GE675" s="4"/>
      <c r="GF675" s="4"/>
      <c r="GG675" s="4"/>
      <c r="GH675" s="4"/>
      <c r="GI675" s="4"/>
      <c r="GJ675" s="4"/>
      <c r="GK675" s="4"/>
      <c r="GL675" s="4"/>
      <c r="GM675" s="4"/>
      <c r="GN675" s="4"/>
      <c r="GO675" s="4"/>
      <c r="GP675" s="4"/>
      <c r="GQ675" s="4"/>
      <c r="GR675" s="4"/>
      <c r="GS675" s="4"/>
      <c r="GT675" s="4"/>
      <c r="GU675" s="4"/>
      <c r="GV675" s="4">
        <v>40</v>
      </c>
      <c r="GW675" s="4"/>
      <c r="GX675" s="4"/>
    </row>
    <row r="676">
      <c r="A676" s="2" t="s">
        <v>4270</v>
      </c>
      <c r="B676" s="2" t="s">
        <v>278</v>
      </c>
      <c r="C676" s="2" t="s">
        <v>4256</v>
      </c>
      <c r="D676" s="2" t="s">
        <v>280</v>
      </c>
      <c r="E676" s="2" t="s">
        <v>281</v>
      </c>
      <c r="F676" s="2" t="s">
        <v>4257</v>
      </c>
      <c r="G676" s="2" t="s">
        <v>4257</v>
      </c>
      <c r="H676" s="2" t="s">
        <v>4257</v>
      </c>
      <c r="I676" s="2" t="s">
        <v>4258</v>
      </c>
      <c r="J676" s="2" t="s">
        <v>257</v>
      </c>
      <c r="K676" s="2" t="s">
        <v>363</v>
      </c>
      <c r="L676" s="3">
        <v>22.28</v>
      </c>
      <c r="M676" s="3">
        <v>23.39</v>
      </c>
      <c r="N676" s="3">
        <v>59.99</v>
      </c>
      <c r="O676" s="2" t="s">
        <v>224</v>
      </c>
      <c r="P676" s="2" t="s">
        <v>225</v>
      </c>
      <c r="Q676" s="2" t="s">
        <v>226</v>
      </c>
      <c r="R676" s="2" t="s">
        <v>227</v>
      </c>
      <c r="S676" s="2" t="s">
        <v>227</v>
      </c>
      <c r="T676" s="2" t="s">
        <v>286</v>
      </c>
      <c r="U676" s="2" t="s">
        <v>227</v>
      </c>
      <c r="V676" s="2" t="s">
        <v>230</v>
      </c>
      <c r="W676" s="2" t="s">
        <v>487</v>
      </c>
      <c r="X676" s="2" t="s">
        <v>227</v>
      </c>
      <c r="Y676" s="2" t="s">
        <v>3560</v>
      </c>
      <c r="Z676" s="4">
        <v>18</v>
      </c>
      <c r="AA676" s="4">
        <f>=ROUNDDOWN(9,0)</f>
      </c>
      <c r="AB676" s="5">
        <v>2</v>
      </c>
      <c r="AC676" s="2" t="s">
        <v>227</v>
      </c>
      <c r="AD676" s="4"/>
      <c r="AE676" s="4"/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227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 t="s">
        <v>227</v>
      </c>
      <c r="AW676" s="8" t="s">
        <v>227</v>
      </c>
      <c r="AX676" s="4" t="s">
        <v>227</v>
      </c>
      <c r="AY676" s="8" t="s">
        <v>227</v>
      </c>
      <c r="AZ676" s="7" t="s">
        <v>227</v>
      </c>
      <c r="BA676" s="7" t="s">
        <v>227</v>
      </c>
      <c r="BB676" s="7"/>
      <c r="BC676" s="4" t="s">
        <v>227</v>
      </c>
      <c r="BD676" s="8" t="s">
        <v>227</v>
      </c>
      <c r="BE676" s="4" t="s">
        <v>227</v>
      </c>
      <c r="BF676" s="8" t="s">
        <v>227</v>
      </c>
      <c r="BG676" s="7" t="s">
        <v>227</v>
      </c>
      <c r="BH676" s="7" t="s">
        <v>227</v>
      </c>
      <c r="BI676" s="7"/>
      <c r="BJ676" s="4">
        <v>14</v>
      </c>
      <c r="BK676" s="8">
        <v>349.03</v>
      </c>
      <c r="BL676" s="2" t="s">
        <v>4271</v>
      </c>
      <c r="BM676" s="7"/>
      <c r="BN676" s="7"/>
      <c r="BO676" s="4"/>
      <c r="BP676" s="8"/>
      <c r="BQ676" s="4"/>
      <c r="BR676" s="8"/>
      <c r="BS676" s="7"/>
      <c r="BT676" s="7"/>
      <c r="BU676" s="2" t="s">
        <v>4272</v>
      </c>
      <c r="BV676" s="2" t="s">
        <v>227</v>
      </c>
      <c r="BW676" s="2" t="s">
        <v>227</v>
      </c>
      <c r="BX676" s="2" t="s">
        <v>235</v>
      </c>
      <c r="BY676" s="2" t="s">
        <v>236</v>
      </c>
      <c r="BZ676" s="2" t="s">
        <v>224</v>
      </c>
      <c r="CA676" s="2" t="s">
        <v>4261</v>
      </c>
      <c r="CB676" s="2" t="s">
        <v>293</v>
      </c>
      <c r="CC676" s="2" t="s">
        <v>239</v>
      </c>
      <c r="CD676" s="2" t="s">
        <v>227</v>
      </c>
      <c r="CE676" s="4">
        <v>18</v>
      </c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/>
      <c r="FH676" s="4"/>
      <c r="FI676" s="4"/>
      <c r="FJ676" s="4"/>
      <c r="FK676" s="4"/>
      <c r="FL676" s="4"/>
      <c r="FM676" s="4"/>
      <c r="FN676" s="4"/>
      <c r="FO676" s="4"/>
      <c r="FP676" s="4"/>
      <c r="FQ676" s="4"/>
      <c r="FR676" s="4"/>
      <c r="FS676" s="4"/>
      <c r="FT676" s="4"/>
      <c r="FU676" s="4"/>
      <c r="FV676" s="4"/>
      <c r="FW676" s="4"/>
      <c r="FX676" s="4"/>
      <c r="FY676" s="4"/>
      <c r="FZ676" s="4"/>
      <c r="GA676" s="4"/>
      <c r="GB676" s="4"/>
      <c r="GC676" s="4"/>
      <c r="GD676" s="4"/>
      <c r="GE676" s="4"/>
      <c r="GF676" s="4"/>
      <c r="GG676" s="4"/>
      <c r="GH676" s="4"/>
      <c r="GI676" s="4"/>
      <c r="GJ676" s="4"/>
      <c r="GK676" s="4"/>
      <c r="GL676" s="4"/>
      <c r="GM676" s="4"/>
      <c r="GN676" s="4"/>
      <c r="GO676" s="4"/>
      <c r="GP676" s="4"/>
      <c r="GQ676" s="4"/>
      <c r="GR676" s="4"/>
      <c r="GS676" s="4"/>
      <c r="GT676" s="4"/>
      <c r="GU676" s="4"/>
      <c r="GV676" s="4"/>
      <c r="GW676" s="4"/>
      <c r="GX676" s="4"/>
    </row>
    <row r="677">
      <c r="A677" s="2" t="s">
        <v>4273</v>
      </c>
      <c r="B677" s="2" t="s">
        <v>278</v>
      </c>
      <c r="C677" s="2" t="s">
        <v>4256</v>
      </c>
      <c r="D677" s="2" t="s">
        <v>280</v>
      </c>
      <c r="E677" s="2" t="s">
        <v>281</v>
      </c>
      <c r="F677" s="2" t="s">
        <v>4257</v>
      </c>
      <c r="G677" s="2" t="s">
        <v>4257</v>
      </c>
      <c r="H677" s="2" t="s">
        <v>4257</v>
      </c>
      <c r="I677" s="2" t="s">
        <v>4264</v>
      </c>
      <c r="J677" s="2" t="s">
        <v>384</v>
      </c>
      <c r="K677" s="2" t="s">
        <v>363</v>
      </c>
      <c r="L677" s="3">
        <v>74.28</v>
      </c>
      <c r="M677" s="3">
        <v>77.99</v>
      </c>
      <c r="N677" s="3">
        <v>199.99</v>
      </c>
      <c r="O677" s="2" t="s">
        <v>224</v>
      </c>
      <c r="P677" s="2" t="s">
        <v>225</v>
      </c>
      <c r="Q677" s="2" t="s">
        <v>226</v>
      </c>
      <c r="R677" s="2" t="s">
        <v>227</v>
      </c>
      <c r="S677" s="2" t="s">
        <v>227</v>
      </c>
      <c r="T677" s="2" t="s">
        <v>286</v>
      </c>
      <c r="U677" s="2" t="s">
        <v>227</v>
      </c>
      <c r="V677" s="2" t="s">
        <v>230</v>
      </c>
      <c r="W677" s="2" t="s">
        <v>487</v>
      </c>
      <c r="X677" s="2" t="s">
        <v>227</v>
      </c>
      <c r="Y677" s="2" t="s">
        <v>3560</v>
      </c>
      <c r="Z677" s="4">
        <v>65</v>
      </c>
      <c r="AA677" s="4">
        <f>=ROUNDDOWN(21.6666666666667,0)</f>
      </c>
      <c r="AB677" s="5">
        <v>3</v>
      </c>
      <c r="AC677" s="2" t="s">
        <v>227</v>
      </c>
      <c r="AD677" s="4"/>
      <c r="AE677" s="4"/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227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 t="s">
        <v>227</v>
      </c>
      <c r="AW677" s="8" t="s">
        <v>227</v>
      </c>
      <c r="AX677" s="4" t="s">
        <v>227</v>
      </c>
      <c r="AY677" s="8" t="s">
        <v>227</v>
      </c>
      <c r="AZ677" s="7" t="s">
        <v>227</v>
      </c>
      <c r="BA677" s="7" t="s">
        <v>227</v>
      </c>
      <c r="BB677" s="7"/>
      <c r="BC677" s="4" t="s">
        <v>227</v>
      </c>
      <c r="BD677" s="8" t="s">
        <v>227</v>
      </c>
      <c r="BE677" s="4" t="s">
        <v>227</v>
      </c>
      <c r="BF677" s="8" t="s">
        <v>227</v>
      </c>
      <c r="BG677" s="7" t="s">
        <v>227</v>
      </c>
      <c r="BH677" s="7" t="s">
        <v>227</v>
      </c>
      <c r="BI677" s="7"/>
      <c r="BJ677" s="4">
        <v>10</v>
      </c>
      <c r="BK677" s="8">
        <v>830.64</v>
      </c>
      <c r="BL677" s="2" t="s">
        <v>470</v>
      </c>
      <c r="BM677" s="7"/>
      <c r="BN677" s="7"/>
      <c r="BO677" s="4"/>
      <c r="BP677" s="8"/>
      <c r="BQ677" s="4"/>
      <c r="BR677" s="8"/>
      <c r="BS677" s="7"/>
      <c r="BT677" s="7"/>
      <c r="BU677" s="2" t="s">
        <v>4274</v>
      </c>
      <c r="BV677" s="2" t="s">
        <v>227</v>
      </c>
      <c r="BW677" s="2" t="s">
        <v>227</v>
      </c>
      <c r="BX677" s="2" t="s">
        <v>235</v>
      </c>
      <c r="BY677" s="2" t="s">
        <v>236</v>
      </c>
      <c r="BZ677" s="2" t="s">
        <v>224</v>
      </c>
      <c r="CA677" s="2" t="s">
        <v>4261</v>
      </c>
      <c r="CB677" s="2" t="s">
        <v>1919</v>
      </c>
      <c r="CC677" s="2" t="s">
        <v>239</v>
      </c>
      <c r="CD677" s="2" t="s">
        <v>227</v>
      </c>
      <c r="CE677" s="4">
        <v>65</v>
      </c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/>
      <c r="FH677" s="4"/>
      <c r="FI677" s="4"/>
      <c r="FJ677" s="4"/>
      <c r="FK677" s="4"/>
      <c r="FL677" s="4"/>
      <c r="FM677" s="4"/>
      <c r="FN677" s="4"/>
      <c r="FO677" s="4"/>
      <c r="FP677" s="4"/>
      <c r="FQ677" s="4"/>
      <c r="FR677" s="4"/>
      <c r="FS677" s="4"/>
      <c r="FT677" s="4"/>
      <c r="FU677" s="4"/>
      <c r="FV677" s="4"/>
      <c r="FW677" s="4"/>
      <c r="FX677" s="4"/>
      <c r="FY677" s="4"/>
      <c r="FZ677" s="4"/>
      <c r="GA677" s="4"/>
      <c r="GB677" s="4"/>
      <c r="GC677" s="4"/>
      <c r="GD677" s="4"/>
      <c r="GE677" s="4"/>
      <c r="GF677" s="4"/>
      <c r="GG677" s="4"/>
      <c r="GH677" s="4"/>
      <c r="GI677" s="4"/>
      <c r="GJ677" s="4"/>
      <c r="GK677" s="4"/>
      <c r="GL677" s="4"/>
      <c r="GM677" s="4"/>
      <c r="GN677" s="4"/>
      <c r="GO677" s="4"/>
      <c r="GP677" s="4"/>
      <c r="GQ677" s="4"/>
      <c r="GR677" s="4"/>
      <c r="GS677" s="4"/>
      <c r="GT677" s="4"/>
      <c r="GU677" s="4"/>
      <c r="GV677" s="4"/>
      <c r="GW677" s="4"/>
      <c r="GX677" s="4"/>
    </row>
    <row r="678">
      <c r="A678" s="2" t="s">
        <v>4275</v>
      </c>
      <c r="B678" s="2" t="s">
        <v>278</v>
      </c>
      <c r="C678" s="2" t="s">
        <v>4256</v>
      </c>
      <c r="D678" s="2" t="s">
        <v>280</v>
      </c>
      <c r="E678" s="2" t="s">
        <v>281</v>
      </c>
      <c r="F678" s="2" t="s">
        <v>4257</v>
      </c>
      <c r="G678" s="2" t="s">
        <v>4257</v>
      </c>
      <c r="H678" s="2" t="s">
        <v>4257</v>
      </c>
      <c r="I678" s="2" t="s">
        <v>4258</v>
      </c>
      <c r="J678" s="2" t="s">
        <v>257</v>
      </c>
      <c r="K678" s="2" t="s">
        <v>264</v>
      </c>
      <c r="L678" s="3">
        <v>22.28</v>
      </c>
      <c r="M678" s="3">
        <v>23.39</v>
      </c>
      <c r="N678" s="3">
        <v>59.99</v>
      </c>
      <c r="O678" s="2" t="s">
        <v>224</v>
      </c>
      <c r="P678" s="2" t="s">
        <v>225</v>
      </c>
      <c r="Q678" s="2" t="s">
        <v>226</v>
      </c>
      <c r="R678" s="2" t="s">
        <v>227</v>
      </c>
      <c r="S678" s="2" t="s">
        <v>227</v>
      </c>
      <c r="T678" s="2" t="s">
        <v>286</v>
      </c>
      <c r="U678" s="2" t="s">
        <v>227</v>
      </c>
      <c r="V678" s="2" t="s">
        <v>230</v>
      </c>
      <c r="W678" s="2" t="s">
        <v>487</v>
      </c>
      <c r="X678" s="2" t="s">
        <v>227</v>
      </c>
      <c r="Y678" s="2" t="s">
        <v>3560</v>
      </c>
      <c r="Z678" s="4">
        <v>3</v>
      </c>
      <c r="AA678" s="4">
        <f>=ROUNDDOWN(1.11111111111111,0)</f>
      </c>
      <c r="AB678" s="5">
        <v>2.7</v>
      </c>
      <c r="AC678" s="2" t="s">
        <v>191</v>
      </c>
      <c r="AD678" s="4">
        <v>32</v>
      </c>
      <c r="AE678" s="4">
        <v>72</v>
      </c>
      <c r="AF678" s="6">
        <v>65</v>
      </c>
      <c r="AG678" s="6"/>
      <c r="AH678" s="7">
        <v>0</v>
      </c>
      <c r="AI678" s="4"/>
      <c r="AJ678" s="4">
        <f>=ROUNDDOWN({0},0)</f>
      </c>
      <c r="AK678" s="5"/>
      <c r="AL678" s="2" t="s">
        <v>227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 t="s">
        <v>227</v>
      </c>
      <c r="AW678" s="8" t="s">
        <v>227</v>
      </c>
      <c r="AX678" s="4" t="s">
        <v>227</v>
      </c>
      <c r="AY678" s="8" t="s">
        <v>227</v>
      </c>
      <c r="AZ678" s="7" t="s">
        <v>227</v>
      </c>
      <c r="BA678" s="7" t="s">
        <v>227</v>
      </c>
      <c r="BB678" s="7"/>
      <c r="BC678" s="4" t="s">
        <v>227</v>
      </c>
      <c r="BD678" s="8" t="s">
        <v>227</v>
      </c>
      <c r="BE678" s="4" t="s">
        <v>227</v>
      </c>
      <c r="BF678" s="8" t="s">
        <v>227</v>
      </c>
      <c r="BG678" s="7" t="s">
        <v>227</v>
      </c>
      <c r="BH678" s="7" t="s">
        <v>227</v>
      </c>
      <c r="BI678" s="7"/>
      <c r="BJ678" s="4"/>
      <c r="BK678" s="8"/>
      <c r="BL678" s="2" t="s">
        <v>227</v>
      </c>
      <c r="BM678" s="7"/>
      <c r="BN678" s="7"/>
      <c r="BO678" s="4"/>
      <c r="BP678" s="8"/>
      <c r="BQ678" s="4"/>
      <c r="BR678" s="8"/>
      <c r="BS678" s="7"/>
      <c r="BT678" s="7"/>
      <c r="BU678" s="2" t="s">
        <v>4276</v>
      </c>
      <c r="BV678" s="2" t="s">
        <v>227</v>
      </c>
      <c r="BW678" s="2" t="s">
        <v>227</v>
      </c>
      <c r="BX678" s="2" t="s">
        <v>235</v>
      </c>
      <c r="BY678" s="2" t="s">
        <v>236</v>
      </c>
      <c r="BZ678" s="2" t="s">
        <v>224</v>
      </c>
      <c r="CA678" s="2" t="s">
        <v>4277</v>
      </c>
      <c r="CB678" s="2" t="s">
        <v>645</v>
      </c>
      <c r="CC678" s="2" t="s">
        <v>239</v>
      </c>
      <c r="CD678" s="2" t="s">
        <v>227</v>
      </c>
      <c r="CE678" s="4">
        <v>3</v>
      </c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/>
      <c r="FH678" s="4"/>
      <c r="FI678" s="4"/>
      <c r="FJ678" s="4"/>
      <c r="FK678" s="4"/>
      <c r="FL678" s="4"/>
      <c r="FM678" s="4"/>
      <c r="FN678" s="4"/>
      <c r="FO678" s="4"/>
      <c r="FP678" s="4"/>
      <c r="FQ678" s="4"/>
      <c r="FR678" s="4"/>
      <c r="FS678" s="4"/>
      <c r="FT678" s="4"/>
      <c r="FU678" s="4"/>
      <c r="FV678" s="4"/>
      <c r="FW678" s="4"/>
      <c r="FX678" s="4"/>
      <c r="FY678" s="4"/>
      <c r="FZ678" s="4"/>
      <c r="GA678" s="4">
        <v>32</v>
      </c>
      <c r="GB678" s="4"/>
      <c r="GC678" s="4"/>
      <c r="GD678" s="4"/>
      <c r="GE678" s="4"/>
      <c r="GF678" s="4"/>
      <c r="GG678" s="4"/>
      <c r="GH678" s="4"/>
      <c r="GI678" s="4"/>
      <c r="GJ678" s="4"/>
      <c r="GK678" s="4"/>
      <c r="GL678" s="4"/>
      <c r="GM678" s="4"/>
      <c r="GN678" s="4"/>
      <c r="GO678" s="4"/>
      <c r="GP678" s="4"/>
      <c r="GQ678" s="4"/>
      <c r="GR678" s="4"/>
      <c r="GS678" s="4"/>
      <c r="GT678" s="4"/>
      <c r="GU678" s="4"/>
      <c r="GV678" s="4">
        <v>40</v>
      </c>
      <c r="GW678" s="4"/>
      <c r="GX678" s="4"/>
    </row>
    <row r="679">
      <c r="A679" s="2" t="s">
        <v>4278</v>
      </c>
      <c r="B679" s="2" t="s">
        <v>278</v>
      </c>
      <c r="C679" s="2" t="s">
        <v>4256</v>
      </c>
      <c r="D679" s="2" t="s">
        <v>280</v>
      </c>
      <c r="E679" s="2" t="s">
        <v>281</v>
      </c>
      <c r="F679" s="2" t="s">
        <v>4257</v>
      </c>
      <c r="G679" s="2" t="s">
        <v>4257</v>
      </c>
      <c r="H679" s="2" t="s">
        <v>4257</v>
      </c>
      <c r="I679" s="2" t="s">
        <v>4258</v>
      </c>
      <c r="J679" s="2" t="s">
        <v>4268</v>
      </c>
      <c r="K679" s="2" t="s">
        <v>264</v>
      </c>
      <c r="L679" s="3">
        <v>18.57</v>
      </c>
      <c r="M679" s="3">
        <v>19.5</v>
      </c>
      <c r="N679" s="3">
        <v>49.99</v>
      </c>
      <c r="O679" s="2" t="s">
        <v>224</v>
      </c>
      <c r="P679" s="2" t="s">
        <v>225</v>
      </c>
      <c r="Q679" s="2" t="s">
        <v>226</v>
      </c>
      <c r="R679" s="2" t="s">
        <v>227</v>
      </c>
      <c r="S679" s="2" t="s">
        <v>227</v>
      </c>
      <c r="T679" s="2" t="s">
        <v>286</v>
      </c>
      <c r="U679" s="2" t="s">
        <v>227</v>
      </c>
      <c r="V679" s="2" t="s">
        <v>230</v>
      </c>
      <c r="W679" s="2" t="s">
        <v>487</v>
      </c>
      <c r="X679" s="2" t="s">
        <v>227</v>
      </c>
      <c r="Y679" s="2" t="s">
        <v>3560</v>
      </c>
      <c r="Z679" s="4">
        <v>22</v>
      </c>
      <c r="AA679" s="4">
        <f>=ROUNDDOWN(12.9411764705882,0)</f>
      </c>
      <c r="AB679" s="5">
        <v>1.7</v>
      </c>
      <c r="AC679" s="2" t="s">
        <v>191</v>
      </c>
      <c r="AD679" s="4">
        <v>52</v>
      </c>
      <c r="AE679" s="4">
        <v>124</v>
      </c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227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 t="s">
        <v>227</v>
      </c>
      <c r="AW679" s="8" t="s">
        <v>227</v>
      </c>
      <c r="AX679" s="4" t="s">
        <v>227</v>
      </c>
      <c r="AY679" s="8" t="s">
        <v>227</v>
      </c>
      <c r="AZ679" s="7" t="s">
        <v>227</v>
      </c>
      <c r="BA679" s="7" t="s">
        <v>227</v>
      </c>
      <c r="BB679" s="7"/>
      <c r="BC679" s="4" t="s">
        <v>227</v>
      </c>
      <c r="BD679" s="8" t="s">
        <v>227</v>
      </c>
      <c r="BE679" s="4" t="s">
        <v>227</v>
      </c>
      <c r="BF679" s="8" t="s">
        <v>227</v>
      </c>
      <c r="BG679" s="7" t="s">
        <v>227</v>
      </c>
      <c r="BH679" s="7" t="s">
        <v>227</v>
      </c>
      <c r="BI679" s="7"/>
      <c r="BJ679" s="4">
        <v>9</v>
      </c>
      <c r="BK679" s="8">
        <v>183.26</v>
      </c>
      <c r="BL679" s="2" t="s">
        <v>4279</v>
      </c>
      <c r="BM679" s="7"/>
      <c r="BN679" s="7"/>
      <c r="BO679" s="4"/>
      <c r="BP679" s="8"/>
      <c r="BQ679" s="4"/>
      <c r="BR679" s="8"/>
      <c r="BS679" s="7"/>
      <c r="BT679" s="7"/>
      <c r="BU679" s="2" t="s">
        <v>4280</v>
      </c>
      <c r="BV679" s="2" t="s">
        <v>227</v>
      </c>
      <c r="BW679" s="2" t="s">
        <v>227</v>
      </c>
      <c r="BX679" s="2" t="s">
        <v>235</v>
      </c>
      <c r="BY679" s="2" t="s">
        <v>236</v>
      </c>
      <c r="BZ679" s="2" t="s">
        <v>224</v>
      </c>
      <c r="CA679" s="2" t="s">
        <v>1794</v>
      </c>
      <c r="CB679" s="2" t="s">
        <v>3130</v>
      </c>
      <c r="CC679" s="2" t="s">
        <v>239</v>
      </c>
      <c r="CD679" s="2" t="s">
        <v>227</v>
      </c>
      <c r="CE679" s="4">
        <v>22</v>
      </c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/>
      <c r="FI679" s="4"/>
      <c r="FJ679" s="4"/>
      <c r="FK679" s="4"/>
      <c r="FL679" s="4"/>
      <c r="FM679" s="4"/>
      <c r="FN679" s="4"/>
      <c r="FO679" s="4"/>
      <c r="FP679" s="4"/>
      <c r="FQ679" s="4"/>
      <c r="FR679" s="4"/>
      <c r="FS679" s="4"/>
      <c r="FT679" s="4"/>
      <c r="FU679" s="4"/>
      <c r="FV679" s="4"/>
      <c r="FW679" s="4"/>
      <c r="FX679" s="4"/>
      <c r="FY679" s="4"/>
      <c r="FZ679" s="4"/>
      <c r="GA679" s="4">
        <v>52</v>
      </c>
      <c r="GB679" s="4"/>
      <c r="GC679" s="4"/>
      <c r="GD679" s="4"/>
      <c r="GE679" s="4"/>
      <c r="GF679" s="4"/>
      <c r="GG679" s="4"/>
      <c r="GH679" s="4"/>
      <c r="GI679" s="4"/>
      <c r="GJ679" s="4"/>
      <c r="GK679" s="4"/>
      <c r="GL679" s="4"/>
      <c r="GM679" s="4"/>
      <c r="GN679" s="4"/>
      <c r="GO679" s="4"/>
      <c r="GP679" s="4"/>
      <c r="GQ679" s="4"/>
      <c r="GR679" s="4"/>
      <c r="GS679" s="4"/>
      <c r="GT679" s="4"/>
      <c r="GU679" s="4"/>
      <c r="GV679" s="4">
        <v>72</v>
      </c>
      <c r="GW679" s="4"/>
      <c r="GX679" s="4"/>
    </row>
    <row r="680">
      <c r="A680" s="2" t="s">
        <v>4281</v>
      </c>
      <c r="B680" s="2" t="s">
        <v>573</v>
      </c>
      <c r="C680" s="2" t="s">
        <v>668</v>
      </c>
      <c r="D680" s="2" t="s">
        <v>832</v>
      </c>
      <c r="E680" s="2" t="s">
        <v>833</v>
      </c>
      <c r="F680" s="2" t="s">
        <v>4282</v>
      </c>
      <c r="G680" s="2" t="s">
        <v>4282</v>
      </c>
      <c r="H680" s="2" t="s">
        <v>4282</v>
      </c>
      <c r="I680" s="2" t="s">
        <v>1415</v>
      </c>
      <c r="J680" s="2" t="s">
        <v>548</v>
      </c>
      <c r="K680" s="2" t="s">
        <v>410</v>
      </c>
      <c r="L680" s="3">
        <v>251.75</v>
      </c>
      <c r="M680" s="3">
        <v>264.34</v>
      </c>
      <c r="N680" s="3">
        <v>529</v>
      </c>
      <c r="O680" s="2" t="s">
        <v>224</v>
      </c>
      <c r="P680" s="2" t="s">
        <v>580</v>
      </c>
      <c r="Q680" s="2" t="s">
        <v>226</v>
      </c>
      <c r="R680" s="2" t="s">
        <v>227</v>
      </c>
      <c r="S680" s="2" t="s">
        <v>227</v>
      </c>
      <c r="T680" s="2" t="s">
        <v>227</v>
      </c>
      <c r="U680" s="2" t="s">
        <v>552</v>
      </c>
      <c r="V680" s="2" t="s">
        <v>230</v>
      </c>
      <c r="W680" s="2" t="s">
        <v>676</v>
      </c>
      <c r="X680" s="2" t="s">
        <v>227</v>
      </c>
      <c r="Y680" s="2" t="s">
        <v>4283</v>
      </c>
      <c r="Z680" s="4">
        <v>74</v>
      </c>
      <c r="AA680" s="4">
        <f>=ROUNDDOWN(18.5,0)</f>
      </c>
      <c r="AB680" s="5">
        <v>4</v>
      </c>
      <c r="AC680" s="2" t="s">
        <v>162</v>
      </c>
      <c r="AD680" s="4">
        <v>63</v>
      </c>
      <c r="AE680" s="4">
        <v>63</v>
      </c>
      <c r="AF680" s="6">
        <v>66</v>
      </c>
      <c r="AG680" s="6"/>
      <c r="AH680" s="7">
        <v>1</v>
      </c>
      <c r="AI680" s="4"/>
      <c r="AJ680" s="4">
        <f>=ROUNDDOWN({0},0)</f>
      </c>
      <c r="AK680" s="5"/>
      <c r="AL680" s="2" t="s">
        <v>227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/>
      <c r="AW680" s="8"/>
      <c r="AX680" s="4"/>
      <c r="AY680" s="8"/>
      <c r="AZ680" s="7"/>
      <c r="BA680" s="7"/>
      <c r="BB680" s="7"/>
      <c r="BC680" s="4"/>
      <c r="BD680" s="8"/>
      <c r="BE680" s="4"/>
      <c r="BF680" s="8"/>
      <c r="BG680" s="7"/>
      <c r="BH680" s="7"/>
      <c r="BI680" s="7"/>
      <c r="BJ680" s="4">
        <v>5</v>
      </c>
      <c r="BK680" s="8">
        <v>1195.11</v>
      </c>
      <c r="BL680" s="2" t="s">
        <v>4284</v>
      </c>
      <c r="BM680" s="7"/>
      <c r="BN680" s="7"/>
      <c r="BO680" s="4"/>
      <c r="BP680" s="8"/>
      <c r="BQ680" s="4"/>
      <c r="BR680" s="8"/>
      <c r="BS680" s="7"/>
      <c r="BT680" s="7"/>
      <c r="BU680" s="2" t="s">
        <v>4285</v>
      </c>
      <c r="BV680" s="2" t="s">
        <v>227</v>
      </c>
      <c r="BW680" s="2" t="s">
        <v>227</v>
      </c>
      <c r="BX680" s="2" t="s">
        <v>235</v>
      </c>
      <c r="BY680" s="2" t="s">
        <v>236</v>
      </c>
      <c r="BZ680" s="2" t="s">
        <v>224</v>
      </c>
      <c r="CA680" s="2" t="s">
        <v>3576</v>
      </c>
      <c r="CB680" s="2" t="s">
        <v>4286</v>
      </c>
      <c r="CC680" s="2" t="s">
        <v>239</v>
      </c>
      <c r="CD680" s="2" t="s">
        <v>227</v>
      </c>
      <c r="CE680" s="4"/>
      <c r="CF680" s="4">
        <v>74</v>
      </c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>
        <v>63</v>
      </c>
      <c r="EY680" s="4"/>
      <c r="EZ680" s="4"/>
      <c r="FA680" s="4"/>
      <c r="FB680" s="4"/>
      <c r="FC680" s="4"/>
      <c r="FD680" s="4"/>
      <c r="FE680" s="4"/>
      <c r="FF680" s="4"/>
      <c r="FG680" s="4"/>
      <c r="FH680" s="4"/>
      <c r="FI680" s="4"/>
      <c r="FJ680" s="4"/>
      <c r="FK680" s="4"/>
      <c r="FL680" s="4"/>
      <c r="FM680" s="4"/>
      <c r="FN680" s="4"/>
      <c r="FO680" s="4"/>
      <c r="FP680" s="4"/>
      <c r="FQ680" s="4"/>
      <c r="FR680" s="4"/>
      <c r="FS680" s="4"/>
      <c r="FT680" s="4"/>
      <c r="FU680" s="4"/>
      <c r="FV680" s="4"/>
      <c r="FW680" s="4"/>
      <c r="FX680" s="4"/>
      <c r="FY680" s="4"/>
      <c r="FZ680" s="4"/>
      <c r="GA680" s="4"/>
      <c r="GB680" s="4"/>
      <c r="GC680" s="4"/>
      <c r="GD680" s="4"/>
      <c r="GE680" s="4"/>
      <c r="GF680" s="4"/>
      <c r="GG680" s="4"/>
      <c r="GH680" s="4"/>
      <c r="GI680" s="4"/>
      <c r="GJ680" s="4"/>
      <c r="GK680" s="4"/>
      <c r="GL680" s="4"/>
      <c r="GM680" s="4"/>
      <c r="GN680" s="4"/>
      <c r="GO680" s="4"/>
      <c r="GP680" s="4"/>
      <c r="GQ680" s="4"/>
      <c r="GR680" s="4"/>
      <c r="GS680" s="4"/>
      <c r="GT680" s="4"/>
      <c r="GU680" s="4"/>
      <c r="GV680" s="4"/>
      <c r="GW680" s="4"/>
      <c r="GX680" s="4"/>
    </row>
    <row r="681">
      <c r="A681" s="2" t="s">
        <v>4287</v>
      </c>
      <c r="B681" s="2" t="s">
        <v>697</v>
      </c>
      <c r="C681" s="2" t="s">
        <v>1299</v>
      </c>
      <c r="D681" s="2" t="s">
        <v>687</v>
      </c>
      <c r="E681" s="2" t="s">
        <v>688</v>
      </c>
      <c r="F681" s="2" t="s">
        <v>4288</v>
      </c>
      <c r="G681" s="2" t="s">
        <v>4289</v>
      </c>
      <c r="H681" s="2" t="s">
        <v>4289</v>
      </c>
      <c r="I681" s="2" t="s">
        <v>4290</v>
      </c>
      <c r="J681" s="2" t="s">
        <v>1304</v>
      </c>
      <c r="K681" s="2" t="s">
        <v>2664</v>
      </c>
      <c r="L681" s="3">
        <v>28.47</v>
      </c>
      <c r="M681" s="3">
        <v>29.89</v>
      </c>
      <c r="N681" s="3">
        <v>59.99</v>
      </c>
      <c r="O681" s="2" t="s">
        <v>224</v>
      </c>
      <c r="P681" s="2" t="s">
        <v>225</v>
      </c>
      <c r="Q681" s="2" t="s">
        <v>226</v>
      </c>
      <c r="R681" s="2" t="s">
        <v>227</v>
      </c>
      <c r="S681" s="2" t="s">
        <v>4291</v>
      </c>
      <c r="T681" s="2" t="s">
        <v>876</v>
      </c>
      <c r="U681" s="2" t="s">
        <v>1044</v>
      </c>
      <c r="V681" s="2" t="s">
        <v>230</v>
      </c>
      <c r="W681" s="2" t="s">
        <v>487</v>
      </c>
      <c r="X681" s="2" t="s">
        <v>836</v>
      </c>
      <c r="Y681" s="2" t="s">
        <v>1036</v>
      </c>
      <c r="Z681" s="4">
        <v>412</v>
      </c>
      <c r="AA681" s="4">
        <f>=ROUNDDOWN(68.6666666666667,0)</f>
      </c>
      <c r="AB681" s="5">
        <v>6</v>
      </c>
      <c r="AC681" s="2" t="s">
        <v>227</v>
      </c>
      <c r="AD681" s="4"/>
      <c r="AE681" s="4"/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227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/>
      <c r="AW681" s="8"/>
      <c r="AX681" s="4"/>
      <c r="AY681" s="8"/>
      <c r="AZ681" s="7"/>
      <c r="BA681" s="7"/>
      <c r="BB681" s="7"/>
      <c r="BC681" s="4"/>
      <c r="BD681" s="8"/>
      <c r="BE681" s="4"/>
      <c r="BF681" s="8"/>
      <c r="BG681" s="7"/>
      <c r="BH681" s="7"/>
      <c r="BI681" s="7"/>
      <c r="BJ681" s="4">
        <v>45</v>
      </c>
      <c r="BK681" s="8">
        <v>1291.62</v>
      </c>
      <c r="BL681" s="2" t="s">
        <v>772</v>
      </c>
      <c r="BM681" s="7"/>
      <c r="BN681" s="7"/>
      <c r="BO681" s="4"/>
      <c r="BP681" s="8"/>
      <c r="BQ681" s="4"/>
      <c r="BR681" s="8"/>
      <c r="BS681" s="7"/>
      <c r="BT681" s="7"/>
      <c r="BU681" s="2" t="s">
        <v>4292</v>
      </c>
      <c r="BV681" s="2" t="s">
        <v>227</v>
      </c>
      <c r="BW681" s="2" t="s">
        <v>227</v>
      </c>
      <c r="BX681" s="2" t="s">
        <v>235</v>
      </c>
      <c r="BY681" s="2" t="s">
        <v>236</v>
      </c>
      <c r="BZ681" s="2" t="s">
        <v>224</v>
      </c>
      <c r="CA681" s="2" t="s">
        <v>1793</v>
      </c>
      <c r="CB681" s="2" t="s">
        <v>1297</v>
      </c>
      <c r="CC681" s="2" t="s">
        <v>239</v>
      </c>
      <c r="CD681" s="2" t="s">
        <v>227</v>
      </c>
      <c r="CE681" s="4">
        <v>412</v>
      </c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/>
      <c r="FH681" s="4"/>
      <c r="FI681" s="4"/>
      <c r="FJ681" s="4"/>
      <c r="FK681" s="4"/>
      <c r="FL681" s="4"/>
      <c r="FM681" s="4"/>
      <c r="FN681" s="4"/>
      <c r="FO681" s="4"/>
      <c r="FP681" s="4"/>
      <c r="FQ681" s="4"/>
      <c r="FR681" s="4"/>
      <c r="FS681" s="4"/>
      <c r="FT681" s="4"/>
      <c r="FU681" s="4"/>
      <c r="FV681" s="4"/>
      <c r="FW681" s="4"/>
      <c r="FX681" s="4"/>
      <c r="FY681" s="4"/>
      <c r="FZ681" s="4"/>
      <c r="GA681" s="4"/>
      <c r="GB681" s="4"/>
      <c r="GC681" s="4"/>
      <c r="GD681" s="4"/>
      <c r="GE681" s="4"/>
      <c r="GF681" s="4"/>
      <c r="GG681" s="4"/>
      <c r="GH681" s="4"/>
      <c r="GI681" s="4"/>
      <c r="GJ681" s="4"/>
      <c r="GK681" s="4"/>
      <c r="GL681" s="4"/>
      <c r="GM681" s="4"/>
      <c r="GN681" s="4"/>
      <c r="GO681" s="4"/>
      <c r="GP681" s="4"/>
      <c r="GQ681" s="4"/>
      <c r="GR681" s="4"/>
      <c r="GS681" s="4"/>
      <c r="GT681" s="4"/>
      <c r="GU681" s="4"/>
      <c r="GV681" s="4"/>
      <c r="GW681" s="4"/>
      <c r="GX681" s="4"/>
    </row>
    <row r="682">
      <c r="A682" s="2" t="s">
        <v>4293</v>
      </c>
      <c r="B682" s="2" t="s">
        <v>697</v>
      </c>
      <c r="C682" s="2" t="s">
        <v>1981</v>
      </c>
      <c r="D682" s="2" t="s">
        <v>1982</v>
      </c>
      <c r="E682" s="2" t="s">
        <v>3093</v>
      </c>
      <c r="F682" s="2" t="s">
        <v>4294</v>
      </c>
      <c r="G682" s="2" t="s">
        <v>4295</v>
      </c>
      <c r="H682" s="2" t="s">
        <v>4295</v>
      </c>
      <c r="I682" s="2" t="s">
        <v>4296</v>
      </c>
      <c r="J682" s="2" t="s">
        <v>873</v>
      </c>
      <c r="K682" s="2" t="s">
        <v>410</v>
      </c>
      <c r="L682" s="3">
        <v>36.17</v>
      </c>
      <c r="M682" s="3">
        <v>37.98</v>
      </c>
      <c r="N682" s="3">
        <v>79.99</v>
      </c>
      <c r="O682" s="2" t="s">
        <v>224</v>
      </c>
      <c r="P682" s="2" t="s">
        <v>225</v>
      </c>
      <c r="Q682" s="2" t="s">
        <v>226</v>
      </c>
      <c r="R682" s="2" t="s">
        <v>227</v>
      </c>
      <c r="S682" s="2" t="s">
        <v>227</v>
      </c>
      <c r="T682" s="2" t="s">
        <v>876</v>
      </c>
      <c r="U682" s="2" t="s">
        <v>552</v>
      </c>
      <c r="V682" s="2" t="s">
        <v>230</v>
      </c>
      <c r="W682" s="2" t="s">
        <v>487</v>
      </c>
      <c r="X682" s="2" t="s">
        <v>231</v>
      </c>
      <c r="Y682" s="2" t="s">
        <v>4297</v>
      </c>
      <c r="Z682" s="4">
        <v>667</v>
      </c>
      <c r="AA682" s="4">
        <f>=ROUNDDOWN(25.6538461538462,0)</f>
      </c>
      <c r="AB682" s="5">
        <v>26</v>
      </c>
      <c r="AC682" s="2" t="s">
        <v>821</v>
      </c>
      <c r="AD682" s="4">
        <v>150</v>
      </c>
      <c r="AE682" s="4">
        <v>1000</v>
      </c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227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/>
      <c r="AW682" s="8"/>
      <c r="AX682" s="4"/>
      <c r="AY682" s="8"/>
      <c r="AZ682" s="7"/>
      <c r="BA682" s="7"/>
      <c r="BB682" s="7"/>
      <c r="BC682" s="4"/>
      <c r="BD682" s="8"/>
      <c r="BE682" s="4"/>
      <c r="BF682" s="8"/>
      <c r="BG682" s="7"/>
      <c r="BH682" s="7"/>
      <c r="BI682" s="7"/>
      <c r="BJ682" s="4">
        <v>19</v>
      </c>
      <c r="BK682" s="8">
        <v>738.45</v>
      </c>
      <c r="BL682" s="2" t="s">
        <v>4298</v>
      </c>
      <c r="BM682" s="7"/>
      <c r="BN682" s="7"/>
      <c r="BO682" s="4"/>
      <c r="BP682" s="8"/>
      <c r="BQ682" s="4"/>
      <c r="BR682" s="8"/>
      <c r="BS682" s="7"/>
      <c r="BT682" s="7"/>
      <c r="BU682" s="2" t="s">
        <v>4299</v>
      </c>
      <c r="BV682" s="2" t="s">
        <v>227</v>
      </c>
      <c r="BW682" s="2" t="s">
        <v>227</v>
      </c>
      <c r="BX682" s="2" t="s">
        <v>235</v>
      </c>
      <c r="BY682" s="2" t="s">
        <v>236</v>
      </c>
      <c r="BZ682" s="2" t="s">
        <v>224</v>
      </c>
      <c r="CA682" s="2" t="s">
        <v>930</v>
      </c>
      <c r="CB682" s="2" t="s">
        <v>4300</v>
      </c>
      <c r="CC682" s="2" t="s">
        <v>239</v>
      </c>
      <c r="CD682" s="2" t="s">
        <v>227</v>
      </c>
      <c r="CE682" s="4">
        <v>667</v>
      </c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>
        <v>150</v>
      </c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>
        <v>420</v>
      </c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>
        <v>300</v>
      </c>
      <c r="FA682" s="4"/>
      <c r="FB682" s="4"/>
      <c r="FC682" s="4"/>
      <c r="FD682" s="4"/>
      <c r="FE682" s="4"/>
      <c r="FF682" s="4"/>
      <c r="FG682" s="4"/>
      <c r="FH682" s="4"/>
      <c r="FI682" s="4"/>
      <c r="FJ682" s="4"/>
      <c r="FK682" s="4"/>
      <c r="FL682" s="4"/>
      <c r="FM682" s="4"/>
      <c r="FN682" s="4"/>
      <c r="FO682" s="4"/>
      <c r="FP682" s="4"/>
      <c r="FQ682" s="4"/>
      <c r="FR682" s="4"/>
      <c r="FS682" s="4"/>
      <c r="FT682" s="4"/>
      <c r="FU682" s="4"/>
      <c r="FV682" s="4"/>
      <c r="FW682" s="4"/>
      <c r="FX682" s="4"/>
      <c r="FY682" s="4"/>
      <c r="FZ682" s="4"/>
      <c r="GA682" s="4"/>
      <c r="GB682" s="4"/>
      <c r="GC682" s="4"/>
      <c r="GD682" s="4"/>
      <c r="GE682" s="4"/>
      <c r="GF682" s="4"/>
      <c r="GG682" s="4"/>
      <c r="GH682" s="4"/>
      <c r="GI682" s="4">
        <v>130</v>
      </c>
      <c r="GJ682" s="4"/>
      <c r="GK682" s="4"/>
      <c r="GL682" s="4"/>
      <c r="GM682" s="4"/>
      <c r="GN682" s="4"/>
      <c r="GO682" s="4"/>
      <c r="GP682" s="4"/>
      <c r="GQ682" s="4"/>
      <c r="GR682" s="4"/>
      <c r="GS682" s="4"/>
      <c r="GT682" s="4"/>
      <c r="GU682" s="4"/>
      <c r="GV682" s="4"/>
      <c r="GW682" s="4"/>
      <c r="GX682" s="4"/>
    </row>
    <row r="683">
      <c r="A683" s="2" t="s">
        <v>4301</v>
      </c>
      <c r="B683" s="2" t="s">
        <v>573</v>
      </c>
      <c r="C683" s="2" t="s">
        <v>668</v>
      </c>
      <c r="D683" s="2" t="s">
        <v>832</v>
      </c>
      <c r="E683" s="2" t="s">
        <v>833</v>
      </c>
      <c r="F683" s="2" t="s">
        <v>4302</v>
      </c>
      <c r="G683" s="2" t="s">
        <v>4302</v>
      </c>
      <c r="H683" s="2" t="s">
        <v>4302</v>
      </c>
      <c r="I683" s="2" t="s">
        <v>1415</v>
      </c>
      <c r="J683" s="2" t="s">
        <v>548</v>
      </c>
      <c r="K683" s="2" t="s">
        <v>410</v>
      </c>
      <c r="L683" s="3">
        <v>209.95</v>
      </c>
      <c r="M683" s="3">
        <v>220.45</v>
      </c>
      <c r="N683" s="3">
        <v>439</v>
      </c>
      <c r="O683" s="2" t="s">
        <v>224</v>
      </c>
      <c r="P683" s="2" t="s">
        <v>580</v>
      </c>
      <c r="Q683" s="2" t="s">
        <v>226</v>
      </c>
      <c r="R683" s="2" t="s">
        <v>227</v>
      </c>
      <c r="S683" s="2" t="s">
        <v>4303</v>
      </c>
      <c r="T683" s="2" t="s">
        <v>227</v>
      </c>
      <c r="U683" s="2" t="s">
        <v>552</v>
      </c>
      <c r="V683" s="2" t="s">
        <v>230</v>
      </c>
      <c r="W683" s="2" t="s">
        <v>231</v>
      </c>
      <c r="X683" s="2" t="s">
        <v>227</v>
      </c>
      <c r="Y683" s="2" t="s">
        <v>232</v>
      </c>
      <c r="Z683" s="4">
        <v>77</v>
      </c>
      <c r="AA683" s="4">
        <f>=ROUNDDOWN(25.6666666666667,0)</f>
      </c>
      <c r="AB683" s="5">
        <v>3</v>
      </c>
      <c r="AC683" s="2" t="s">
        <v>158</v>
      </c>
      <c r="AD683" s="4">
        <v>63</v>
      </c>
      <c r="AE683" s="4">
        <v>63</v>
      </c>
      <c r="AF683" s="6">
        <v>66</v>
      </c>
      <c r="AG683" s="6"/>
      <c r="AH683" s="7">
        <v>1</v>
      </c>
      <c r="AI683" s="4"/>
      <c r="AJ683" s="4">
        <f>=ROUNDDOWN({0},0)</f>
      </c>
      <c r="AK683" s="5"/>
      <c r="AL683" s="2" t="s">
        <v>227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/>
      <c r="AW683" s="8"/>
      <c r="AX683" s="4"/>
      <c r="AY683" s="8"/>
      <c r="AZ683" s="7"/>
      <c r="BA683" s="7"/>
      <c r="BB683" s="7"/>
      <c r="BC683" s="4"/>
      <c r="BD683" s="8"/>
      <c r="BE683" s="4"/>
      <c r="BF683" s="8"/>
      <c r="BG683" s="7"/>
      <c r="BH683" s="7"/>
      <c r="BI683" s="7"/>
      <c r="BJ683" s="4">
        <v>9</v>
      </c>
      <c r="BK683" s="8">
        <v>1785.09</v>
      </c>
      <c r="BL683" s="2" t="s">
        <v>4304</v>
      </c>
      <c r="BM683" s="7"/>
      <c r="BN683" s="7"/>
      <c r="BO683" s="4"/>
      <c r="BP683" s="8"/>
      <c r="BQ683" s="4"/>
      <c r="BR683" s="8"/>
      <c r="BS683" s="7"/>
      <c r="BT683" s="7"/>
      <c r="BU683" s="2" t="s">
        <v>4305</v>
      </c>
      <c r="BV683" s="2" t="s">
        <v>227</v>
      </c>
      <c r="BW683" s="2" t="s">
        <v>227</v>
      </c>
      <c r="BX683" s="2" t="s">
        <v>235</v>
      </c>
      <c r="BY683" s="2" t="s">
        <v>236</v>
      </c>
      <c r="BZ683" s="2" t="s">
        <v>224</v>
      </c>
      <c r="CA683" s="2" t="s">
        <v>1402</v>
      </c>
      <c r="CB683" s="2" t="s">
        <v>4306</v>
      </c>
      <c r="CC683" s="2" t="s">
        <v>239</v>
      </c>
      <c r="CD683" s="2" t="s">
        <v>227</v>
      </c>
      <c r="CE683" s="4"/>
      <c r="CF683" s="4">
        <v>77</v>
      </c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>
        <v>63</v>
      </c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  <c r="FG683" s="4"/>
      <c r="FH683" s="4"/>
      <c r="FI683" s="4"/>
      <c r="FJ683" s="4"/>
      <c r="FK683" s="4"/>
      <c r="FL683" s="4"/>
      <c r="FM683" s="4"/>
      <c r="FN683" s="4"/>
      <c r="FO683" s="4"/>
      <c r="FP683" s="4"/>
      <c r="FQ683" s="4"/>
      <c r="FR683" s="4"/>
      <c r="FS683" s="4"/>
      <c r="FT683" s="4"/>
      <c r="FU683" s="4"/>
      <c r="FV683" s="4"/>
      <c r="FW683" s="4"/>
      <c r="FX683" s="4"/>
      <c r="FY683" s="4"/>
      <c r="FZ683" s="4"/>
      <c r="GA683" s="4"/>
      <c r="GB683" s="4"/>
      <c r="GC683" s="4"/>
      <c r="GD683" s="4"/>
      <c r="GE683" s="4"/>
      <c r="GF683" s="4"/>
      <c r="GG683" s="4"/>
      <c r="GH683" s="4"/>
      <c r="GI683" s="4"/>
      <c r="GJ683" s="4"/>
      <c r="GK683" s="4"/>
      <c r="GL683" s="4"/>
      <c r="GM683" s="4"/>
      <c r="GN683" s="4"/>
      <c r="GO683" s="4"/>
      <c r="GP683" s="4"/>
      <c r="GQ683" s="4"/>
      <c r="GR683" s="4"/>
      <c r="GS683" s="4"/>
      <c r="GT683" s="4"/>
      <c r="GU683" s="4"/>
      <c r="GV683" s="4"/>
      <c r="GW683" s="4"/>
      <c r="GX683" s="4"/>
    </row>
    <row r="684">
      <c r="A684" s="2" t="s">
        <v>4307</v>
      </c>
      <c r="B684" s="2" t="s">
        <v>697</v>
      </c>
      <c r="C684" s="2" t="s">
        <v>2227</v>
      </c>
      <c r="D684" s="2" t="s">
        <v>1982</v>
      </c>
      <c r="E684" s="2" t="s">
        <v>3093</v>
      </c>
      <c r="F684" s="2" t="s">
        <v>4308</v>
      </c>
      <c r="G684" s="2" t="s">
        <v>4308</v>
      </c>
      <c r="H684" s="2" t="s">
        <v>4308</v>
      </c>
      <c r="I684" s="2" t="s">
        <v>3095</v>
      </c>
      <c r="J684" s="2" t="s">
        <v>873</v>
      </c>
      <c r="K684" s="2" t="s">
        <v>1428</v>
      </c>
      <c r="L684" s="3">
        <v>30.95</v>
      </c>
      <c r="M684" s="3">
        <v>32.5</v>
      </c>
      <c r="N684" s="3">
        <v>64.99</v>
      </c>
      <c r="O684" s="2" t="s">
        <v>224</v>
      </c>
      <c r="P684" s="2" t="s">
        <v>225</v>
      </c>
      <c r="Q684" s="2" t="s">
        <v>226</v>
      </c>
      <c r="R684" s="2" t="s">
        <v>227</v>
      </c>
      <c r="S684" s="2" t="s">
        <v>4309</v>
      </c>
      <c r="T684" s="2" t="s">
        <v>704</v>
      </c>
      <c r="U684" s="2" t="s">
        <v>552</v>
      </c>
      <c r="V684" s="2" t="s">
        <v>230</v>
      </c>
      <c r="W684" s="2" t="s">
        <v>231</v>
      </c>
      <c r="X684" s="2" t="s">
        <v>227</v>
      </c>
      <c r="Y684" s="2" t="s">
        <v>4310</v>
      </c>
      <c r="Z684" s="4">
        <v>1027</v>
      </c>
      <c r="AA684" s="4">
        <f>=ROUNDDOWN(42.7916666666667,0)</f>
      </c>
      <c r="AB684" s="5">
        <v>24</v>
      </c>
      <c r="AC684" s="2" t="s">
        <v>164</v>
      </c>
      <c r="AD684" s="4">
        <v>490</v>
      </c>
      <c r="AE684" s="4">
        <v>490</v>
      </c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227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/>
      <c r="AW684" s="8"/>
      <c r="AX684" s="4"/>
      <c r="AY684" s="8"/>
      <c r="AZ684" s="7"/>
      <c r="BA684" s="7"/>
      <c r="BB684" s="7"/>
      <c r="BC684" s="4" t="s">
        <v>227</v>
      </c>
      <c r="BD684" s="8" t="s">
        <v>227</v>
      </c>
      <c r="BE684" s="4" t="s">
        <v>227</v>
      </c>
      <c r="BF684" s="8" t="s">
        <v>227</v>
      </c>
      <c r="BG684" s="7" t="s">
        <v>227</v>
      </c>
      <c r="BH684" s="7" t="s">
        <v>227</v>
      </c>
      <c r="BI684" s="7"/>
      <c r="BJ684" s="4">
        <v>19</v>
      </c>
      <c r="BK684" s="8">
        <v>657.1</v>
      </c>
      <c r="BL684" s="2" t="s">
        <v>1996</v>
      </c>
      <c r="BM684" s="7"/>
      <c r="BN684" s="7"/>
      <c r="BO684" s="4"/>
      <c r="BP684" s="8"/>
      <c r="BQ684" s="4"/>
      <c r="BR684" s="8"/>
      <c r="BS684" s="7"/>
      <c r="BT684" s="7"/>
      <c r="BU684" s="2" t="s">
        <v>4311</v>
      </c>
      <c r="BV684" s="2" t="s">
        <v>227</v>
      </c>
      <c r="BW684" s="2" t="s">
        <v>227</v>
      </c>
      <c r="BX684" s="2" t="s">
        <v>235</v>
      </c>
      <c r="BY684" s="2" t="s">
        <v>236</v>
      </c>
      <c r="BZ684" s="2" t="s">
        <v>224</v>
      </c>
      <c r="CA684" s="2" t="s">
        <v>3634</v>
      </c>
      <c r="CB684" s="2" t="s">
        <v>4312</v>
      </c>
      <c r="CC684" s="2" t="s">
        <v>239</v>
      </c>
      <c r="CD684" s="2" t="s">
        <v>227</v>
      </c>
      <c r="CE684" s="4">
        <v>1027</v>
      </c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>
        <v>490</v>
      </c>
      <c r="FA684" s="4"/>
      <c r="FB684" s="4"/>
      <c r="FC684" s="4"/>
      <c r="FD684" s="4"/>
      <c r="FE684" s="4"/>
      <c r="FF684" s="4"/>
      <c r="FG684" s="4"/>
      <c r="FH684" s="4"/>
      <c r="FI684" s="4"/>
      <c r="FJ684" s="4"/>
      <c r="FK684" s="4"/>
      <c r="FL684" s="4"/>
      <c r="FM684" s="4"/>
      <c r="FN684" s="4"/>
      <c r="FO684" s="4"/>
      <c r="FP684" s="4"/>
      <c r="FQ684" s="4"/>
      <c r="FR684" s="4"/>
      <c r="FS684" s="4"/>
      <c r="FT684" s="4"/>
      <c r="FU684" s="4"/>
      <c r="FV684" s="4"/>
      <c r="FW684" s="4"/>
      <c r="FX684" s="4"/>
      <c r="FY684" s="4"/>
      <c r="FZ684" s="4"/>
      <c r="GA684" s="4"/>
      <c r="GB684" s="4"/>
      <c r="GC684" s="4"/>
      <c r="GD684" s="4"/>
      <c r="GE684" s="4"/>
      <c r="GF684" s="4"/>
      <c r="GG684" s="4"/>
      <c r="GH684" s="4"/>
      <c r="GI684" s="4"/>
      <c r="GJ684" s="4"/>
      <c r="GK684" s="4"/>
      <c r="GL684" s="4"/>
      <c r="GM684" s="4"/>
      <c r="GN684" s="4"/>
      <c r="GO684" s="4"/>
      <c r="GP684" s="4"/>
      <c r="GQ684" s="4"/>
      <c r="GR684" s="4"/>
      <c r="GS684" s="4"/>
      <c r="GT684" s="4"/>
      <c r="GU684" s="4"/>
      <c r="GV684" s="4"/>
      <c r="GW684" s="4"/>
      <c r="GX684" s="4"/>
    </row>
    <row r="685">
      <c r="A685" s="2" t="s">
        <v>4313</v>
      </c>
      <c r="B685" s="2" t="s">
        <v>697</v>
      </c>
      <c r="C685" s="2" t="s">
        <v>2227</v>
      </c>
      <c r="D685" s="2" t="s">
        <v>1982</v>
      </c>
      <c r="E685" s="2" t="s">
        <v>3093</v>
      </c>
      <c r="F685" s="2" t="s">
        <v>4308</v>
      </c>
      <c r="G685" s="2" t="s">
        <v>4308</v>
      </c>
      <c r="H685" s="2" t="s">
        <v>4308</v>
      </c>
      <c r="I685" s="2" t="s">
        <v>3095</v>
      </c>
      <c r="J685" s="2" t="s">
        <v>873</v>
      </c>
      <c r="K685" s="2" t="s">
        <v>410</v>
      </c>
      <c r="L685" s="3">
        <v>30.95</v>
      </c>
      <c r="M685" s="3">
        <v>32.5</v>
      </c>
      <c r="N685" s="3">
        <v>64.99</v>
      </c>
      <c r="O685" s="2" t="s">
        <v>224</v>
      </c>
      <c r="P685" s="2" t="s">
        <v>225</v>
      </c>
      <c r="Q685" s="2" t="s">
        <v>226</v>
      </c>
      <c r="R685" s="2" t="s">
        <v>227</v>
      </c>
      <c r="S685" s="2" t="s">
        <v>4314</v>
      </c>
      <c r="T685" s="2" t="s">
        <v>704</v>
      </c>
      <c r="U685" s="2" t="s">
        <v>552</v>
      </c>
      <c r="V685" s="2" t="s">
        <v>230</v>
      </c>
      <c r="W685" s="2" t="s">
        <v>231</v>
      </c>
      <c r="X685" s="2" t="s">
        <v>227</v>
      </c>
      <c r="Y685" s="2" t="s">
        <v>4310</v>
      </c>
      <c r="Z685" s="4">
        <v>970</v>
      </c>
      <c r="AA685" s="4">
        <f>=ROUNDDOWN(16.4406779661017,0)</f>
      </c>
      <c r="AB685" s="5">
        <v>59</v>
      </c>
      <c r="AC685" s="2" t="s">
        <v>583</v>
      </c>
      <c r="AD685" s="4">
        <v>460</v>
      </c>
      <c r="AE685" s="4">
        <v>2220</v>
      </c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227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/>
      <c r="AW685" s="8"/>
      <c r="AX685" s="4"/>
      <c r="AY685" s="8"/>
      <c r="AZ685" s="7"/>
      <c r="BA685" s="7"/>
      <c r="BB685" s="7"/>
      <c r="BC685" s="4" t="s">
        <v>227</v>
      </c>
      <c r="BD685" s="8" t="s">
        <v>227</v>
      </c>
      <c r="BE685" s="4" t="s">
        <v>227</v>
      </c>
      <c r="BF685" s="8" t="s">
        <v>227</v>
      </c>
      <c r="BG685" s="7" t="s">
        <v>227</v>
      </c>
      <c r="BH685" s="7" t="s">
        <v>227</v>
      </c>
      <c r="BI685" s="7"/>
      <c r="BJ685" s="4">
        <v>20</v>
      </c>
      <c r="BK685" s="8">
        <v>691.22</v>
      </c>
      <c r="BL685" s="2" t="s">
        <v>1996</v>
      </c>
      <c r="BM685" s="7"/>
      <c r="BN685" s="7"/>
      <c r="BO685" s="4"/>
      <c r="BP685" s="8"/>
      <c r="BQ685" s="4"/>
      <c r="BR685" s="8"/>
      <c r="BS685" s="7"/>
      <c r="BT685" s="7"/>
      <c r="BU685" s="2" t="s">
        <v>4315</v>
      </c>
      <c r="BV685" s="2" t="s">
        <v>227</v>
      </c>
      <c r="BW685" s="2" t="s">
        <v>227</v>
      </c>
      <c r="BX685" s="2" t="s">
        <v>235</v>
      </c>
      <c r="BY685" s="2" t="s">
        <v>236</v>
      </c>
      <c r="BZ685" s="2" t="s">
        <v>224</v>
      </c>
      <c r="CA685" s="2" t="s">
        <v>3634</v>
      </c>
      <c r="CB685" s="2" t="s">
        <v>1919</v>
      </c>
      <c r="CC685" s="2" t="s">
        <v>239</v>
      </c>
      <c r="CD685" s="2" t="s">
        <v>227</v>
      </c>
      <c r="CE685" s="4">
        <v>970</v>
      </c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>
        <v>460</v>
      </c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>
        <v>980</v>
      </c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/>
      <c r="FG685" s="4"/>
      <c r="FH685" s="4"/>
      <c r="FI685" s="4"/>
      <c r="FJ685" s="4"/>
      <c r="FK685" s="4"/>
      <c r="FL685" s="4"/>
      <c r="FM685" s="4"/>
      <c r="FN685" s="4"/>
      <c r="FO685" s="4"/>
      <c r="FP685" s="4"/>
      <c r="FQ685" s="4"/>
      <c r="FR685" s="4"/>
      <c r="FS685" s="4"/>
      <c r="FT685" s="4"/>
      <c r="FU685" s="4"/>
      <c r="FV685" s="4"/>
      <c r="FW685" s="4">
        <v>480</v>
      </c>
      <c r="FX685" s="4"/>
      <c r="FY685" s="4"/>
      <c r="FZ685" s="4"/>
      <c r="GA685" s="4"/>
      <c r="GB685" s="4"/>
      <c r="GC685" s="4"/>
      <c r="GD685" s="4"/>
      <c r="GE685" s="4"/>
      <c r="GF685" s="4"/>
      <c r="GG685" s="4"/>
      <c r="GH685" s="4"/>
      <c r="GI685" s="4"/>
      <c r="GJ685" s="4"/>
      <c r="GK685" s="4"/>
      <c r="GL685" s="4"/>
      <c r="GM685" s="4">
        <v>300</v>
      </c>
      <c r="GN685" s="4"/>
      <c r="GO685" s="4"/>
      <c r="GP685" s="4"/>
      <c r="GQ685" s="4"/>
      <c r="GR685" s="4"/>
      <c r="GS685" s="4"/>
      <c r="GT685" s="4"/>
      <c r="GU685" s="4"/>
      <c r="GV685" s="4"/>
      <c r="GW685" s="4"/>
      <c r="GX685" s="4"/>
    </row>
    <row r="686">
      <c r="A686" s="2" t="s">
        <v>4316</v>
      </c>
      <c r="B686" s="2" t="s">
        <v>573</v>
      </c>
      <c r="C686" s="2" t="s">
        <v>360</v>
      </c>
      <c r="D686" s="2" t="s">
        <v>1515</v>
      </c>
      <c r="E686" s="2" t="s">
        <v>1516</v>
      </c>
      <c r="F686" s="2" t="s">
        <v>4317</v>
      </c>
      <c r="G686" s="2" t="s">
        <v>4318</v>
      </c>
      <c r="H686" s="2" t="s">
        <v>4319</v>
      </c>
      <c r="I686" s="2" t="s">
        <v>4320</v>
      </c>
      <c r="J686" s="2" t="s">
        <v>548</v>
      </c>
      <c r="K686" s="2" t="s">
        <v>1780</v>
      </c>
      <c r="L686" s="3">
        <v>84.15</v>
      </c>
      <c r="M686" s="3">
        <v>88.36</v>
      </c>
      <c r="N686" s="3">
        <v>179</v>
      </c>
      <c r="O686" s="2" t="s">
        <v>224</v>
      </c>
      <c r="P686" s="2" t="s">
        <v>580</v>
      </c>
      <c r="Q686" s="2" t="s">
        <v>226</v>
      </c>
      <c r="R686" s="2" t="s">
        <v>227</v>
      </c>
      <c r="S686" s="2" t="s">
        <v>227</v>
      </c>
      <c r="T686" s="2" t="s">
        <v>227</v>
      </c>
      <c r="U686" s="2" t="s">
        <v>227</v>
      </c>
      <c r="V686" s="2" t="s">
        <v>566</v>
      </c>
      <c r="W686" s="2" t="s">
        <v>581</v>
      </c>
      <c r="X686" s="2" t="s">
        <v>227</v>
      </c>
      <c r="Y686" s="2" t="s">
        <v>4321</v>
      </c>
      <c r="Z686" s="4">
        <v>419</v>
      </c>
      <c r="AA686" s="4">
        <f>=ROUNDDOWN(104.75,0)</f>
      </c>
      <c r="AB686" s="5">
        <v>4</v>
      </c>
      <c r="AC686" s="2" t="s">
        <v>227</v>
      </c>
      <c r="AD686" s="4"/>
      <c r="AE686" s="4"/>
      <c r="AF686" s="6">
        <v>76</v>
      </c>
      <c r="AG686" s="6"/>
      <c r="AH686" s="7">
        <v>1</v>
      </c>
      <c r="AI686" s="4"/>
      <c r="AJ686" s="4">
        <f>=ROUNDDOWN({0},0)</f>
      </c>
      <c r="AK686" s="5"/>
      <c r="AL686" s="2" t="s">
        <v>227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/>
      <c r="AW686" s="8"/>
      <c r="AX686" s="4"/>
      <c r="AY686" s="8"/>
      <c r="AZ686" s="7"/>
      <c r="BA686" s="7"/>
      <c r="BB686" s="7"/>
      <c r="BC686" s="4" t="s">
        <v>227</v>
      </c>
      <c r="BD686" s="8" t="s">
        <v>227</v>
      </c>
      <c r="BE686" s="4" t="s">
        <v>227</v>
      </c>
      <c r="BF686" s="8" t="s">
        <v>227</v>
      </c>
      <c r="BG686" s="7" t="s">
        <v>227</v>
      </c>
      <c r="BH686" s="7" t="s">
        <v>227</v>
      </c>
      <c r="BI686" s="7"/>
      <c r="BJ686" s="4">
        <v>11</v>
      </c>
      <c r="BK686" s="8">
        <v>919.53</v>
      </c>
      <c r="BL686" s="2" t="s">
        <v>4322</v>
      </c>
      <c r="BM686" s="7"/>
      <c r="BN686" s="7"/>
      <c r="BO686" s="4"/>
      <c r="BP686" s="8"/>
      <c r="BQ686" s="4"/>
      <c r="BR686" s="8"/>
      <c r="BS686" s="7"/>
      <c r="BT686" s="7"/>
      <c r="BU686" s="2" t="s">
        <v>4323</v>
      </c>
      <c r="BV686" s="2" t="s">
        <v>227</v>
      </c>
      <c r="BW686" s="2" t="s">
        <v>227</v>
      </c>
      <c r="BX686" s="2" t="s">
        <v>235</v>
      </c>
      <c r="BY686" s="2" t="s">
        <v>236</v>
      </c>
      <c r="BZ686" s="2" t="s">
        <v>224</v>
      </c>
      <c r="CA686" s="2" t="s">
        <v>4324</v>
      </c>
      <c r="CB686" s="2" t="s">
        <v>4325</v>
      </c>
      <c r="CC686" s="2" t="s">
        <v>239</v>
      </c>
      <c r="CD686" s="2" t="s">
        <v>227</v>
      </c>
      <c r="CE686" s="4"/>
      <c r="CF686" s="4">
        <v>419</v>
      </c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/>
      <c r="FG686" s="4"/>
      <c r="FH686" s="4"/>
      <c r="FI686" s="4"/>
      <c r="FJ686" s="4"/>
      <c r="FK686" s="4"/>
      <c r="FL686" s="4"/>
      <c r="FM686" s="4"/>
      <c r="FN686" s="4"/>
      <c r="FO686" s="4"/>
      <c r="FP686" s="4"/>
      <c r="FQ686" s="4"/>
      <c r="FR686" s="4"/>
      <c r="FS686" s="4"/>
      <c r="FT686" s="4"/>
      <c r="FU686" s="4"/>
      <c r="FV686" s="4"/>
      <c r="FW686" s="4"/>
      <c r="FX686" s="4"/>
      <c r="FY686" s="4"/>
      <c r="FZ686" s="4"/>
      <c r="GA686" s="4"/>
      <c r="GB686" s="4"/>
      <c r="GC686" s="4"/>
      <c r="GD686" s="4"/>
      <c r="GE686" s="4"/>
      <c r="GF686" s="4"/>
      <c r="GG686" s="4"/>
      <c r="GH686" s="4"/>
      <c r="GI686" s="4"/>
      <c r="GJ686" s="4"/>
      <c r="GK686" s="4"/>
      <c r="GL686" s="4"/>
      <c r="GM686" s="4"/>
      <c r="GN686" s="4"/>
      <c r="GO686" s="4"/>
      <c r="GP686" s="4"/>
      <c r="GQ686" s="4"/>
      <c r="GR686" s="4"/>
      <c r="GS686" s="4"/>
      <c r="GT686" s="4"/>
      <c r="GU686" s="4"/>
      <c r="GV686" s="4"/>
      <c r="GW686" s="4"/>
      <c r="GX686" s="4"/>
    </row>
    <row r="687">
      <c r="A687" s="2" t="s">
        <v>4326</v>
      </c>
      <c r="B687" s="2" t="s">
        <v>573</v>
      </c>
      <c r="C687" s="2" t="s">
        <v>360</v>
      </c>
      <c r="D687" s="2" t="s">
        <v>1515</v>
      </c>
      <c r="E687" s="2" t="s">
        <v>1516</v>
      </c>
      <c r="F687" s="2" t="s">
        <v>4317</v>
      </c>
      <c r="G687" s="2" t="s">
        <v>4318</v>
      </c>
      <c r="H687" s="2" t="s">
        <v>4319</v>
      </c>
      <c r="I687" s="2" t="s">
        <v>4320</v>
      </c>
      <c r="J687" s="2" t="s">
        <v>548</v>
      </c>
      <c r="K687" s="2" t="s">
        <v>827</v>
      </c>
      <c r="L687" s="3">
        <v>84.15</v>
      </c>
      <c r="M687" s="3">
        <v>88.36</v>
      </c>
      <c r="N687" s="3">
        <v>179</v>
      </c>
      <c r="O687" s="2" t="s">
        <v>224</v>
      </c>
      <c r="P687" s="2" t="s">
        <v>225</v>
      </c>
      <c r="Q687" s="2" t="s">
        <v>226</v>
      </c>
      <c r="R687" s="2" t="s">
        <v>227</v>
      </c>
      <c r="S687" s="2" t="s">
        <v>4327</v>
      </c>
      <c r="T687" s="2" t="s">
        <v>227</v>
      </c>
      <c r="U687" s="2" t="s">
        <v>227</v>
      </c>
      <c r="V687" s="2" t="s">
        <v>230</v>
      </c>
      <c r="W687" s="2" t="s">
        <v>581</v>
      </c>
      <c r="X687" s="2" t="s">
        <v>227</v>
      </c>
      <c r="Y687" s="2" t="s">
        <v>232</v>
      </c>
      <c r="Z687" s="4">
        <v>519</v>
      </c>
      <c r="AA687" s="4">
        <f>=ROUNDDOWN(74.1428571428571,0)</f>
      </c>
      <c r="AB687" s="5">
        <v>7</v>
      </c>
      <c r="AC687" s="2" t="s">
        <v>227</v>
      </c>
      <c r="AD687" s="4"/>
      <c r="AE687" s="4"/>
      <c r="AF687" s="6">
        <v>76</v>
      </c>
      <c r="AG687" s="6"/>
      <c r="AH687" s="7">
        <v>1</v>
      </c>
      <c r="AI687" s="4"/>
      <c r="AJ687" s="4">
        <f>=ROUNDDOWN({0},0)</f>
      </c>
      <c r="AK687" s="5"/>
      <c r="AL687" s="2" t="s">
        <v>227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/>
      <c r="AW687" s="8"/>
      <c r="AX687" s="4"/>
      <c r="AY687" s="8"/>
      <c r="AZ687" s="7"/>
      <c r="BA687" s="7"/>
      <c r="BB687" s="7"/>
      <c r="BC687" s="4" t="s">
        <v>227</v>
      </c>
      <c r="BD687" s="8" t="s">
        <v>227</v>
      </c>
      <c r="BE687" s="4" t="s">
        <v>227</v>
      </c>
      <c r="BF687" s="8" t="s">
        <v>227</v>
      </c>
      <c r="BG687" s="7" t="s">
        <v>227</v>
      </c>
      <c r="BH687" s="7" t="s">
        <v>227</v>
      </c>
      <c r="BI687" s="7"/>
      <c r="BJ687" s="4">
        <v>21</v>
      </c>
      <c r="BK687" s="8">
        <v>1656.46</v>
      </c>
      <c r="BL687" s="2" t="s">
        <v>4328</v>
      </c>
      <c r="BM687" s="7"/>
      <c r="BN687" s="7"/>
      <c r="BO687" s="4"/>
      <c r="BP687" s="8"/>
      <c r="BQ687" s="4"/>
      <c r="BR687" s="8"/>
      <c r="BS687" s="7"/>
      <c r="BT687" s="7"/>
      <c r="BU687" s="2" t="s">
        <v>4329</v>
      </c>
      <c r="BV687" s="2" t="s">
        <v>227</v>
      </c>
      <c r="BW687" s="2" t="s">
        <v>227</v>
      </c>
      <c r="BX687" s="2" t="s">
        <v>235</v>
      </c>
      <c r="BY687" s="2" t="s">
        <v>236</v>
      </c>
      <c r="BZ687" s="2" t="s">
        <v>224</v>
      </c>
      <c r="CA687" s="2" t="s">
        <v>237</v>
      </c>
      <c r="CB687" s="2" t="s">
        <v>4330</v>
      </c>
      <c r="CC687" s="2" t="s">
        <v>239</v>
      </c>
      <c r="CD687" s="2" t="s">
        <v>227</v>
      </c>
      <c r="CE687" s="4"/>
      <c r="CF687" s="4">
        <v>519</v>
      </c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/>
      <c r="FD687" s="4"/>
      <c r="FE687" s="4"/>
      <c r="FF687" s="4"/>
      <c r="FG687" s="4"/>
      <c r="FH687" s="4"/>
      <c r="FI687" s="4"/>
      <c r="FJ687" s="4"/>
      <c r="FK687" s="4"/>
      <c r="FL687" s="4"/>
      <c r="FM687" s="4"/>
      <c r="FN687" s="4"/>
      <c r="FO687" s="4"/>
      <c r="FP687" s="4"/>
      <c r="FQ687" s="4"/>
      <c r="FR687" s="4"/>
      <c r="FS687" s="4"/>
      <c r="FT687" s="4"/>
      <c r="FU687" s="4"/>
      <c r="FV687" s="4"/>
      <c r="FW687" s="4"/>
      <c r="FX687" s="4"/>
      <c r="FY687" s="4"/>
      <c r="FZ687" s="4"/>
      <c r="GA687" s="4"/>
      <c r="GB687" s="4"/>
      <c r="GC687" s="4"/>
      <c r="GD687" s="4"/>
      <c r="GE687" s="4"/>
      <c r="GF687" s="4"/>
      <c r="GG687" s="4"/>
      <c r="GH687" s="4"/>
      <c r="GI687" s="4"/>
      <c r="GJ687" s="4"/>
      <c r="GK687" s="4"/>
      <c r="GL687" s="4"/>
      <c r="GM687" s="4"/>
      <c r="GN687" s="4"/>
      <c r="GO687" s="4"/>
      <c r="GP687" s="4"/>
      <c r="GQ687" s="4"/>
      <c r="GR687" s="4"/>
      <c r="GS687" s="4"/>
      <c r="GT687" s="4"/>
      <c r="GU687" s="4"/>
      <c r="GV687" s="4"/>
      <c r="GW687" s="4"/>
      <c r="GX687" s="4"/>
    </row>
    <row r="688">
      <c r="A688" s="2" t="s">
        <v>4331</v>
      </c>
      <c r="B688" s="2" t="s">
        <v>667</v>
      </c>
      <c r="C688" s="2" t="s">
        <v>360</v>
      </c>
      <c r="D688" s="2" t="s">
        <v>687</v>
      </c>
      <c r="E688" s="2" t="s">
        <v>699</v>
      </c>
      <c r="F688" s="2" t="s">
        <v>4332</v>
      </c>
      <c r="G688" s="2" t="s">
        <v>4333</v>
      </c>
      <c r="H688" s="2" t="s">
        <v>4334</v>
      </c>
      <c r="I688" s="2" t="s">
        <v>4335</v>
      </c>
      <c r="J688" s="2" t="s">
        <v>626</v>
      </c>
      <c r="K688" s="2" t="s">
        <v>627</v>
      </c>
      <c r="L688" s="3">
        <v>63.35</v>
      </c>
      <c r="M688" s="3">
        <v>66.52</v>
      </c>
      <c r="N688" s="3">
        <v>129.99</v>
      </c>
      <c r="O688" s="2" t="s">
        <v>224</v>
      </c>
      <c r="P688" s="2" t="s">
        <v>225</v>
      </c>
      <c r="Q688" s="2" t="s">
        <v>226</v>
      </c>
      <c r="R688" s="2" t="s">
        <v>227</v>
      </c>
      <c r="S688" s="2" t="s">
        <v>4336</v>
      </c>
      <c r="T688" s="2" t="s">
        <v>375</v>
      </c>
      <c r="U688" s="2" t="s">
        <v>523</v>
      </c>
      <c r="V688" s="2" t="s">
        <v>288</v>
      </c>
      <c r="W688" s="2" t="s">
        <v>1045</v>
      </c>
      <c r="X688" s="2" t="s">
        <v>677</v>
      </c>
      <c r="Y688" s="2" t="s">
        <v>4337</v>
      </c>
      <c r="Z688" s="4">
        <v>412</v>
      </c>
      <c r="AA688" s="4">
        <f>=ROUNDDOWN(45.7777777777778,0)</f>
      </c>
      <c r="AB688" s="5">
        <v>9</v>
      </c>
      <c r="AC688" s="2" t="s">
        <v>164</v>
      </c>
      <c r="AD688" s="4">
        <v>200</v>
      </c>
      <c r="AE688" s="4">
        <v>200</v>
      </c>
      <c r="AF688" s="6">
        <v>65</v>
      </c>
      <c r="AG688" s="6"/>
      <c r="AH688" s="7">
        <v>1</v>
      </c>
      <c r="AI688" s="4"/>
      <c r="AJ688" s="4">
        <f>=ROUNDDOWN({0},0)</f>
      </c>
      <c r="AK688" s="5"/>
      <c r="AL688" s="2" t="s">
        <v>227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227</v>
      </c>
      <c r="AW688" s="8" t="s">
        <v>227</v>
      </c>
      <c r="AX688" s="4" t="s">
        <v>227</v>
      </c>
      <c r="AY688" s="8" t="s">
        <v>227</v>
      </c>
      <c r="AZ688" s="7" t="s">
        <v>227</v>
      </c>
      <c r="BA688" s="7" t="s">
        <v>227</v>
      </c>
      <c r="BB688" s="7" t="s">
        <v>227</v>
      </c>
      <c r="BC688" s="4" t="s">
        <v>227</v>
      </c>
      <c r="BD688" s="8" t="s">
        <v>227</v>
      </c>
      <c r="BE688" s="4" t="s">
        <v>227</v>
      </c>
      <c r="BF688" s="8" t="s">
        <v>227</v>
      </c>
      <c r="BG688" s="7" t="s">
        <v>227</v>
      </c>
      <c r="BH688" s="7" t="s">
        <v>227</v>
      </c>
      <c r="BI688" s="7"/>
      <c r="BJ688" s="4">
        <v>20</v>
      </c>
      <c r="BK688" s="8">
        <v>1359.69</v>
      </c>
      <c r="BL688" s="2" t="s">
        <v>4338</v>
      </c>
      <c r="BM688" s="7"/>
      <c r="BN688" s="7"/>
      <c r="BO688" s="4"/>
      <c r="BP688" s="8"/>
      <c r="BQ688" s="4"/>
      <c r="BR688" s="8"/>
      <c r="BS688" s="7"/>
      <c r="BT688" s="7"/>
      <c r="BU688" s="2" t="s">
        <v>4339</v>
      </c>
      <c r="BV688" s="2" t="s">
        <v>227</v>
      </c>
      <c r="BW688" s="2" t="s">
        <v>227</v>
      </c>
      <c r="BX688" s="2" t="s">
        <v>235</v>
      </c>
      <c r="BY688" s="2" t="s">
        <v>236</v>
      </c>
      <c r="BZ688" s="2" t="s">
        <v>224</v>
      </c>
      <c r="CA688" s="2" t="s">
        <v>3881</v>
      </c>
      <c r="CB688" s="2" t="s">
        <v>4340</v>
      </c>
      <c r="CC688" s="2" t="s">
        <v>239</v>
      </c>
      <c r="CD688" s="2" t="s">
        <v>227</v>
      </c>
      <c r="CE688" s="4">
        <v>412</v>
      </c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>
        <v>200</v>
      </c>
      <c r="FA688" s="4"/>
      <c r="FB688" s="4"/>
      <c r="FC688" s="4"/>
      <c r="FD688" s="4"/>
      <c r="FE688" s="4"/>
      <c r="FF688" s="4"/>
      <c r="FG688" s="4"/>
      <c r="FH688" s="4"/>
      <c r="FI688" s="4"/>
      <c r="FJ688" s="4"/>
      <c r="FK688" s="4"/>
      <c r="FL688" s="4"/>
      <c r="FM688" s="4"/>
      <c r="FN688" s="4"/>
      <c r="FO688" s="4"/>
      <c r="FP688" s="4"/>
      <c r="FQ688" s="4"/>
      <c r="FR688" s="4"/>
      <c r="FS688" s="4"/>
      <c r="FT688" s="4"/>
      <c r="FU688" s="4"/>
      <c r="FV688" s="4"/>
      <c r="FW688" s="4"/>
      <c r="FX688" s="4"/>
      <c r="FY688" s="4"/>
      <c r="FZ688" s="4"/>
      <c r="GA688" s="4"/>
      <c r="GB688" s="4"/>
      <c r="GC688" s="4"/>
      <c r="GD688" s="4"/>
      <c r="GE688" s="4"/>
      <c r="GF688" s="4"/>
      <c r="GG688" s="4"/>
      <c r="GH688" s="4"/>
      <c r="GI688" s="4"/>
      <c r="GJ688" s="4"/>
      <c r="GK688" s="4"/>
      <c r="GL688" s="4"/>
      <c r="GM688" s="4"/>
      <c r="GN688" s="4"/>
      <c r="GO688" s="4"/>
      <c r="GP688" s="4"/>
      <c r="GQ688" s="4"/>
      <c r="GR688" s="4"/>
      <c r="GS688" s="4"/>
      <c r="GT688" s="4"/>
      <c r="GU688" s="4"/>
      <c r="GV688" s="4"/>
      <c r="GW688" s="4"/>
      <c r="GX688" s="4"/>
    </row>
    <row r="689">
      <c r="A689" s="2" t="s">
        <v>4341</v>
      </c>
      <c r="B689" s="2" t="s">
        <v>667</v>
      </c>
      <c r="C689" s="2" t="s">
        <v>360</v>
      </c>
      <c r="D689" s="2" t="s">
        <v>1652</v>
      </c>
      <c r="E689" s="2" t="s">
        <v>1653</v>
      </c>
      <c r="F689" s="2" t="s">
        <v>4332</v>
      </c>
      <c r="G689" s="2" t="s">
        <v>4333</v>
      </c>
      <c r="H689" s="2" t="s">
        <v>4334</v>
      </c>
      <c r="I689" s="2" t="s">
        <v>4342</v>
      </c>
      <c r="J689" s="2" t="s">
        <v>626</v>
      </c>
      <c r="K689" s="2" t="s">
        <v>627</v>
      </c>
      <c r="L689" s="3">
        <v>52.92</v>
      </c>
      <c r="M689" s="3">
        <v>55.57</v>
      </c>
      <c r="N689" s="3">
        <v>109.99</v>
      </c>
      <c r="O689" s="2" t="s">
        <v>224</v>
      </c>
      <c r="P689" s="2" t="s">
        <v>225</v>
      </c>
      <c r="Q689" s="2" t="s">
        <v>226</v>
      </c>
      <c r="R689" s="2" t="s">
        <v>227</v>
      </c>
      <c r="S689" s="2" t="s">
        <v>4343</v>
      </c>
      <c r="T689" s="2" t="s">
        <v>375</v>
      </c>
      <c r="U689" s="2" t="s">
        <v>594</v>
      </c>
      <c r="V689" s="2" t="s">
        <v>288</v>
      </c>
      <c r="W689" s="2" t="s">
        <v>1045</v>
      </c>
      <c r="X689" s="2" t="s">
        <v>677</v>
      </c>
      <c r="Y689" s="2" t="s">
        <v>4344</v>
      </c>
      <c r="Z689" s="4">
        <v>202</v>
      </c>
      <c r="AA689" s="4">
        <f>=ROUNDDOWN(25.25,0)</f>
      </c>
      <c r="AB689" s="5">
        <v>8</v>
      </c>
      <c r="AC689" s="2" t="s">
        <v>164</v>
      </c>
      <c r="AD689" s="4">
        <v>200</v>
      </c>
      <c r="AE689" s="4">
        <v>200</v>
      </c>
      <c r="AF689" s="6">
        <v>65</v>
      </c>
      <c r="AG689" s="6"/>
      <c r="AH689" s="7">
        <v>1</v>
      </c>
      <c r="AI689" s="4"/>
      <c r="AJ689" s="4">
        <f>=ROUNDDOWN({0},0)</f>
      </c>
      <c r="AK689" s="5"/>
      <c r="AL689" s="2" t="s">
        <v>227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 t="s">
        <v>227</v>
      </c>
      <c r="AW689" s="8" t="s">
        <v>227</v>
      </c>
      <c r="AX689" s="4" t="s">
        <v>227</v>
      </c>
      <c r="AY689" s="8" t="s">
        <v>227</v>
      </c>
      <c r="AZ689" s="7" t="s">
        <v>227</v>
      </c>
      <c r="BA689" s="7" t="s">
        <v>227</v>
      </c>
      <c r="BB689" s="7" t="s">
        <v>227</v>
      </c>
      <c r="BC689" s="4" t="s">
        <v>227</v>
      </c>
      <c r="BD689" s="8" t="s">
        <v>227</v>
      </c>
      <c r="BE689" s="4" t="s">
        <v>227</v>
      </c>
      <c r="BF689" s="8" t="s">
        <v>227</v>
      </c>
      <c r="BG689" s="7" t="s">
        <v>227</v>
      </c>
      <c r="BH689" s="7" t="s">
        <v>227</v>
      </c>
      <c r="BI689" s="7"/>
      <c r="BJ689" s="4">
        <v>9</v>
      </c>
      <c r="BK689" s="8">
        <v>555.86</v>
      </c>
      <c r="BL689" s="2" t="s">
        <v>4345</v>
      </c>
      <c r="BM689" s="7"/>
      <c r="BN689" s="7"/>
      <c r="BO689" s="4"/>
      <c r="BP689" s="8"/>
      <c r="BQ689" s="4"/>
      <c r="BR689" s="8"/>
      <c r="BS689" s="7"/>
      <c r="BT689" s="7"/>
      <c r="BU689" s="2" t="s">
        <v>4346</v>
      </c>
      <c r="BV689" s="2" t="s">
        <v>227</v>
      </c>
      <c r="BW689" s="2" t="s">
        <v>227</v>
      </c>
      <c r="BX689" s="2" t="s">
        <v>235</v>
      </c>
      <c r="BY689" s="2" t="s">
        <v>236</v>
      </c>
      <c r="BZ689" s="2" t="s">
        <v>224</v>
      </c>
      <c r="CA689" s="2" t="s">
        <v>3881</v>
      </c>
      <c r="CB689" s="2" t="s">
        <v>4347</v>
      </c>
      <c r="CC689" s="2" t="s">
        <v>239</v>
      </c>
      <c r="CD689" s="2" t="s">
        <v>227</v>
      </c>
      <c r="CE689" s="4">
        <v>202</v>
      </c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>
        <v>200</v>
      </c>
      <c r="FA689" s="4"/>
      <c r="FB689" s="4"/>
      <c r="FC689" s="4"/>
      <c r="FD689" s="4"/>
      <c r="FE689" s="4"/>
      <c r="FF689" s="4"/>
      <c r="FG689" s="4"/>
      <c r="FH689" s="4"/>
      <c r="FI689" s="4"/>
      <c r="FJ689" s="4"/>
      <c r="FK689" s="4"/>
      <c r="FL689" s="4"/>
      <c r="FM689" s="4"/>
      <c r="FN689" s="4"/>
      <c r="FO689" s="4"/>
      <c r="FP689" s="4"/>
      <c r="FQ689" s="4"/>
      <c r="FR689" s="4"/>
      <c r="FS689" s="4"/>
      <c r="FT689" s="4"/>
      <c r="FU689" s="4"/>
      <c r="FV689" s="4"/>
      <c r="FW689" s="4"/>
      <c r="FX689" s="4"/>
      <c r="FY689" s="4"/>
      <c r="FZ689" s="4"/>
      <c r="GA689" s="4"/>
      <c r="GB689" s="4"/>
      <c r="GC689" s="4"/>
      <c r="GD689" s="4"/>
      <c r="GE689" s="4"/>
      <c r="GF689" s="4"/>
      <c r="GG689" s="4"/>
      <c r="GH689" s="4"/>
      <c r="GI689" s="4"/>
      <c r="GJ689" s="4"/>
      <c r="GK689" s="4"/>
      <c r="GL689" s="4"/>
      <c r="GM689" s="4"/>
      <c r="GN689" s="4"/>
      <c r="GO689" s="4"/>
      <c r="GP689" s="4"/>
      <c r="GQ689" s="4"/>
      <c r="GR689" s="4"/>
      <c r="GS689" s="4"/>
      <c r="GT689" s="4"/>
      <c r="GU689" s="4"/>
      <c r="GV689" s="4"/>
      <c r="GW689" s="4"/>
      <c r="GX689" s="4"/>
    </row>
    <row r="690">
      <c r="A690" s="2" t="s">
        <v>4348</v>
      </c>
      <c r="B690" s="2" t="s">
        <v>542</v>
      </c>
      <c r="C690" s="2" t="s">
        <v>515</v>
      </c>
      <c r="D690" s="2" t="s">
        <v>561</v>
      </c>
      <c r="E690" s="2" t="s">
        <v>562</v>
      </c>
      <c r="F690" s="2" t="s">
        <v>4349</v>
      </c>
      <c r="G690" s="2" t="s">
        <v>4349</v>
      </c>
      <c r="H690" s="2" t="s">
        <v>4349</v>
      </c>
      <c r="I690" s="2" t="s">
        <v>4350</v>
      </c>
      <c r="J690" s="2" t="s">
        <v>4351</v>
      </c>
      <c r="K690" s="2" t="s">
        <v>565</v>
      </c>
      <c r="L690" s="3">
        <v>104.91</v>
      </c>
      <c r="M690" s="3">
        <v>110.16</v>
      </c>
      <c r="N690" s="3">
        <v>229.49</v>
      </c>
      <c r="O690" s="2" t="s">
        <v>224</v>
      </c>
      <c r="P690" s="2" t="s">
        <v>225</v>
      </c>
      <c r="Q690" s="2" t="s">
        <v>226</v>
      </c>
      <c r="R690" s="2" t="s">
        <v>227</v>
      </c>
      <c r="S690" s="2" t="s">
        <v>4352</v>
      </c>
      <c r="T690" s="2" t="s">
        <v>227</v>
      </c>
      <c r="U690" s="2" t="s">
        <v>674</v>
      </c>
      <c r="V690" s="2" t="s">
        <v>230</v>
      </c>
      <c r="W690" s="2" t="s">
        <v>836</v>
      </c>
      <c r="X690" s="2" t="s">
        <v>487</v>
      </c>
      <c r="Y690" s="2" t="s">
        <v>4353</v>
      </c>
      <c r="Z690" s="4">
        <v>2</v>
      </c>
      <c r="AA690" s="4">
        <f>=ROUNDDOWN(0.769230769230769,0)</f>
      </c>
      <c r="AB690" s="5">
        <v>2.6</v>
      </c>
      <c r="AC690" s="2" t="s">
        <v>163</v>
      </c>
      <c r="AD690" s="4">
        <v>60</v>
      </c>
      <c r="AE690" s="4">
        <v>60</v>
      </c>
      <c r="AF690" s="6">
        <v>65</v>
      </c>
      <c r="AG690" s="6"/>
      <c r="AH690" s="7">
        <v>0.9355</v>
      </c>
      <c r="AI690" s="4"/>
      <c r="AJ690" s="4">
        <f>=ROUNDDOWN({0},0)</f>
      </c>
      <c r="AK690" s="5"/>
      <c r="AL690" s="2" t="s">
        <v>227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227</v>
      </c>
      <c r="AW690" s="8" t="s">
        <v>227</v>
      </c>
      <c r="AX690" s="4" t="s">
        <v>227</v>
      </c>
      <c r="AY690" s="8" t="s">
        <v>227</v>
      </c>
      <c r="AZ690" s="7" t="s">
        <v>227</v>
      </c>
      <c r="BA690" s="7" t="s">
        <v>227</v>
      </c>
      <c r="BB690" s="7"/>
      <c r="BC690" s="4" t="s">
        <v>227</v>
      </c>
      <c r="BD690" s="8" t="s">
        <v>227</v>
      </c>
      <c r="BE690" s="4" t="s">
        <v>227</v>
      </c>
      <c r="BF690" s="8" t="s">
        <v>227</v>
      </c>
      <c r="BG690" s="7" t="s">
        <v>227</v>
      </c>
      <c r="BH690" s="7" t="s">
        <v>227</v>
      </c>
      <c r="BI690" s="7"/>
      <c r="BJ690" s="4">
        <v>15</v>
      </c>
      <c r="BK690" s="8">
        <v>1676.72</v>
      </c>
      <c r="BL690" s="2" t="s">
        <v>4354</v>
      </c>
      <c r="BM690" s="7"/>
      <c r="BN690" s="7"/>
      <c r="BO690" s="4"/>
      <c r="BP690" s="8"/>
      <c r="BQ690" s="4"/>
      <c r="BR690" s="8"/>
      <c r="BS690" s="7"/>
      <c r="BT690" s="7"/>
      <c r="BU690" s="2" t="s">
        <v>4355</v>
      </c>
      <c r="BV690" s="2" t="s">
        <v>227</v>
      </c>
      <c r="BW690" s="2" t="s">
        <v>227</v>
      </c>
      <c r="BX690" s="2" t="s">
        <v>711</v>
      </c>
      <c r="BY690" s="2" t="s">
        <v>236</v>
      </c>
      <c r="BZ690" s="2" t="s">
        <v>224</v>
      </c>
      <c r="CA690" s="2" t="s">
        <v>4356</v>
      </c>
      <c r="CB690" s="2" t="s">
        <v>4357</v>
      </c>
      <c r="CC690" s="2" t="s">
        <v>239</v>
      </c>
      <c r="CD690" s="2" t="s">
        <v>227</v>
      </c>
      <c r="CE690" s="4"/>
      <c r="CF690" s="4">
        <v>2</v>
      </c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>
        <v>60</v>
      </c>
      <c r="EZ690" s="4"/>
      <c r="FA690" s="4"/>
      <c r="FB690" s="4"/>
      <c r="FC690" s="4"/>
      <c r="FD690" s="4"/>
      <c r="FE690" s="4"/>
      <c r="FF690" s="4"/>
      <c r="FG690" s="4"/>
      <c r="FH690" s="4"/>
      <c r="FI690" s="4"/>
      <c r="FJ690" s="4"/>
      <c r="FK690" s="4"/>
      <c r="FL690" s="4"/>
      <c r="FM690" s="4"/>
      <c r="FN690" s="4"/>
      <c r="FO690" s="4"/>
      <c r="FP690" s="4"/>
      <c r="FQ690" s="4"/>
      <c r="FR690" s="4"/>
      <c r="FS690" s="4"/>
      <c r="FT690" s="4"/>
      <c r="FU690" s="4"/>
      <c r="FV690" s="4"/>
      <c r="FW690" s="4"/>
      <c r="FX690" s="4"/>
      <c r="FY690" s="4"/>
      <c r="FZ690" s="4"/>
      <c r="GA690" s="4"/>
      <c r="GB690" s="4"/>
      <c r="GC690" s="4"/>
      <c r="GD690" s="4"/>
      <c r="GE690" s="4"/>
      <c r="GF690" s="4"/>
      <c r="GG690" s="4"/>
      <c r="GH690" s="4"/>
      <c r="GI690" s="4"/>
      <c r="GJ690" s="4"/>
      <c r="GK690" s="4"/>
      <c r="GL690" s="4"/>
      <c r="GM690" s="4"/>
      <c r="GN690" s="4"/>
      <c r="GO690" s="4"/>
      <c r="GP690" s="4"/>
      <c r="GQ690" s="4"/>
      <c r="GR690" s="4"/>
      <c r="GS690" s="4"/>
      <c r="GT690" s="4"/>
      <c r="GU690" s="4"/>
      <c r="GV690" s="4"/>
      <c r="GW690" s="4"/>
      <c r="GX690" s="4"/>
    </row>
    <row r="691">
      <c r="A691" s="2" t="s">
        <v>4358</v>
      </c>
      <c r="B691" s="2" t="s">
        <v>542</v>
      </c>
      <c r="C691" s="2" t="s">
        <v>515</v>
      </c>
      <c r="D691" s="2" t="s">
        <v>561</v>
      </c>
      <c r="E691" s="2" t="s">
        <v>2785</v>
      </c>
      <c r="F691" s="2" t="s">
        <v>4349</v>
      </c>
      <c r="G691" s="2" t="s">
        <v>4349</v>
      </c>
      <c r="H691" s="2" t="s">
        <v>4349</v>
      </c>
      <c r="I691" s="2" t="s">
        <v>4359</v>
      </c>
      <c r="J691" s="2" t="s">
        <v>4360</v>
      </c>
      <c r="K691" s="2" t="s">
        <v>565</v>
      </c>
      <c r="L691" s="3">
        <v>74.11</v>
      </c>
      <c r="M691" s="3">
        <v>77.82</v>
      </c>
      <c r="N691" s="3">
        <v>141.94</v>
      </c>
      <c r="O691" s="2" t="s">
        <v>224</v>
      </c>
      <c r="P691" s="2" t="s">
        <v>530</v>
      </c>
      <c r="Q691" s="2" t="s">
        <v>226</v>
      </c>
      <c r="R691" s="2" t="s">
        <v>227</v>
      </c>
      <c r="S691" s="2" t="s">
        <v>227</v>
      </c>
      <c r="T691" s="2" t="s">
        <v>227</v>
      </c>
      <c r="U691" s="2" t="s">
        <v>552</v>
      </c>
      <c r="V691" s="2" t="s">
        <v>877</v>
      </c>
      <c r="W691" s="2" t="s">
        <v>836</v>
      </c>
      <c r="X691" s="2" t="s">
        <v>487</v>
      </c>
      <c r="Y691" s="2" t="s">
        <v>4361</v>
      </c>
      <c r="Z691" s="4">
        <v>401</v>
      </c>
      <c r="AA691" s="4">
        <f>=ROUNDDOWN(13.3666666666667,0)</f>
      </c>
      <c r="AB691" s="5">
        <v>30</v>
      </c>
      <c r="AC691" s="2" t="s">
        <v>159</v>
      </c>
      <c r="AD691" s="4">
        <v>310</v>
      </c>
      <c r="AE691" s="4">
        <v>530</v>
      </c>
      <c r="AF691" s="6">
        <v>65</v>
      </c>
      <c r="AG691" s="6">
        <v>48</v>
      </c>
      <c r="AH691" s="7">
        <v>1</v>
      </c>
      <c r="AI691" s="4"/>
      <c r="AJ691" s="4">
        <f>=ROUNDDOWN({0},0)</f>
      </c>
      <c r="AK691" s="5"/>
      <c r="AL691" s="2" t="s">
        <v>227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227</v>
      </c>
      <c r="AW691" s="8" t="s">
        <v>227</v>
      </c>
      <c r="AX691" s="4" t="s">
        <v>227</v>
      </c>
      <c r="AY691" s="8" t="s">
        <v>227</v>
      </c>
      <c r="AZ691" s="7" t="s">
        <v>227</v>
      </c>
      <c r="BA691" s="7" t="s">
        <v>227</v>
      </c>
      <c r="BB691" s="7"/>
      <c r="BC691" s="4" t="s">
        <v>227</v>
      </c>
      <c r="BD691" s="8" t="s">
        <v>227</v>
      </c>
      <c r="BE691" s="4" t="s">
        <v>227</v>
      </c>
      <c r="BF691" s="8" t="s">
        <v>227</v>
      </c>
      <c r="BG691" s="7" t="s">
        <v>227</v>
      </c>
      <c r="BH691" s="7" t="s">
        <v>227</v>
      </c>
      <c r="BI691" s="7"/>
      <c r="BJ691" s="4">
        <v>202</v>
      </c>
      <c r="BK691" s="8">
        <v>14988.49</v>
      </c>
      <c r="BL691" s="2" t="s">
        <v>4362</v>
      </c>
      <c r="BM691" s="7"/>
      <c r="BN691" s="7"/>
      <c r="BO691" s="4"/>
      <c r="BP691" s="8"/>
      <c r="BQ691" s="4"/>
      <c r="BR691" s="8"/>
      <c r="BS691" s="7"/>
      <c r="BT691" s="7"/>
      <c r="BU691" s="2" t="s">
        <v>4363</v>
      </c>
      <c r="BV691" s="2" t="s">
        <v>227</v>
      </c>
      <c r="BW691" s="2" t="s">
        <v>227</v>
      </c>
      <c r="BX691" s="2" t="s">
        <v>4364</v>
      </c>
      <c r="BY691" s="2" t="s">
        <v>236</v>
      </c>
      <c r="BZ691" s="2" t="s">
        <v>224</v>
      </c>
      <c r="CA691" s="2" t="s">
        <v>4365</v>
      </c>
      <c r="CB691" s="2" t="s">
        <v>4366</v>
      </c>
      <c r="CC691" s="2" t="s">
        <v>239</v>
      </c>
      <c r="CD691" s="2" t="s">
        <v>227</v>
      </c>
      <c r="CE691" s="4"/>
      <c r="CF691" s="4">
        <v>401</v>
      </c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>
        <v>310</v>
      </c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>
        <v>220</v>
      </c>
      <c r="FG691" s="4"/>
      <c r="FH691" s="4"/>
      <c r="FI691" s="4"/>
      <c r="FJ691" s="4"/>
      <c r="FK691" s="4"/>
      <c r="FL691" s="4"/>
      <c r="FM691" s="4"/>
      <c r="FN691" s="4"/>
      <c r="FO691" s="4"/>
      <c r="FP691" s="4"/>
      <c r="FQ691" s="4"/>
      <c r="FR691" s="4"/>
      <c r="FS691" s="4"/>
      <c r="FT691" s="4"/>
      <c r="FU691" s="4"/>
      <c r="FV691" s="4"/>
      <c r="FW691" s="4"/>
      <c r="FX691" s="4"/>
      <c r="FY691" s="4"/>
      <c r="FZ691" s="4"/>
      <c r="GA691" s="4"/>
      <c r="GB691" s="4"/>
      <c r="GC691" s="4"/>
      <c r="GD691" s="4"/>
      <c r="GE691" s="4"/>
      <c r="GF691" s="4"/>
      <c r="GG691" s="4"/>
      <c r="GH691" s="4"/>
      <c r="GI691" s="4"/>
      <c r="GJ691" s="4"/>
      <c r="GK691" s="4"/>
      <c r="GL691" s="4"/>
      <c r="GM691" s="4"/>
      <c r="GN691" s="4"/>
      <c r="GO691" s="4"/>
      <c r="GP691" s="4"/>
      <c r="GQ691" s="4"/>
      <c r="GR691" s="4"/>
      <c r="GS691" s="4"/>
      <c r="GT691" s="4"/>
      <c r="GU691" s="4"/>
      <c r="GV691" s="4"/>
      <c r="GW691" s="4"/>
      <c r="GX691" s="4"/>
    </row>
    <row r="692">
      <c r="A692" s="2" t="s">
        <v>4367</v>
      </c>
      <c r="B692" s="2" t="s">
        <v>542</v>
      </c>
      <c r="C692" s="2" t="s">
        <v>515</v>
      </c>
      <c r="D692" s="2" t="s">
        <v>561</v>
      </c>
      <c r="E692" s="2" t="s">
        <v>2785</v>
      </c>
      <c r="F692" s="2" t="s">
        <v>4349</v>
      </c>
      <c r="G692" s="2" t="s">
        <v>4349</v>
      </c>
      <c r="H692" s="2" t="s">
        <v>4349</v>
      </c>
      <c r="I692" s="2" t="s">
        <v>4368</v>
      </c>
      <c r="J692" s="2" t="s">
        <v>4369</v>
      </c>
      <c r="K692" s="2" t="s">
        <v>565</v>
      </c>
      <c r="L692" s="3">
        <v>111.24</v>
      </c>
      <c r="M692" s="3">
        <v>116.8</v>
      </c>
      <c r="N692" s="3">
        <v>209.94</v>
      </c>
      <c r="O692" s="2" t="s">
        <v>224</v>
      </c>
      <c r="P692" s="2" t="s">
        <v>530</v>
      </c>
      <c r="Q692" s="2" t="s">
        <v>226</v>
      </c>
      <c r="R692" s="2" t="s">
        <v>227</v>
      </c>
      <c r="S692" s="2" t="s">
        <v>4352</v>
      </c>
      <c r="T692" s="2" t="s">
        <v>227</v>
      </c>
      <c r="U692" s="2" t="s">
        <v>552</v>
      </c>
      <c r="V692" s="2" t="s">
        <v>877</v>
      </c>
      <c r="W692" s="2" t="s">
        <v>836</v>
      </c>
      <c r="X692" s="2" t="s">
        <v>487</v>
      </c>
      <c r="Y692" s="2" t="s">
        <v>2619</v>
      </c>
      <c r="Z692" s="4">
        <v>200</v>
      </c>
      <c r="AA692" s="4">
        <f>=ROUNDDOWN(3.63636363636364,0)</f>
      </c>
      <c r="AB692" s="5">
        <v>55</v>
      </c>
      <c r="AC692" s="2" t="s">
        <v>3326</v>
      </c>
      <c r="AD692" s="4">
        <v>250</v>
      </c>
      <c r="AE692" s="4">
        <v>1610</v>
      </c>
      <c r="AF692" s="6">
        <v>65</v>
      </c>
      <c r="AG692" s="6">
        <v>48</v>
      </c>
      <c r="AH692" s="7">
        <v>1</v>
      </c>
      <c r="AI692" s="4"/>
      <c r="AJ692" s="4">
        <f>=ROUNDDOWN({0},0)</f>
      </c>
      <c r="AK692" s="5"/>
      <c r="AL692" s="2" t="s">
        <v>227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227</v>
      </c>
      <c r="AW692" s="8" t="s">
        <v>227</v>
      </c>
      <c r="AX692" s="4" t="s">
        <v>227</v>
      </c>
      <c r="AY692" s="8" t="s">
        <v>227</v>
      </c>
      <c r="AZ692" s="7" t="s">
        <v>227</v>
      </c>
      <c r="BA692" s="7" t="s">
        <v>227</v>
      </c>
      <c r="BB692" s="7"/>
      <c r="BC692" s="4" t="s">
        <v>227</v>
      </c>
      <c r="BD692" s="8" t="s">
        <v>227</v>
      </c>
      <c r="BE692" s="4" t="s">
        <v>227</v>
      </c>
      <c r="BF692" s="8" t="s">
        <v>227</v>
      </c>
      <c r="BG692" s="7" t="s">
        <v>227</v>
      </c>
      <c r="BH692" s="7" t="s">
        <v>227</v>
      </c>
      <c r="BI692" s="7"/>
      <c r="BJ692" s="4">
        <v>180</v>
      </c>
      <c r="BK692" s="8">
        <v>19830.82</v>
      </c>
      <c r="BL692" s="2" t="s">
        <v>4370</v>
      </c>
      <c r="BM692" s="7"/>
      <c r="BN692" s="7"/>
      <c r="BO692" s="4"/>
      <c r="BP692" s="8"/>
      <c r="BQ692" s="4"/>
      <c r="BR692" s="8"/>
      <c r="BS692" s="7"/>
      <c r="BT692" s="7"/>
      <c r="BU692" s="2" t="s">
        <v>4371</v>
      </c>
      <c r="BV692" s="2" t="s">
        <v>227</v>
      </c>
      <c r="BW692" s="2" t="s">
        <v>227</v>
      </c>
      <c r="BX692" s="2" t="s">
        <v>4364</v>
      </c>
      <c r="BY692" s="2" t="s">
        <v>236</v>
      </c>
      <c r="BZ692" s="2" t="s">
        <v>224</v>
      </c>
      <c r="CA692" s="2" t="s">
        <v>4372</v>
      </c>
      <c r="CB692" s="2" t="s">
        <v>2076</v>
      </c>
      <c r="CC692" s="2" t="s">
        <v>239</v>
      </c>
      <c r="CD692" s="2" t="s">
        <v>227</v>
      </c>
      <c r="CE692" s="4"/>
      <c r="CF692" s="4">
        <v>200</v>
      </c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>
        <v>250</v>
      </c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>
        <v>360</v>
      </c>
      <c r="ER692" s="4"/>
      <c r="ES692" s="4"/>
      <c r="ET692" s="4"/>
      <c r="EU692" s="4">
        <v>650</v>
      </c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>
        <v>200</v>
      </c>
      <c r="FG692" s="4"/>
      <c r="FH692" s="4"/>
      <c r="FI692" s="4">
        <v>150</v>
      </c>
      <c r="FJ692" s="4"/>
      <c r="FK692" s="4"/>
      <c r="FL692" s="4"/>
      <c r="FM692" s="4"/>
      <c r="FN692" s="4"/>
      <c r="FO692" s="4"/>
      <c r="FP692" s="4"/>
      <c r="FQ692" s="4"/>
      <c r="FR692" s="4"/>
      <c r="FS692" s="4"/>
      <c r="FT692" s="4"/>
      <c r="FU692" s="4"/>
      <c r="FV692" s="4"/>
      <c r="FW692" s="4"/>
      <c r="FX692" s="4"/>
      <c r="FY692" s="4"/>
      <c r="FZ692" s="4"/>
      <c r="GA692" s="4"/>
      <c r="GB692" s="4"/>
      <c r="GC692" s="4"/>
      <c r="GD692" s="4"/>
      <c r="GE692" s="4"/>
      <c r="GF692" s="4"/>
      <c r="GG692" s="4"/>
      <c r="GH692" s="4"/>
      <c r="GI692" s="4"/>
      <c r="GJ692" s="4"/>
      <c r="GK692" s="4"/>
      <c r="GL692" s="4"/>
      <c r="GM692" s="4"/>
      <c r="GN692" s="4"/>
      <c r="GO692" s="4"/>
      <c r="GP692" s="4"/>
      <c r="GQ692" s="4"/>
      <c r="GR692" s="4"/>
      <c r="GS692" s="4"/>
      <c r="GT692" s="4"/>
      <c r="GU692" s="4"/>
      <c r="GV692" s="4"/>
      <c r="GW692" s="4"/>
      <c r="GX692" s="4"/>
    </row>
    <row r="693">
      <c r="A693" s="2" t="s">
        <v>4373</v>
      </c>
      <c r="B693" s="2" t="s">
        <v>542</v>
      </c>
      <c r="C693" s="2" t="s">
        <v>515</v>
      </c>
      <c r="D693" s="2" t="s">
        <v>561</v>
      </c>
      <c r="E693" s="2" t="s">
        <v>2785</v>
      </c>
      <c r="F693" s="2" t="s">
        <v>4349</v>
      </c>
      <c r="G693" s="2" t="s">
        <v>4349</v>
      </c>
      <c r="H693" s="2" t="s">
        <v>4349</v>
      </c>
      <c r="I693" s="2" t="s">
        <v>4359</v>
      </c>
      <c r="J693" s="2" t="s">
        <v>4360</v>
      </c>
      <c r="K693" s="2" t="s">
        <v>536</v>
      </c>
      <c r="L693" s="3">
        <v>74.11</v>
      </c>
      <c r="M693" s="3">
        <v>77.82</v>
      </c>
      <c r="N693" s="3">
        <v>141.94</v>
      </c>
      <c r="O693" s="2" t="s">
        <v>224</v>
      </c>
      <c r="P693" s="2" t="s">
        <v>550</v>
      </c>
      <c r="Q693" s="2" t="s">
        <v>226</v>
      </c>
      <c r="R693" s="2" t="s">
        <v>227</v>
      </c>
      <c r="S693" s="2" t="s">
        <v>227</v>
      </c>
      <c r="T693" s="2" t="s">
        <v>227</v>
      </c>
      <c r="U693" s="2" t="s">
        <v>552</v>
      </c>
      <c r="V693" s="2" t="s">
        <v>877</v>
      </c>
      <c r="W693" s="2" t="s">
        <v>836</v>
      </c>
      <c r="X693" s="2" t="s">
        <v>487</v>
      </c>
      <c r="Y693" s="2" t="s">
        <v>4361</v>
      </c>
      <c r="Z693" s="4">
        <v>182</v>
      </c>
      <c r="AA693" s="4">
        <f>=ROUNDDOWN(15.1666666666667,0)</f>
      </c>
      <c r="AB693" s="5">
        <v>12</v>
      </c>
      <c r="AC693" s="2" t="s">
        <v>159</v>
      </c>
      <c r="AD693" s="4">
        <v>150</v>
      </c>
      <c r="AE693" s="4">
        <v>260</v>
      </c>
      <c r="AF693" s="6">
        <v>65</v>
      </c>
      <c r="AG693" s="6">
        <v>48</v>
      </c>
      <c r="AH693" s="7">
        <v>1</v>
      </c>
      <c r="AI693" s="4"/>
      <c r="AJ693" s="4">
        <f>=ROUNDDOWN({0},0)</f>
      </c>
      <c r="AK693" s="5"/>
      <c r="AL693" s="2" t="s">
        <v>227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/>
      <c r="AW693" s="8"/>
      <c r="AX693" s="4"/>
      <c r="AY693" s="8"/>
      <c r="AZ693" s="7"/>
      <c r="BA693" s="7"/>
      <c r="BB693" s="7"/>
      <c r="BC693" s="4" t="s">
        <v>227</v>
      </c>
      <c r="BD693" s="8" t="s">
        <v>227</v>
      </c>
      <c r="BE693" s="4" t="s">
        <v>227</v>
      </c>
      <c r="BF693" s="8" t="s">
        <v>227</v>
      </c>
      <c r="BG693" s="7" t="s">
        <v>227</v>
      </c>
      <c r="BH693" s="7" t="s">
        <v>227</v>
      </c>
      <c r="BI693" s="7"/>
      <c r="BJ693" s="4">
        <v>16</v>
      </c>
      <c r="BK693" s="8">
        <v>1066.94</v>
      </c>
      <c r="BL693" s="2" t="s">
        <v>4374</v>
      </c>
      <c r="BM693" s="7"/>
      <c r="BN693" s="7"/>
      <c r="BO693" s="4"/>
      <c r="BP693" s="8"/>
      <c r="BQ693" s="4"/>
      <c r="BR693" s="8"/>
      <c r="BS693" s="7"/>
      <c r="BT693" s="7"/>
      <c r="BU693" s="2" t="s">
        <v>4375</v>
      </c>
      <c r="BV693" s="2" t="s">
        <v>227</v>
      </c>
      <c r="BW693" s="2" t="s">
        <v>227</v>
      </c>
      <c r="BX693" s="2" t="s">
        <v>4364</v>
      </c>
      <c r="BY693" s="2" t="s">
        <v>236</v>
      </c>
      <c r="BZ693" s="2" t="s">
        <v>224</v>
      </c>
      <c r="CA693" s="2" t="s">
        <v>4365</v>
      </c>
      <c r="CB693" s="2" t="s">
        <v>4376</v>
      </c>
      <c r="CC693" s="2" t="s">
        <v>239</v>
      </c>
      <c r="CD693" s="2" t="s">
        <v>227</v>
      </c>
      <c r="CE693" s="4"/>
      <c r="CF693" s="4">
        <v>182</v>
      </c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>
        <v>150</v>
      </c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>
        <v>110</v>
      </c>
      <c r="FG693" s="4"/>
      <c r="FH693" s="4"/>
      <c r="FI693" s="4"/>
      <c r="FJ693" s="4"/>
      <c r="FK693" s="4"/>
      <c r="FL693" s="4"/>
      <c r="FM693" s="4"/>
      <c r="FN693" s="4"/>
      <c r="FO693" s="4"/>
      <c r="FP693" s="4"/>
      <c r="FQ693" s="4"/>
      <c r="FR693" s="4"/>
      <c r="FS693" s="4"/>
      <c r="FT693" s="4"/>
      <c r="FU693" s="4"/>
      <c r="FV693" s="4"/>
      <c r="FW693" s="4"/>
      <c r="FX693" s="4"/>
      <c r="FY693" s="4"/>
      <c r="FZ693" s="4"/>
      <c r="GA693" s="4"/>
      <c r="GB693" s="4"/>
      <c r="GC693" s="4"/>
      <c r="GD693" s="4"/>
      <c r="GE693" s="4"/>
      <c r="GF693" s="4"/>
      <c r="GG693" s="4"/>
      <c r="GH693" s="4"/>
      <c r="GI693" s="4"/>
      <c r="GJ693" s="4"/>
      <c r="GK693" s="4"/>
      <c r="GL693" s="4"/>
      <c r="GM693" s="4"/>
      <c r="GN693" s="4"/>
      <c r="GO693" s="4"/>
      <c r="GP693" s="4"/>
      <c r="GQ693" s="4"/>
      <c r="GR693" s="4"/>
      <c r="GS693" s="4"/>
      <c r="GT693" s="4"/>
      <c r="GU693" s="4"/>
      <c r="GV693" s="4"/>
      <c r="GW693" s="4"/>
      <c r="GX693" s="4"/>
    </row>
    <row r="694">
      <c r="A694" s="2" t="s">
        <v>4377</v>
      </c>
      <c r="B694" s="2" t="s">
        <v>542</v>
      </c>
      <c r="C694" s="2" t="s">
        <v>360</v>
      </c>
      <c r="D694" s="2" t="s">
        <v>4378</v>
      </c>
      <c r="E694" s="2" t="s">
        <v>4379</v>
      </c>
      <c r="F694" s="2" t="s">
        <v>4380</v>
      </c>
      <c r="G694" s="2" t="s">
        <v>4380</v>
      </c>
      <c r="H694" s="2" t="s">
        <v>4380</v>
      </c>
      <c r="I694" s="2" t="s">
        <v>4381</v>
      </c>
      <c r="J694" s="2" t="s">
        <v>548</v>
      </c>
      <c r="K694" s="2" t="s">
        <v>4382</v>
      </c>
      <c r="L694" s="3">
        <v>40.19</v>
      </c>
      <c r="M694" s="3">
        <v>42.2</v>
      </c>
      <c r="N694" s="3">
        <v>89.99</v>
      </c>
      <c r="O694" s="2" t="s">
        <v>224</v>
      </c>
      <c r="P694" s="2" t="s">
        <v>550</v>
      </c>
      <c r="Q694" s="2" t="s">
        <v>226</v>
      </c>
      <c r="R694" s="2" t="s">
        <v>227</v>
      </c>
      <c r="S694" s="2" t="s">
        <v>4383</v>
      </c>
      <c r="T694" s="2" t="s">
        <v>227</v>
      </c>
      <c r="U694" s="2" t="s">
        <v>552</v>
      </c>
      <c r="V694" s="2" t="s">
        <v>230</v>
      </c>
      <c r="W694" s="2" t="s">
        <v>836</v>
      </c>
      <c r="X694" s="2" t="s">
        <v>227</v>
      </c>
      <c r="Y694" s="2" t="s">
        <v>4384</v>
      </c>
      <c r="Z694" s="4">
        <v>238</v>
      </c>
      <c r="AA694" s="4">
        <f>=ROUNDDOWN(19.8333333333333,0)</f>
      </c>
      <c r="AB694" s="5">
        <v>12</v>
      </c>
      <c r="AC694" s="2" t="s">
        <v>2866</v>
      </c>
      <c r="AD694" s="4">
        <v>120</v>
      </c>
      <c r="AE694" s="4">
        <v>120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227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/>
      <c r="AW694" s="8"/>
      <c r="AX694" s="4"/>
      <c r="AY694" s="8"/>
      <c r="AZ694" s="7"/>
      <c r="BA694" s="7"/>
      <c r="BB694" s="7"/>
      <c r="BC694" s="4"/>
      <c r="BD694" s="8"/>
      <c r="BE694" s="4"/>
      <c r="BF694" s="8"/>
      <c r="BG694" s="7"/>
      <c r="BH694" s="7"/>
      <c r="BI694" s="7"/>
      <c r="BJ694" s="4">
        <v>38</v>
      </c>
      <c r="BK694" s="8">
        <v>1773.4</v>
      </c>
      <c r="BL694" s="2" t="s">
        <v>4385</v>
      </c>
      <c r="BM694" s="7"/>
      <c r="BN694" s="7"/>
      <c r="BO694" s="4"/>
      <c r="BP694" s="8"/>
      <c r="BQ694" s="4"/>
      <c r="BR694" s="8"/>
      <c r="BS694" s="7"/>
      <c r="BT694" s="7"/>
      <c r="BU694" s="2" t="s">
        <v>4386</v>
      </c>
      <c r="BV694" s="2" t="s">
        <v>227</v>
      </c>
      <c r="BW694" s="2" t="s">
        <v>227</v>
      </c>
      <c r="BX694" s="2" t="s">
        <v>235</v>
      </c>
      <c r="BY694" s="2" t="s">
        <v>236</v>
      </c>
      <c r="BZ694" s="2" t="s">
        <v>224</v>
      </c>
      <c r="CA694" s="2" t="s">
        <v>4387</v>
      </c>
      <c r="CB694" s="2" t="s">
        <v>4388</v>
      </c>
      <c r="CC694" s="2" t="s">
        <v>239</v>
      </c>
      <c r="CD694" s="2" t="s">
        <v>227</v>
      </c>
      <c r="CE694" s="4"/>
      <c r="CF694" s="4">
        <v>238</v>
      </c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>
        <v>120</v>
      </c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/>
      <c r="FD694" s="4"/>
      <c r="FE694" s="4"/>
      <c r="FF694" s="4"/>
      <c r="FG694" s="4"/>
      <c r="FH694" s="4"/>
      <c r="FI694" s="4"/>
      <c r="FJ694" s="4"/>
      <c r="FK694" s="4"/>
      <c r="FL694" s="4"/>
      <c r="FM694" s="4"/>
      <c r="FN694" s="4"/>
      <c r="FO694" s="4"/>
      <c r="FP694" s="4"/>
      <c r="FQ694" s="4"/>
      <c r="FR694" s="4"/>
      <c r="FS694" s="4"/>
      <c r="FT694" s="4"/>
      <c r="FU694" s="4"/>
      <c r="FV694" s="4"/>
      <c r="FW694" s="4"/>
      <c r="FX694" s="4"/>
      <c r="FY694" s="4"/>
      <c r="FZ694" s="4"/>
      <c r="GA694" s="4"/>
      <c r="GB694" s="4"/>
      <c r="GC694" s="4"/>
      <c r="GD694" s="4"/>
      <c r="GE694" s="4"/>
      <c r="GF694" s="4"/>
      <c r="GG694" s="4"/>
      <c r="GH694" s="4"/>
      <c r="GI694" s="4"/>
      <c r="GJ694" s="4"/>
      <c r="GK694" s="4"/>
      <c r="GL694" s="4"/>
      <c r="GM694" s="4"/>
      <c r="GN694" s="4"/>
      <c r="GO694" s="4"/>
      <c r="GP694" s="4"/>
      <c r="GQ694" s="4"/>
      <c r="GR694" s="4"/>
      <c r="GS694" s="4"/>
      <c r="GT694" s="4"/>
      <c r="GU694" s="4"/>
      <c r="GV694" s="4"/>
      <c r="GW694" s="4"/>
      <c r="GX694" s="4"/>
    </row>
    <row r="695">
      <c r="A695" s="2" t="s">
        <v>4389</v>
      </c>
      <c r="B695" s="2" t="s">
        <v>216</v>
      </c>
      <c r="C695" s="2" t="s">
        <v>217</v>
      </c>
      <c r="D695" s="2" t="s">
        <v>687</v>
      </c>
      <c r="E695" s="2" t="s">
        <v>1903</v>
      </c>
      <c r="F695" s="2" t="s">
        <v>4390</v>
      </c>
      <c r="G695" s="2" t="s">
        <v>4390</v>
      </c>
      <c r="H695" s="2" t="s">
        <v>4390</v>
      </c>
      <c r="I695" s="2" t="s">
        <v>4391</v>
      </c>
      <c r="J695" s="2" t="s">
        <v>626</v>
      </c>
      <c r="K695" s="2" t="s">
        <v>264</v>
      </c>
      <c r="L695" s="3">
        <v>55</v>
      </c>
      <c r="M695" s="3">
        <v>57.75</v>
      </c>
      <c r="N695" s="3">
        <v>109.99</v>
      </c>
      <c r="O695" s="2" t="s">
        <v>224</v>
      </c>
      <c r="P695" s="2" t="s">
        <v>225</v>
      </c>
      <c r="Q695" s="2" t="s">
        <v>226</v>
      </c>
      <c r="R695" s="2" t="s">
        <v>227</v>
      </c>
      <c r="S695" s="2" t="s">
        <v>4392</v>
      </c>
      <c r="T695" s="2" t="s">
        <v>286</v>
      </c>
      <c r="U695" s="2" t="s">
        <v>227</v>
      </c>
      <c r="V695" s="2" t="s">
        <v>230</v>
      </c>
      <c r="W695" s="2" t="s">
        <v>231</v>
      </c>
      <c r="X695" s="2" t="s">
        <v>227</v>
      </c>
      <c r="Y695" s="2" t="s">
        <v>232</v>
      </c>
      <c r="Z695" s="4">
        <v>233</v>
      </c>
      <c r="AA695" s="4">
        <f>=ROUNDDOWN(33.2857142857143,0)</f>
      </c>
      <c r="AB695" s="5">
        <v>7</v>
      </c>
      <c r="AC695" s="2" t="s">
        <v>188</v>
      </c>
      <c r="AD695" s="4">
        <v>160</v>
      </c>
      <c r="AE695" s="4">
        <v>160</v>
      </c>
      <c r="AF695" s="6">
        <v>66</v>
      </c>
      <c r="AG695" s="6"/>
      <c r="AH695" s="7">
        <v>1</v>
      </c>
      <c r="AI695" s="4"/>
      <c r="AJ695" s="4">
        <f>=ROUNDDOWN({0},0)</f>
      </c>
      <c r="AK695" s="5"/>
      <c r="AL695" s="2" t="s">
        <v>227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/>
      <c r="AW695" s="8"/>
      <c r="AX695" s="4"/>
      <c r="AY695" s="8"/>
      <c r="AZ695" s="7"/>
      <c r="BA695" s="7"/>
      <c r="BB695" s="7"/>
      <c r="BC695" s="4"/>
      <c r="BD695" s="8"/>
      <c r="BE695" s="4"/>
      <c r="BF695" s="8"/>
      <c r="BG695" s="7"/>
      <c r="BH695" s="7"/>
      <c r="BI695" s="7"/>
      <c r="BJ695" s="4">
        <v>22</v>
      </c>
      <c r="BK695" s="8">
        <v>1263.35</v>
      </c>
      <c r="BL695" s="2" t="s">
        <v>4393</v>
      </c>
      <c r="BM695" s="7"/>
      <c r="BN695" s="7"/>
      <c r="BO695" s="4"/>
      <c r="BP695" s="8"/>
      <c r="BQ695" s="4"/>
      <c r="BR695" s="8"/>
      <c r="BS695" s="7"/>
      <c r="BT695" s="7"/>
      <c r="BU695" s="2" t="s">
        <v>4394</v>
      </c>
      <c r="BV695" s="2" t="s">
        <v>227</v>
      </c>
      <c r="BW695" s="2" t="s">
        <v>227</v>
      </c>
      <c r="BX695" s="2" t="s">
        <v>235</v>
      </c>
      <c r="BY695" s="2" t="s">
        <v>236</v>
      </c>
      <c r="BZ695" s="2" t="s">
        <v>224</v>
      </c>
      <c r="CA695" s="2" t="s">
        <v>237</v>
      </c>
      <c r="CB695" s="2" t="s">
        <v>4395</v>
      </c>
      <c r="CC695" s="2" t="s">
        <v>239</v>
      </c>
      <c r="CD695" s="2" t="s">
        <v>227</v>
      </c>
      <c r="CE695" s="4">
        <v>233</v>
      </c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/>
      <c r="FD695" s="4"/>
      <c r="FE695" s="4"/>
      <c r="FF695" s="4"/>
      <c r="FG695" s="4"/>
      <c r="FH695" s="4"/>
      <c r="FI695" s="4"/>
      <c r="FJ695" s="4"/>
      <c r="FK695" s="4"/>
      <c r="FL695" s="4"/>
      <c r="FM695" s="4"/>
      <c r="FN695" s="4"/>
      <c r="FO695" s="4"/>
      <c r="FP695" s="4"/>
      <c r="FQ695" s="4"/>
      <c r="FR695" s="4"/>
      <c r="FS695" s="4"/>
      <c r="FT695" s="4"/>
      <c r="FU695" s="4"/>
      <c r="FV695" s="4"/>
      <c r="FW695" s="4"/>
      <c r="FX695" s="4">
        <v>160</v>
      </c>
      <c r="FY695" s="4"/>
      <c r="FZ695" s="4"/>
      <c r="GA695" s="4"/>
      <c r="GB695" s="4"/>
      <c r="GC695" s="4"/>
      <c r="GD695" s="4"/>
      <c r="GE695" s="4"/>
      <c r="GF695" s="4"/>
      <c r="GG695" s="4"/>
      <c r="GH695" s="4"/>
      <c r="GI695" s="4"/>
      <c r="GJ695" s="4"/>
      <c r="GK695" s="4"/>
      <c r="GL695" s="4"/>
      <c r="GM695" s="4"/>
      <c r="GN695" s="4"/>
      <c r="GO695" s="4"/>
      <c r="GP695" s="4"/>
      <c r="GQ695" s="4"/>
      <c r="GR695" s="4"/>
      <c r="GS695" s="4"/>
      <c r="GT695" s="4"/>
      <c r="GU695" s="4"/>
      <c r="GV695" s="4"/>
      <c r="GW695" s="4"/>
      <c r="GX695" s="4"/>
    </row>
    <row r="696">
      <c r="A696" s="2" t="s">
        <v>4396</v>
      </c>
      <c r="B696" s="2" t="s">
        <v>715</v>
      </c>
      <c r="C696" s="2" t="s">
        <v>1210</v>
      </c>
      <c r="D696" s="2" t="s">
        <v>716</v>
      </c>
      <c r="E696" s="2" t="s">
        <v>717</v>
      </c>
      <c r="F696" s="2" t="s">
        <v>4397</v>
      </c>
      <c r="G696" s="2" t="s">
        <v>4398</v>
      </c>
      <c r="H696" s="2" t="s">
        <v>4399</v>
      </c>
      <c r="I696" s="2" t="s">
        <v>4400</v>
      </c>
      <c r="J696" s="2" t="s">
        <v>4401</v>
      </c>
      <c r="K696" s="2" t="s">
        <v>4402</v>
      </c>
      <c r="L696" s="3">
        <v>12.76</v>
      </c>
      <c r="M696" s="3">
        <v>13.4</v>
      </c>
      <c r="N696" s="3">
        <v>28.99</v>
      </c>
      <c r="O696" s="2" t="s">
        <v>224</v>
      </c>
      <c r="P696" s="2" t="s">
        <v>225</v>
      </c>
      <c r="Q696" s="2" t="s">
        <v>226</v>
      </c>
      <c r="R696" s="2" t="s">
        <v>227</v>
      </c>
      <c r="S696" s="2" t="s">
        <v>4403</v>
      </c>
      <c r="T696" s="2" t="s">
        <v>227</v>
      </c>
      <c r="U696" s="2" t="s">
        <v>227</v>
      </c>
      <c r="V696" s="2" t="s">
        <v>230</v>
      </c>
      <c r="W696" s="2" t="s">
        <v>231</v>
      </c>
      <c r="X696" s="2" t="s">
        <v>1323</v>
      </c>
      <c r="Y696" s="2" t="s">
        <v>3854</v>
      </c>
      <c r="Z696" s="4">
        <v>30</v>
      </c>
      <c r="AA696" s="4">
        <f>=ROUNDDOWN(3.75,0)</f>
      </c>
      <c r="AB696" s="5">
        <v>8</v>
      </c>
      <c r="AC696" s="2" t="s">
        <v>732</v>
      </c>
      <c r="AD696" s="4">
        <v>120</v>
      </c>
      <c r="AE696" s="4">
        <v>192</v>
      </c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227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/>
      <c r="AW696" s="8"/>
      <c r="AX696" s="4"/>
      <c r="AY696" s="8"/>
      <c r="AZ696" s="7"/>
      <c r="BA696" s="7"/>
      <c r="BB696" s="7"/>
      <c r="BC696" s="4" t="s">
        <v>227</v>
      </c>
      <c r="BD696" s="8" t="s">
        <v>227</v>
      </c>
      <c r="BE696" s="4" t="s">
        <v>227</v>
      </c>
      <c r="BF696" s="8" t="s">
        <v>227</v>
      </c>
      <c r="BG696" s="7" t="s">
        <v>227</v>
      </c>
      <c r="BH696" s="7" t="s">
        <v>227</v>
      </c>
      <c r="BI696" s="7"/>
      <c r="BJ696" s="4">
        <v>25</v>
      </c>
      <c r="BK696" s="8">
        <v>468.31</v>
      </c>
      <c r="BL696" s="2" t="s">
        <v>4404</v>
      </c>
      <c r="BM696" s="7"/>
      <c r="BN696" s="7"/>
      <c r="BO696" s="4"/>
      <c r="BP696" s="8"/>
      <c r="BQ696" s="4"/>
      <c r="BR696" s="8"/>
      <c r="BS696" s="7"/>
      <c r="BT696" s="7"/>
      <c r="BU696" s="2" t="s">
        <v>4405</v>
      </c>
      <c r="BV696" s="2" t="s">
        <v>227</v>
      </c>
      <c r="BW696" s="2" t="s">
        <v>227</v>
      </c>
      <c r="BX696" s="2" t="s">
        <v>235</v>
      </c>
      <c r="BY696" s="2" t="s">
        <v>236</v>
      </c>
      <c r="BZ696" s="2" t="s">
        <v>224</v>
      </c>
      <c r="CA696" s="2" t="s">
        <v>3857</v>
      </c>
      <c r="CB696" s="2" t="s">
        <v>2075</v>
      </c>
      <c r="CC696" s="2" t="s">
        <v>239</v>
      </c>
      <c r="CD696" s="2" t="s">
        <v>227</v>
      </c>
      <c r="CE696" s="4">
        <v>30</v>
      </c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>
        <v>120</v>
      </c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>
        <v>72</v>
      </c>
      <c r="EY696" s="4"/>
      <c r="EZ696" s="4"/>
      <c r="FA696" s="4"/>
      <c r="FB696" s="4"/>
      <c r="FC696" s="4"/>
      <c r="FD696" s="4"/>
      <c r="FE696" s="4"/>
      <c r="FF696" s="4"/>
      <c r="FG696" s="4"/>
      <c r="FH696" s="4"/>
      <c r="FI696" s="4"/>
      <c r="FJ696" s="4"/>
      <c r="FK696" s="4"/>
      <c r="FL696" s="4"/>
      <c r="FM696" s="4"/>
      <c r="FN696" s="4"/>
      <c r="FO696" s="4"/>
      <c r="FP696" s="4"/>
      <c r="FQ696" s="4"/>
      <c r="FR696" s="4"/>
      <c r="FS696" s="4"/>
      <c r="FT696" s="4"/>
      <c r="FU696" s="4"/>
      <c r="FV696" s="4"/>
      <c r="FW696" s="4"/>
      <c r="FX696" s="4"/>
      <c r="FY696" s="4"/>
      <c r="FZ696" s="4"/>
      <c r="GA696" s="4"/>
      <c r="GB696" s="4"/>
      <c r="GC696" s="4"/>
      <c r="GD696" s="4"/>
      <c r="GE696" s="4"/>
      <c r="GF696" s="4"/>
      <c r="GG696" s="4"/>
      <c r="GH696" s="4"/>
      <c r="GI696" s="4"/>
      <c r="GJ696" s="4"/>
      <c r="GK696" s="4"/>
      <c r="GL696" s="4"/>
      <c r="GM696" s="4"/>
      <c r="GN696" s="4"/>
      <c r="GO696" s="4"/>
      <c r="GP696" s="4"/>
      <c r="GQ696" s="4"/>
      <c r="GR696" s="4"/>
      <c r="GS696" s="4"/>
      <c r="GT696" s="4"/>
      <c r="GU696" s="4"/>
      <c r="GV696" s="4"/>
      <c r="GW696" s="4"/>
      <c r="GX696" s="4"/>
    </row>
    <row r="697">
      <c r="A697" s="2" t="s">
        <v>4406</v>
      </c>
      <c r="B697" s="2" t="s">
        <v>715</v>
      </c>
      <c r="C697" s="2" t="s">
        <v>1210</v>
      </c>
      <c r="D697" s="2" t="s">
        <v>716</v>
      </c>
      <c r="E697" s="2" t="s">
        <v>717</v>
      </c>
      <c r="F697" s="2" t="s">
        <v>4397</v>
      </c>
      <c r="G697" s="2" t="s">
        <v>4398</v>
      </c>
      <c r="H697" s="2" t="s">
        <v>4399</v>
      </c>
      <c r="I697" s="2" t="s">
        <v>4407</v>
      </c>
      <c r="J697" s="2" t="s">
        <v>4408</v>
      </c>
      <c r="K697" s="2" t="s">
        <v>410</v>
      </c>
      <c r="L697" s="3">
        <v>25.85</v>
      </c>
      <c r="M697" s="3">
        <v>27.14</v>
      </c>
      <c r="N697" s="3">
        <v>54.99</v>
      </c>
      <c r="O697" s="2" t="s">
        <v>224</v>
      </c>
      <c r="P697" s="2" t="s">
        <v>225</v>
      </c>
      <c r="Q697" s="2" t="s">
        <v>226</v>
      </c>
      <c r="R697" s="2" t="s">
        <v>227</v>
      </c>
      <c r="S697" s="2" t="s">
        <v>4409</v>
      </c>
      <c r="T697" s="2" t="s">
        <v>227</v>
      </c>
      <c r="U697" s="2" t="s">
        <v>552</v>
      </c>
      <c r="V697" s="2" t="s">
        <v>230</v>
      </c>
      <c r="W697" s="2" t="s">
        <v>231</v>
      </c>
      <c r="X697" s="2" t="s">
        <v>1323</v>
      </c>
      <c r="Y697" s="2" t="s">
        <v>4410</v>
      </c>
      <c r="Z697" s="4">
        <v>384</v>
      </c>
      <c r="AA697" s="4">
        <f>=ROUNDDOWN(24,0)</f>
      </c>
      <c r="AB697" s="5">
        <v>16</v>
      </c>
      <c r="AC697" s="2" t="s">
        <v>739</v>
      </c>
      <c r="AD697" s="4">
        <v>120</v>
      </c>
      <c r="AE697" s="4">
        <v>280</v>
      </c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227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/>
      <c r="AW697" s="8"/>
      <c r="AX697" s="4"/>
      <c r="AY697" s="8"/>
      <c r="AZ697" s="7"/>
      <c r="BA697" s="7"/>
      <c r="BB697" s="7"/>
      <c r="BC697" s="4" t="s">
        <v>227</v>
      </c>
      <c r="BD697" s="8" t="s">
        <v>227</v>
      </c>
      <c r="BE697" s="4" t="s">
        <v>227</v>
      </c>
      <c r="BF697" s="8" t="s">
        <v>227</v>
      </c>
      <c r="BG697" s="7" t="s">
        <v>227</v>
      </c>
      <c r="BH697" s="7" t="s">
        <v>227</v>
      </c>
      <c r="BI697" s="7"/>
      <c r="BJ697" s="4">
        <v>46</v>
      </c>
      <c r="BK697" s="8">
        <v>1267.25</v>
      </c>
      <c r="BL697" s="2" t="s">
        <v>4411</v>
      </c>
      <c r="BM697" s="7"/>
      <c r="BN697" s="7"/>
      <c r="BO697" s="4"/>
      <c r="BP697" s="8"/>
      <c r="BQ697" s="4"/>
      <c r="BR697" s="8"/>
      <c r="BS697" s="7"/>
      <c r="BT697" s="7"/>
      <c r="BU697" s="2" t="s">
        <v>4412</v>
      </c>
      <c r="BV697" s="2" t="s">
        <v>227</v>
      </c>
      <c r="BW697" s="2" t="s">
        <v>227</v>
      </c>
      <c r="BX697" s="2" t="s">
        <v>235</v>
      </c>
      <c r="BY697" s="2" t="s">
        <v>236</v>
      </c>
      <c r="BZ697" s="2" t="s">
        <v>224</v>
      </c>
      <c r="CA697" s="2" t="s">
        <v>4413</v>
      </c>
      <c r="CB697" s="2" t="s">
        <v>1565</v>
      </c>
      <c r="CC697" s="2" t="s">
        <v>239</v>
      </c>
      <c r="CD697" s="2" t="s">
        <v>227</v>
      </c>
      <c r="CE697" s="4">
        <v>164</v>
      </c>
      <c r="CF697" s="4"/>
      <c r="CG697" s="4"/>
      <c r="CH697" s="4"/>
      <c r="CI697" s="4"/>
      <c r="CJ697" s="4"/>
      <c r="CK697" s="4">
        <v>220</v>
      </c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/>
      <c r="FG697" s="4"/>
      <c r="FH697" s="4"/>
      <c r="FI697" s="4"/>
      <c r="FJ697" s="4"/>
      <c r="FK697" s="4">
        <v>120</v>
      </c>
      <c r="FL697" s="4"/>
      <c r="FM697" s="4"/>
      <c r="FN697" s="4"/>
      <c r="FO697" s="4"/>
      <c r="FP697" s="4"/>
      <c r="FQ697" s="4"/>
      <c r="FR697" s="4"/>
      <c r="FS697" s="4"/>
      <c r="FT697" s="4"/>
      <c r="FU697" s="4"/>
      <c r="FV697" s="4"/>
      <c r="FW697" s="4"/>
      <c r="FX697" s="4"/>
      <c r="FY697" s="4"/>
      <c r="FZ697" s="4"/>
      <c r="GA697" s="4"/>
      <c r="GB697" s="4"/>
      <c r="GC697" s="4"/>
      <c r="GD697" s="4"/>
      <c r="GE697" s="4"/>
      <c r="GF697" s="4"/>
      <c r="GG697" s="4"/>
      <c r="GH697" s="4"/>
      <c r="GI697" s="4"/>
      <c r="GJ697" s="4"/>
      <c r="GK697" s="4"/>
      <c r="GL697" s="4"/>
      <c r="GM697" s="4"/>
      <c r="GN697" s="4"/>
      <c r="GO697" s="4"/>
      <c r="GP697" s="4"/>
      <c r="GQ697" s="4"/>
      <c r="GR697" s="4"/>
      <c r="GS697" s="4"/>
      <c r="GT697" s="4"/>
      <c r="GU697" s="4"/>
      <c r="GV697" s="4"/>
      <c r="GW697" s="4">
        <v>160</v>
      </c>
      <c r="GX697" s="4"/>
    </row>
    <row r="698">
      <c r="A698" s="2" t="s">
        <v>4414</v>
      </c>
      <c r="B698" s="2" t="s">
        <v>715</v>
      </c>
      <c r="C698" s="2" t="s">
        <v>1210</v>
      </c>
      <c r="D698" s="2" t="s">
        <v>716</v>
      </c>
      <c r="E698" s="2" t="s">
        <v>717</v>
      </c>
      <c r="F698" s="2" t="s">
        <v>4397</v>
      </c>
      <c r="G698" s="2" t="s">
        <v>4398</v>
      </c>
      <c r="H698" s="2" t="s">
        <v>4399</v>
      </c>
      <c r="I698" s="2" t="s">
        <v>4400</v>
      </c>
      <c r="J698" s="2" t="s">
        <v>4401</v>
      </c>
      <c r="K698" s="2" t="s">
        <v>1067</v>
      </c>
      <c r="L698" s="3">
        <v>12.76</v>
      </c>
      <c r="M698" s="3">
        <v>13.4</v>
      </c>
      <c r="N698" s="3">
        <v>28.99</v>
      </c>
      <c r="O698" s="2" t="s">
        <v>224</v>
      </c>
      <c r="P698" s="2" t="s">
        <v>225</v>
      </c>
      <c r="Q698" s="2" t="s">
        <v>226</v>
      </c>
      <c r="R698" s="2" t="s">
        <v>227</v>
      </c>
      <c r="S698" s="2" t="s">
        <v>4415</v>
      </c>
      <c r="T698" s="2" t="s">
        <v>227</v>
      </c>
      <c r="U698" s="2" t="s">
        <v>227</v>
      </c>
      <c r="V698" s="2" t="s">
        <v>230</v>
      </c>
      <c r="W698" s="2" t="s">
        <v>231</v>
      </c>
      <c r="X698" s="2" t="s">
        <v>1323</v>
      </c>
      <c r="Y698" s="2" t="s">
        <v>3854</v>
      </c>
      <c r="Z698" s="4">
        <v>206</v>
      </c>
      <c r="AA698" s="4">
        <f>=ROUNDDOWN(17.1666666666667,0)</f>
      </c>
      <c r="AB698" s="5">
        <v>12</v>
      </c>
      <c r="AC698" s="2" t="s">
        <v>739</v>
      </c>
      <c r="AD698" s="4">
        <v>132</v>
      </c>
      <c r="AE698" s="4">
        <v>284</v>
      </c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227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/>
      <c r="AW698" s="8"/>
      <c r="AX698" s="4"/>
      <c r="AY698" s="8"/>
      <c r="AZ698" s="7"/>
      <c r="BA698" s="7"/>
      <c r="BB698" s="7"/>
      <c r="BC698" s="4" t="s">
        <v>227</v>
      </c>
      <c r="BD698" s="8" t="s">
        <v>227</v>
      </c>
      <c r="BE698" s="4" t="s">
        <v>227</v>
      </c>
      <c r="BF698" s="8" t="s">
        <v>227</v>
      </c>
      <c r="BG698" s="7" t="s">
        <v>227</v>
      </c>
      <c r="BH698" s="7" t="s">
        <v>227</v>
      </c>
      <c r="BI698" s="7"/>
      <c r="BJ698" s="4">
        <v>39</v>
      </c>
      <c r="BK698" s="8">
        <v>509.31</v>
      </c>
      <c r="BL698" s="2" t="s">
        <v>1526</v>
      </c>
      <c r="BM698" s="7"/>
      <c r="BN698" s="7"/>
      <c r="BO698" s="4"/>
      <c r="BP698" s="8"/>
      <c r="BQ698" s="4"/>
      <c r="BR698" s="8"/>
      <c r="BS698" s="7"/>
      <c r="BT698" s="7"/>
      <c r="BU698" s="2" t="s">
        <v>4416</v>
      </c>
      <c r="BV698" s="2" t="s">
        <v>227</v>
      </c>
      <c r="BW698" s="2" t="s">
        <v>227</v>
      </c>
      <c r="BX698" s="2" t="s">
        <v>235</v>
      </c>
      <c r="BY698" s="2" t="s">
        <v>236</v>
      </c>
      <c r="BZ698" s="2" t="s">
        <v>224</v>
      </c>
      <c r="CA698" s="2" t="s">
        <v>3857</v>
      </c>
      <c r="CB698" s="2" t="s">
        <v>2247</v>
      </c>
      <c r="CC698" s="2" t="s">
        <v>239</v>
      </c>
      <c r="CD698" s="2" t="s">
        <v>227</v>
      </c>
      <c r="CE698" s="4">
        <v>206</v>
      </c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/>
      <c r="FG698" s="4"/>
      <c r="FH698" s="4"/>
      <c r="FI698" s="4"/>
      <c r="FJ698" s="4"/>
      <c r="FK698" s="4">
        <v>132</v>
      </c>
      <c r="FL698" s="4"/>
      <c r="FM698" s="4"/>
      <c r="FN698" s="4"/>
      <c r="FO698" s="4"/>
      <c r="FP698" s="4"/>
      <c r="FQ698" s="4"/>
      <c r="FR698" s="4"/>
      <c r="FS698" s="4"/>
      <c r="FT698" s="4"/>
      <c r="FU698" s="4"/>
      <c r="FV698" s="4"/>
      <c r="FW698" s="4"/>
      <c r="FX698" s="4"/>
      <c r="FY698" s="4"/>
      <c r="FZ698" s="4"/>
      <c r="GA698" s="4"/>
      <c r="GB698" s="4"/>
      <c r="GC698" s="4"/>
      <c r="GD698" s="4"/>
      <c r="GE698" s="4"/>
      <c r="GF698" s="4"/>
      <c r="GG698" s="4"/>
      <c r="GH698" s="4"/>
      <c r="GI698" s="4"/>
      <c r="GJ698" s="4"/>
      <c r="GK698" s="4"/>
      <c r="GL698" s="4"/>
      <c r="GM698" s="4"/>
      <c r="GN698" s="4"/>
      <c r="GO698" s="4"/>
      <c r="GP698" s="4"/>
      <c r="GQ698" s="4"/>
      <c r="GR698" s="4"/>
      <c r="GS698" s="4"/>
      <c r="GT698" s="4"/>
      <c r="GU698" s="4"/>
      <c r="GV698" s="4"/>
      <c r="GW698" s="4">
        <v>152</v>
      </c>
      <c r="GX698" s="4"/>
    </row>
    <row r="699">
      <c r="A699" s="2" t="s">
        <v>4417</v>
      </c>
      <c r="B699" s="2" t="s">
        <v>573</v>
      </c>
      <c r="C699" s="2" t="s">
        <v>668</v>
      </c>
      <c r="D699" s="2" t="s">
        <v>4418</v>
      </c>
      <c r="E699" s="2" t="s">
        <v>4419</v>
      </c>
      <c r="F699" s="2" t="s">
        <v>4420</v>
      </c>
      <c r="G699" s="2" t="s">
        <v>4420</v>
      </c>
      <c r="H699" s="2" t="s">
        <v>4420</v>
      </c>
      <c r="I699" s="2" t="s">
        <v>4421</v>
      </c>
      <c r="J699" s="2" t="s">
        <v>548</v>
      </c>
      <c r="K699" s="2" t="s">
        <v>976</v>
      </c>
      <c r="L699" s="3">
        <v>405</v>
      </c>
      <c r="M699" s="3">
        <v>425.25</v>
      </c>
      <c r="N699" s="3">
        <v>849</v>
      </c>
      <c r="O699" s="2" t="s">
        <v>224</v>
      </c>
      <c r="P699" s="2" t="s">
        <v>580</v>
      </c>
      <c r="Q699" s="2" t="s">
        <v>226</v>
      </c>
      <c r="R699" s="2" t="s">
        <v>227</v>
      </c>
      <c r="S699" s="2" t="s">
        <v>227</v>
      </c>
      <c r="T699" s="2" t="s">
        <v>227</v>
      </c>
      <c r="U699" s="2" t="s">
        <v>227</v>
      </c>
      <c r="V699" s="2" t="s">
        <v>566</v>
      </c>
      <c r="W699" s="2" t="s">
        <v>676</v>
      </c>
      <c r="X699" s="2" t="s">
        <v>836</v>
      </c>
      <c r="Y699" s="2" t="s">
        <v>4422</v>
      </c>
      <c r="Z699" s="4">
        <v>98</v>
      </c>
      <c r="AA699" s="4">
        <f>=ROUNDDOWN(70,0)</f>
      </c>
      <c r="AB699" s="5">
        <v>1.4</v>
      </c>
      <c r="AC699" s="2" t="s">
        <v>4423</v>
      </c>
      <c r="AD699" s="4">
        <v>90</v>
      </c>
      <c r="AE699" s="4">
        <v>100</v>
      </c>
      <c r="AF699" s="6">
        <v>74</v>
      </c>
      <c r="AG699" s="6"/>
      <c r="AH699" s="7">
        <v>1</v>
      </c>
      <c r="AI699" s="4"/>
      <c r="AJ699" s="4">
        <f>=ROUNDDOWN({0},0)</f>
      </c>
      <c r="AK699" s="5"/>
      <c r="AL699" s="2" t="s">
        <v>227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/>
      <c r="AW699" s="8"/>
      <c r="AX699" s="4"/>
      <c r="AY699" s="8"/>
      <c r="AZ699" s="7"/>
      <c r="BA699" s="7"/>
      <c r="BB699" s="7"/>
      <c r="BC699" s="4" t="s">
        <v>227</v>
      </c>
      <c r="BD699" s="8" t="s">
        <v>227</v>
      </c>
      <c r="BE699" s="4" t="s">
        <v>227</v>
      </c>
      <c r="BF699" s="8" t="s">
        <v>227</v>
      </c>
      <c r="BG699" s="7" t="s">
        <v>227</v>
      </c>
      <c r="BH699" s="7" t="s">
        <v>227</v>
      </c>
      <c r="BI699" s="7"/>
      <c r="BJ699" s="4">
        <v>2</v>
      </c>
      <c r="BK699" s="8">
        <v>701.07</v>
      </c>
      <c r="BL699" s="2" t="s">
        <v>3288</v>
      </c>
      <c r="BM699" s="7"/>
      <c r="BN699" s="7"/>
      <c r="BO699" s="4"/>
      <c r="BP699" s="8"/>
      <c r="BQ699" s="4"/>
      <c r="BR699" s="8"/>
      <c r="BS699" s="7"/>
      <c r="BT699" s="7"/>
      <c r="BU699" s="2" t="s">
        <v>4424</v>
      </c>
      <c r="BV699" s="2" t="s">
        <v>227</v>
      </c>
      <c r="BW699" s="2" t="s">
        <v>227</v>
      </c>
      <c r="BX699" s="2" t="s">
        <v>235</v>
      </c>
      <c r="BY699" s="2" t="s">
        <v>236</v>
      </c>
      <c r="BZ699" s="2" t="s">
        <v>224</v>
      </c>
      <c r="CA699" s="2" t="s">
        <v>861</v>
      </c>
      <c r="CB699" s="2" t="s">
        <v>4425</v>
      </c>
      <c r="CC699" s="2" t="s">
        <v>239</v>
      </c>
      <c r="CD699" s="2" t="s">
        <v>227</v>
      </c>
      <c r="CE699" s="4"/>
      <c r="CF699" s="4">
        <v>98</v>
      </c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>
        <v>90</v>
      </c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>
        <v>10</v>
      </c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/>
      <c r="FG699" s="4"/>
      <c r="FH699" s="4"/>
      <c r="FI699" s="4"/>
      <c r="FJ699" s="4"/>
      <c r="FK699" s="4"/>
      <c r="FL699" s="4"/>
      <c r="FM699" s="4"/>
      <c r="FN699" s="4"/>
      <c r="FO699" s="4"/>
      <c r="FP699" s="4"/>
      <c r="FQ699" s="4"/>
      <c r="FR699" s="4"/>
      <c r="FS699" s="4"/>
      <c r="FT699" s="4"/>
      <c r="FU699" s="4"/>
      <c r="FV699" s="4"/>
      <c r="FW699" s="4"/>
      <c r="FX699" s="4"/>
      <c r="FY699" s="4"/>
      <c r="FZ699" s="4"/>
      <c r="GA699" s="4"/>
      <c r="GB699" s="4"/>
      <c r="GC699" s="4"/>
      <c r="GD699" s="4"/>
      <c r="GE699" s="4"/>
      <c r="GF699" s="4"/>
      <c r="GG699" s="4"/>
      <c r="GH699" s="4"/>
      <c r="GI699" s="4"/>
      <c r="GJ699" s="4"/>
      <c r="GK699" s="4"/>
      <c r="GL699" s="4"/>
      <c r="GM699" s="4"/>
      <c r="GN699" s="4"/>
      <c r="GO699" s="4"/>
      <c r="GP699" s="4"/>
      <c r="GQ699" s="4"/>
      <c r="GR699" s="4"/>
      <c r="GS699" s="4"/>
      <c r="GT699" s="4"/>
      <c r="GU699" s="4"/>
      <c r="GV699" s="4"/>
      <c r="GW699" s="4"/>
      <c r="GX699" s="4"/>
    </row>
    <row r="700">
      <c r="A700" s="2" t="s">
        <v>4426</v>
      </c>
      <c r="B700" s="2" t="s">
        <v>573</v>
      </c>
      <c r="C700" s="2" t="s">
        <v>668</v>
      </c>
      <c r="D700" s="2" t="s">
        <v>4427</v>
      </c>
      <c r="E700" s="2" t="s">
        <v>4428</v>
      </c>
      <c r="F700" s="2" t="s">
        <v>4420</v>
      </c>
      <c r="G700" s="2" t="s">
        <v>4420</v>
      </c>
      <c r="H700" s="2" t="s">
        <v>4420</v>
      </c>
      <c r="I700" s="2" t="s">
        <v>4429</v>
      </c>
      <c r="J700" s="2" t="s">
        <v>548</v>
      </c>
      <c r="K700" s="2" t="s">
        <v>2833</v>
      </c>
      <c r="L700" s="3">
        <v>118</v>
      </c>
      <c r="M700" s="3">
        <v>123.9</v>
      </c>
      <c r="N700" s="3">
        <v>249</v>
      </c>
      <c r="O700" s="2" t="s">
        <v>224</v>
      </c>
      <c r="P700" s="2" t="s">
        <v>225</v>
      </c>
      <c r="Q700" s="2" t="s">
        <v>226</v>
      </c>
      <c r="R700" s="2" t="s">
        <v>227</v>
      </c>
      <c r="S700" s="2" t="s">
        <v>4430</v>
      </c>
      <c r="T700" s="2" t="s">
        <v>227</v>
      </c>
      <c r="U700" s="2" t="s">
        <v>227</v>
      </c>
      <c r="V700" s="2" t="s">
        <v>230</v>
      </c>
      <c r="W700" s="2" t="s">
        <v>676</v>
      </c>
      <c r="X700" s="2" t="s">
        <v>227</v>
      </c>
      <c r="Y700" s="2" t="s">
        <v>232</v>
      </c>
      <c r="Z700" s="4">
        <v>144</v>
      </c>
      <c r="AA700" s="4">
        <f>=ROUNDDOWN(36,0)</f>
      </c>
      <c r="AB700" s="5">
        <v>4</v>
      </c>
      <c r="AC700" s="2" t="s">
        <v>227</v>
      </c>
      <c r="AD700" s="4"/>
      <c r="AE700" s="4"/>
      <c r="AF700" s="6">
        <v>74</v>
      </c>
      <c r="AG700" s="6">
        <v>60</v>
      </c>
      <c r="AH700" s="7">
        <v>1</v>
      </c>
      <c r="AI700" s="4"/>
      <c r="AJ700" s="4">
        <f>=ROUNDDOWN({0},0)</f>
      </c>
      <c r="AK700" s="5"/>
      <c r="AL700" s="2" t="s">
        <v>227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/>
      <c r="AW700" s="8"/>
      <c r="AX700" s="4"/>
      <c r="AY700" s="8"/>
      <c r="AZ700" s="7"/>
      <c r="BA700" s="7"/>
      <c r="BB700" s="7"/>
      <c r="BC700" s="4" t="s">
        <v>227</v>
      </c>
      <c r="BD700" s="8" t="s">
        <v>227</v>
      </c>
      <c r="BE700" s="4" t="s">
        <v>227</v>
      </c>
      <c r="BF700" s="8" t="s">
        <v>227</v>
      </c>
      <c r="BG700" s="7" t="s">
        <v>227</v>
      </c>
      <c r="BH700" s="7" t="s">
        <v>227</v>
      </c>
      <c r="BI700" s="7"/>
      <c r="BJ700" s="4">
        <v>20</v>
      </c>
      <c r="BK700" s="8">
        <v>1965.9</v>
      </c>
      <c r="BL700" s="2" t="s">
        <v>4431</v>
      </c>
      <c r="BM700" s="7"/>
      <c r="BN700" s="7"/>
      <c r="BO700" s="4"/>
      <c r="BP700" s="8"/>
      <c r="BQ700" s="4"/>
      <c r="BR700" s="8"/>
      <c r="BS700" s="7"/>
      <c r="BT700" s="7"/>
      <c r="BU700" s="2" t="s">
        <v>4432</v>
      </c>
      <c r="BV700" s="2" t="s">
        <v>227</v>
      </c>
      <c r="BW700" s="2" t="s">
        <v>227</v>
      </c>
      <c r="BX700" s="2" t="s">
        <v>235</v>
      </c>
      <c r="BY700" s="2" t="s">
        <v>236</v>
      </c>
      <c r="BZ700" s="2" t="s">
        <v>224</v>
      </c>
      <c r="CA700" s="2" t="s">
        <v>4433</v>
      </c>
      <c r="CB700" s="2" t="s">
        <v>2927</v>
      </c>
      <c r="CC700" s="2" t="s">
        <v>239</v>
      </c>
      <c r="CD700" s="2" t="s">
        <v>227</v>
      </c>
      <c r="CE700" s="4"/>
      <c r="CF700" s="4">
        <v>143</v>
      </c>
      <c r="CG700" s="4"/>
      <c r="CH700" s="4">
        <v>1</v>
      </c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/>
      <c r="FG700" s="4"/>
      <c r="FH700" s="4"/>
      <c r="FI700" s="4"/>
      <c r="FJ700" s="4"/>
      <c r="FK700" s="4"/>
      <c r="FL700" s="4"/>
      <c r="FM700" s="4"/>
      <c r="FN700" s="4"/>
      <c r="FO700" s="4"/>
      <c r="FP700" s="4"/>
      <c r="FQ700" s="4"/>
      <c r="FR700" s="4"/>
      <c r="FS700" s="4"/>
      <c r="FT700" s="4"/>
      <c r="FU700" s="4"/>
      <c r="FV700" s="4"/>
      <c r="FW700" s="4"/>
      <c r="FX700" s="4"/>
      <c r="FY700" s="4"/>
      <c r="FZ700" s="4"/>
      <c r="GA700" s="4"/>
      <c r="GB700" s="4"/>
      <c r="GC700" s="4"/>
      <c r="GD700" s="4"/>
      <c r="GE700" s="4"/>
      <c r="GF700" s="4"/>
      <c r="GG700" s="4"/>
      <c r="GH700" s="4"/>
      <c r="GI700" s="4"/>
      <c r="GJ700" s="4"/>
      <c r="GK700" s="4"/>
      <c r="GL700" s="4"/>
      <c r="GM700" s="4"/>
      <c r="GN700" s="4"/>
      <c r="GO700" s="4"/>
      <c r="GP700" s="4"/>
      <c r="GQ700" s="4"/>
      <c r="GR700" s="4"/>
      <c r="GS700" s="4"/>
      <c r="GT700" s="4"/>
      <c r="GU700" s="4"/>
      <c r="GV700" s="4"/>
      <c r="GW700" s="4"/>
      <c r="GX700" s="4"/>
    </row>
    <row r="701">
      <c r="A701" s="2" t="s">
        <v>4434</v>
      </c>
      <c r="B701" s="2" t="s">
        <v>618</v>
      </c>
      <c r="C701" s="2" t="s">
        <v>1546</v>
      </c>
      <c r="D701" s="2" t="s">
        <v>1652</v>
      </c>
      <c r="E701" s="2" t="s">
        <v>3952</v>
      </c>
      <c r="F701" s="2" t="s">
        <v>4420</v>
      </c>
      <c r="G701" s="2" t="s">
        <v>4435</v>
      </c>
      <c r="H701" s="2" t="s">
        <v>4436</v>
      </c>
      <c r="I701" s="2" t="s">
        <v>4437</v>
      </c>
      <c r="J701" s="2" t="s">
        <v>626</v>
      </c>
      <c r="K701" s="2" t="s">
        <v>363</v>
      </c>
      <c r="L701" s="3">
        <v>71.39</v>
      </c>
      <c r="M701" s="3">
        <v>74.96</v>
      </c>
      <c r="N701" s="3">
        <v>139.99</v>
      </c>
      <c r="O701" s="2" t="s">
        <v>224</v>
      </c>
      <c r="P701" s="2" t="s">
        <v>225</v>
      </c>
      <c r="Q701" s="2" t="s">
        <v>226</v>
      </c>
      <c r="R701" s="2" t="s">
        <v>227</v>
      </c>
      <c r="S701" s="2" t="s">
        <v>4438</v>
      </c>
      <c r="T701" s="2" t="s">
        <v>286</v>
      </c>
      <c r="U701" s="2" t="s">
        <v>674</v>
      </c>
      <c r="V701" s="2" t="s">
        <v>230</v>
      </c>
      <c r="W701" s="2" t="s">
        <v>836</v>
      </c>
      <c r="X701" s="2" t="s">
        <v>4439</v>
      </c>
      <c r="Y701" s="2" t="s">
        <v>4440</v>
      </c>
      <c r="Z701" s="4">
        <v>110</v>
      </c>
      <c r="AA701" s="4">
        <f>=ROUNDDOWN(55,0)</f>
      </c>
      <c r="AB701" s="5">
        <v>2</v>
      </c>
      <c r="AC701" s="2" t="s">
        <v>227</v>
      </c>
      <c r="AD701" s="4"/>
      <c r="AE701" s="4"/>
      <c r="AF701" s="6">
        <v>69</v>
      </c>
      <c r="AG701" s="6"/>
      <c r="AH701" s="7">
        <v>1</v>
      </c>
      <c r="AI701" s="4"/>
      <c r="AJ701" s="4">
        <f>=ROUNDDOWN({0},0)</f>
      </c>
      <c r="AK701" s="5"/>
      <c r="AL701" s="2" t="s">
        <v>227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227</v>
      </c>
      <c r="AW701" s="8" t="s">
        <v>227</v>
      </c>
      <c r="AX701" s="4" t="s">
        <v>227</v>
      </c>
      <c r="AY701" s="8" t="s">
        <v>227</v>
      </c>
      <c r="AZ701" s="7" t="s">
        <v>227</v>
      </c>
      <c r="BA701" s="7" t="s">
        <v>227</v>
      </c>
      <c r="BB701" s="7" t="s">
        <v>227</v>
      </c>
      <c r="BC701" s="4" t="s">
        <v>227</v>
      </c>
      <c r="BD701" s="8" t="s">
        <v>227</v>
      </c>
      <c r="BE701" s="4" t="s">
        <v>227</v>
      </c>
      <c r="BF701" s="8" t="s">
        <v>227</v>
      </c>
      <c r="BG701" s="7" t="s">
        <v>227</v>
      </c>
      <c r="BH701" s="7" t="s">
        <v>227</v>
      </c>
      <c r="BI701" s="7"/>
      <c r="BJ701" s="4">
        <v>2</v>
      </c>
      <c r="BK701" s="8">
        <v>159.41</v>
      </c>
      <c r="BL701" s="2" t="s">
        <v>318</v>
      </c>
      <c r="BM701" s="7"/>
      <c r="BN701" s="7"/>
      <c r="BO701" s="4"/>
      <c r="BP701" s="8"/>
      <c r="BQ701" s="4"/>
      <c r="BR701" s="8"/>
      <c r="BS701" s="7"/>
      <c r="BT701" s="7"/>
      <c r="BU701" s="2" t="s">
        <v>4441</v>
      </c>
      <c r="BV701" s="2" t="s">
        <v>227</v>
      </c>
      <c r="BW701" s="2" t="s">
        <v>227</v>
      </c>
      <c r="BX701" s="2" t="s">
        <v>235</v>
      </c>
      <c r="BY701" s="2" t="s">
        <v>236</v>
      </c>
      <c r="BZ701" s="2" t="s">
        <v>224</v>
      </c>
      <c r="CA701" s="2" t="s">
        <v>4440</v>
      </c>
      <c r="CB701" s="2" t="s">
        <v>917</v>
      </c>
      <c r="CC701" s="2" t="s">
        <v>239</v>
      </c>
      <c r="CD701" s="2" t="s">
        <v>227</v>
      </c>
      <c r="CE701" s="4">
        <v>110</v>
      </c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/>
      <c r="FG701" s="4"/>
      <c r="FH701" s="4"/>
      <c r="FI701" s="4"/>
      <c r="FJ701" s="4"/>
      <c r="FK701" s="4"/>
      <c r="FL701" s="4"/>
      <c r="FM701" s="4"/>
      <c r="FN701" s="4"/>
      <c r="FO701" s="4"/>
      <c r="FP701" s="4"/>
      <c r="FQ701" s="4"/>
      <c r="FR701" s="4"/>
      <c r="FS701" s="4"/>
      <c r="FT701" s="4"/>
      <c r="FU701" s="4"/>
      <c r="FV701" s="4"/>
      <c r="FW701" s="4"/>
      <c r="FX701" s="4"/>
      <c r="FY701" s="4"/>
      <c r="FZ701" s="4"/>
      <c r="GA701" s="4"/>
      <c r="GB701" s="4"/>
      <c r="GC701" s="4"/>
      <c r="GD701" s="4"/>
      <c r="GE701" s="4"/>
      <c r="GF701" s="4"/>
      <c r="GG701" s="4"/>
      <c r="GH701" s="4"/>
      <c r="GI701" s="4"/>
      <c r="GJ701" s="4"/>
      <c r="GK701" s="4"/>
      <c r="GL701" s="4"/>
      <c r="GM701" s="4"/>
      <c r="GN701" s="4"/>
      <c r="GO701" s="4"/>
      <c r="GP701" s="4"/>
      <c r="GQ701" s="4"/>
      <c r="GR701" s="4"/>
      <c r="GS701" s="4"/>
      <c r="GT701" s="4"/>
      <c r="GU701" s="4"/>
      <c r="GV701" s="4"/>
      <c r="GW701" s="4"/>
      <c r="GX701" s="4"/>
    </row>
    <row r="702">
      <c r="A702" s="2" t="s">
        <v>4442</v>
      </c>
      <c r="B702" s="2" t="s">
        <v>618</v>
      </c>
      <c r="C702" s="2" t="s">
        <v>1546</v>
      </c>
      <c r="D702" s="2" t="s">
        <v>620</v>
      </c>
      <c r="E702" s="2" t="s">
        <v>669</v>
      </c>
      <c r="F702" s="2" t="s">
        <v>4420</v>
      </c>
      <c r="G702" s="2" t="s">
        <v>4435</v>
      </c>
      <c r="H702" s="2" t="s">
        <v>4436</v>
      </c>
      <c r="I702" s="2" t="s">
        <v>4443</v>
      </c>
      <c r="J702" s="2" t="s">
        <v>626</v>
      </c>
      <c r="K702" s="2" t="s">
        <v>363</v>
      </c>
      <c r="L702" s="3">
        <v>54.99</v>
      </c>
      <c r="M702" s="3">
        <v>57.74</v>
      </c>
      <c r="N702" s="3">
        <v>109.99</v>
      </c>
      <c r="O702" s="2" t="s">
        <v>224</v>
      </c>
      <c r="P702" s="2" t="s">
        <v>225</v>
      </c>
      <c r="Q702" s="2" t="s">
        <v>226</v>
      </c>
      <c r="R702" s="2" t="s">
        <v>227</v>
      </c>
      <c r="S702" s="2" t="s">
        <v>4438</v>
      </c>
      <c r="T702" s="2" t="s">
        <v>286</v>
      </c>
      <c r="U702" s="2" t="s">
        <v>674</v>
      </c>
      <c r="V702" s="2" t="s">
        <v>230</v>
      </c>
      <c r="W702" s="2" t="s">
        <v>836</v>
      </c>
      <c r="X702" s="2" t="s">
        <v>4439</v>
      </c>
      <c r="Y702" s="2" t="s">
        <v>3776</v>
      </c>
      <c r="Z702" s="4">
        <v>129</v>
      </c>
      <c r="AA702" s="4">
        <f>=ROUNDDOWN(25.8,0)</f>
      </c>
      <c r="AB702" s="5">
        <v>5</v>
      </c>
      <c r="AC702" s="2" t="s">
        <v>4444</v>
      </c>
      <c r="AD702" s="4">
        <v>105</v>
      </c>
      <c r="AE702" s="4">
        <v>165</v>
      </c>
      <c r="AF702" s="6">
        <v>69</v>
      </c>
      <c r="AG702" s="6"/>
      <c r="AH702" s="7">
        <v>1</v>
      </c>
      <c r="AI702" s="4"/>
      <c r="AJ702" s="4">
        <f>=ROUNDDOWN({0},0)</f>
      </c>
      <c r="AK702" s="5"/>
      <c r="AL702" s="2" t="s">
        <v>227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227</v>
      </c>
      <c r="AW702" s="8" t="s">
        <v>227</v>
      </c>
      <c r="AX702" s="4" t="s">
        <v>227</v>
      </c>
      <c r="AY702" s="8" t="s">
        <v>227</v>
      </c>
      <c r="AZ702" s="7" t="s">
        <v>227</v>
      </c>
      <c r="BA702" s="7" t="s">
        <v>227</v>
      </c>
      <c r="BB702" s="7" t="s">
        <v>227</v>
      </c>
      <c r="BC702" s="4" t="s">
        <v>227</v>
      </c>
      <c r="BD702" s="8" t="s">
        <v>227</v>
      </c>
      <c r="BE702" s="4" t="s">
        <v>227</v>
      </c>
      <c r="BF702" s="8" t="s">
        <v>227</v>
      </c>
      <c r="BG702" s="7" t="s">
        <v>227</v>
      </c>
      <c r="BH702" s="7" t="s">
        <v>227</v>
      </c>
      <c r="BI702" s="7"/>
      <c r="BJ702" s="4">
        <v>32</v>
      </c>
      <c r="BK702" s="8">
        <v>1905.56</v>
      </c>
      <c r="BL702" s="2" t="s">
        <v>4445</v>
      </c>
      <c r="BM702" s="7"/>
      <c r="BN702" s="7"/>
      <c r="BO702" s="4"/>
      <c r="BP702" s="8"/>
      <c r="BQ702" s="4"/>
      <c r="BR702" s="8"/>
      <c r="BS702" s="7"/>
      <c r="BT702" s="7"/>
      <c r="BU702" s="2" t="s">
        <v>4446</v>
      </c>
      <c r="BV702" s="2" t="s">
        <v>227</v>
      </c>
      <c r="BW702" s="2" t="s">
        <v>227</v>
      </c>
      <c r="BX702" s="2" t="s">
        <v>235</v>
      </c>
      <c r="BY702" s="2" t="s">
        <v>236</v>
      </c>
      <c r="BZ702" s="2" t="s">
        <v>224</v>
      </c>
      <c r="CA702" s="2" t="s">
        <v>3776</v>
      </c>
      <c r="CB702" s="2" t="s">
        <v>3774</v>
      </c>
      <c r="CC702" s="2" t="s">
        <v>239</v>
      </c>
      <c r="CD702" s="2" t="s">
        <v>227</v>
      </c>
      <c r="CE702" s="4">
        <v>129</v>
      </c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>
        <v>105</v>
      </c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/>
      <c r="FA702" s="4"/>
      <c r="FB702" s="4"/>
      <c r="FC702" s="4"/>
      <c r="FD702" s="4"/>
      <c r="FE702" s="4"/>
      <c r="FF702" s="4"/>
      <c r="FG702" s="4"/>
      <c r="FH702" s="4"/>
      <c r="FI702" s="4"/>
      <c r="FJ702" s="4"/>
      <c r="FK702" s="4"/>
      <c r="FL702" s="4"/>
      <c r="FM702" s="4"/>
      <c r="FN702" s="4"/>
      <c r="FO702" s="4"/>
      <c r="FP702" s="4"/>
      <c r="FQ702" s="4"/>
      <c r="FR702" s="4"/>
      <c r="FS702" s="4"/>
      <c r="FT702" s="4"/>
      <c r="FU702" s="4"/>
      <c r="FV702" s="4"/>
      <c r="FW702" s="4"/>
      <c r="FX702" s="4"/>
      <c r="FY702" s="4"/>
      <c r="FZ702" s="4"/>
      <c r="GA702" s="4"/>
      <c r="GB702" s="4"/>
      <c r="GC702" s="4"/>
      <c r="GD702" s="4"/>
      <c r="GE702" s="4"/>
      <c r="GF702" s="4"/>
      <c r="GG702" s="4"/>
      <c r="GH702" s="4"/>
      <c r="GI702" s="4">
        <v>60</v>
      </c>
      <c r="GJ702" s="4"/>
      <c r="GK702" s="4"/>
      <c r="GL702" s="4"/>
      <c r="GM702" s="4"/>
      <c r="GN702" s="4"/>
      <c r="GO702" s="4"/>
      <c r="GP702" s="4"/>
      <c r="GQ702" s="4"/>
      <c r="GR702" s="4"/>
      <c r="GS702" s="4"/>
      <c r="GT702" s="4"/>
      <c r="GU702" s="4"/>
      <c r="GV702" s="4"/>
      <c r="GW702" s="4"/>
      <c r="GX702" s="4"/>
    </row>
    <row r="703">
      <c r="A703" s="2" t="s">
        <v>4447</v>
      </c>
      <c r="B703" s="2" t="s">
        <v>278</v>
      </c>
      <c r="C703" s="2" t="s">
        <v>1299</v>
      </c>
      <c r="D703" s="2" t="s">
        <v>280</v>
      </c>
      <c r="E703" s="2" t="s">
        <v>281</v>
      </c>
      <c r="F703" s="2" t="s">
        <v>4448</v>
      </c>
      <c r="G703" s="2" t="s">
        <v>4448</v>
      </c>
      <c r="H703" s="2" t="s">
        <v>4448</v>
      </c>
      <c r="I703" s="2" t="s">
        <v>2229</v>
      </c>
      <c r="J703" s="2" t="s">
        <v>222</v>
      </c>
      <c r="K703" s="2" t="s">
        <v>4449</v>
      </c>
      <c r="L703" s="3">
        <v>15.4</v>
      </c>
      <c r="M703" s="3">
        <v>16.17</v>
      </c>
      <c r="N703" s="3">
        <v>34.99</v>
      </c>
      <c r="O703" s="2" t="s">
        <v>224</v>
      </c>
      <c r="P703" s="2" t="s">
        <v>225</v>
      </c>
      <c r="Q703" s="2" t="s">
        <v>226</v>
      </c>
      <c r="R703" s="2" t="s">
        <v>227</v>
      </c>
      <c r="S703" s="2" t="s">
        <v>4450</v>
      </c>
      <c r="T703" s="2" t="s">
        <v>375</v>
      </c>
      <c r="U703" s="2" t="s">
        <v>674</v>
      </c>
      <c r="V703" s="2" t="s">
        <v>2232</v>
      </c>
      <c r="W703" s="2" t="s">
        <v>487</v>
      </c>
      <c r="X703" s="2" t="s">
        <v>227</v>
      </c>
      <c r="Y703" s="2" t="s">
        <v>1570</v>
      </c>
      <c r="Z703" s="4">
        <v>121</v>
      </c>
      <c r="AA703" s="4">
        <f>=ROUNDDOWN(100.833333333333,0)</f>
      </c>
      <c r="AB703" s="5">
        <v>1.2</v>
      </c>
      <c r="AC703" s="2" t="s">
        <v>227</v>
      </c>
      <c r="AD703" s="4"/>
      <c r="AE703" s="4"/>
      <c r="AF703" s="6">
        <v>66</v>
      </c>
      <c r="AG703" s="6"/>
      <c r="AH703" s="7">
        <v>1</v>
      </c>
      <c r="AI703" s="4"/>
      <c r="AJ703" s="4">
        <f>=ROUNDDOWN({0},0)</f>
      </c>
      <c r="AK703" s="5"/>
      <c r="AL703" s="2" t="s">
        <v>227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/>
      <c r="AW703" s="8"/>
      <c r="AX703" s="4"/>
      <c r="AY703" s="8"/>
      <c r="AZ703" s="7"/>
      <c r="BA703" s="7"/>
      <c r="BB703" s="7"/>
      <c r="BC703" s="4"/>
      <c r="BD703" s="8"/>
      <c r="BE703" s="4"/>
      <c r="BF703" s="8"/>
      <c r="BG703" s="7"/>
      <c r="BH703" s="7"/>
      <c r="BI703" s="7"/>
      <c r="BJ703" s="4">
        <v>6</v>
      </c>
      <c r="BK703" s="8">
        <v>126.64</v>
      </c>
      <c r="BL703" s="2" t="s">
        <v>4451</v>
      </c>
      <c r="BM703" s="7"/>
      <c r="BN703" s="7"/>
      <c r="BO703" s="4"/>
      <c r="BP703" s="8"/>
      <c r="BQ703" s="4"/>
      <c r="BR703" s="8"/>
      <c r="BS703" s="7"/>
      <c r="BT703" s="7"/>
      <c r="BU703" s="2" t="s">
        <v>4452</v>
      </c>
      <c r="BV703" s="2" t="s">
        <v>227</v>
      </c>
      <c r="BW703" s="2" t="s">
        <v>227</v>
      </c>
      <c r="BX703" s="2" t="s">
        <v>235</v>
      </c>
      <c r="BY703" s="2" t="s">
        <v>236</v>
      </c>
      <c r="BZ703" s="2" t="s">
        <v>224</v>
      </c>
      <c r="CA703" s="2" t="s">
        <v>4453</v>
      </c>
      <c r="CB703" s="2" t="s">
        <v>4454</v>
      </c>
      <c r="CC703" s="2" t="s">
        <v>239</v>
      </c>
      <c r="CD703" s="2" t="s">
        <v>227</v>
      </c>
      <c r="CE703" s="4">
        <v>121</v>
      </c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/>
      <c r="FG703" s="4"/>
      <c r="FH703" s="4"/>
      <c r="FI703" s="4"/>
      <c r="FJ703" s="4"/>
      <c r="FK703" s="4"/>
      <c r="FL703" s="4"/>
      <c r="FM703" s="4"/>
      <c r="FN703" s="4"/>
      <c r="FO703" s="4"/>
      <c r="FP703" s="4"/>
      <c r="FQ703" s="4"/>
      <c r="FR703" s="4"/>
      <c r="FS703" s="4"/>
      <c r="FT703" s="4"/>
      <c r="FU703" s="4"/>
      <c r="FV703" s="4"/>
      <c r="FW703" s="4"/>
      <c r="FX703" s="4"/>
      <c r="FY703" s="4"/>
      <c r="FZ703" s="4"/>
      <c r="GA703" s="4"/>
      <c r="GB703" s="4"/>
      <c r="GC703" s="4"/>
      <c r="GD703" s="4"/>
      <c r="GE703" s="4"/>
      <c r="GF703" s="4"/>
      <c r="GG703" s="4"/>
      <c r="GH703" s="4"/>
      <c r="GI703" s="4"/>
      <c r="GJ703" s="4"/>
      <c r="GK703" s="4"/>
      <c r="GL703" s="4"/>
      <c r="GM703" s="4"/>
      <c r="GN703" s="4"/>
      <c r="GO703" s="4"/>
      <c r="GP703" s="4"/>
      <c r="GQ703" s="4"/>
      <c r="GR703" s="4"/>
      <c r="GS703" s="4"/>
      <c r="GT703" s="4"/>
      <c r="GU703" s="4"/>
      <c r="GV703" s="4"/>
      <c r="GW703" s="4"/>
      <c r="GX703" s="4"/>
    </row>
    <row r="704">
      <c r="A704" s="2" t="s">
        <v>4455</v>
      </c>
      <c r="B704" s="2" t="s">
        <v>278</v>
      </c>
      <c r="C704" s="2" t="s">
        <v>2227</v>
      </c>
      <c r="D704" s="2" t="s">
        <v>280</v>
      </c>
      <c r="E704" s="2" t="s">
        <v>281</v>
      </c>
      <c r="F704" s="2" t="s">
        <v>4456</v>
      </c>
      <c r="G704" s="2" t="s">
        <v>4456</v>
      </c>
      <c r="H704" s="2" t="s">
        <v>4456</v>
      </c>
      <c r="I704" s="2" t="s">
        <v>283</v>
      </c>
      <c r="J704" s="2" t="s">
        <v>222</v>
      </c>
      <c r="K704" s="2" t="s">
        <v>976</v>
      </c>
      <c r="L704" s="3">
        <v>21.62</v>
      </c>
      <c r="M704" s="3">
        <v>22.7</v>
      </c>
      <c r="N704" s="3">
        <v>46.99</v>
      </c>
      <c r="O704" s="2" t="s">
        <v>224</v>
      </c>
      <c r="P704" s="2" t="s">
        <v>225</v>
      </c>
      <c r="Q704" s="2" t="s">
        <v>226</v>
      </c>
      <c r="R704" s="2" t="s">
        <v>227</v>
      </c>
      <c r="S704" s="2" t="s">
        <v>4457</v>
      </c>
      <c r="T704" s="2" t="s">
        <v>2807</v>
      </c>
      <c r="U704" s="2" t="s">
        <v>674</v>
      </c>
      <c r="V704" s="2" t="s">
        <v>230</v>
      </c>
      <c r="W704" s="2" t="s">
        <v>231</v>
      </c>
      <c r="X704" s="2" t="s">
        <v>836</v>
      </c>
      <c r="Y704" s="2" t="s">
        <v>4458</v>
      </c>
      <c r="Z704" s="4">
        <v>148</v>
      </c>
      <c r="AA704" s="4">
        <f>=ROUNDDOWN(21.1428571428571,0)</f>
      </c>
      <c r="AB704" s="5">
        <v>7</v>
      </c>
      <c r="AC704" s="2" t="s">
        <v>732</v>
      </c>
      <c r="AD704" s="4">
        <v>30</v>
      </c>
      <c r="AE704" s="4">
        <v>80</v>
      </c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227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227</v>
      </c>
      <c r="AW704" s="8" t="s">
        <v>227</v>
      </c>
      <c r="AX704" s="4" t="s">
        <v>227</v>
      </c>
      <c r="AY704" s="8" t="s">
        <v>227</v>
      </c>
      <c r="AZ704" s="7" t="s">
        <v>227</v>
      </c>
      <c r="BA704" s="7" t="s">
        <v>227</v>
      </c>
      <c r="BB704" s="7"/>
      <c r="BC704" s="4" t="s">
        <v>227</v>
      </c>
      <c r="BD704" s="8" t="s">
        <v>227</v>
      </c>
      <c r="BE704" s="4" t="s">
        <v>227</v>
      </c>
      <c r="BF704" s="8" t="s">
        <v>227</v>
      </c>
      <c r="BG704" s="7" t="s">
        <v>227</v>
      </c>
      <c r="BH704" s="7" t="s">
        <v>227</v>
      </c>
      <c r="BI704" s="7"/>
      <c r="BJ704" s="4">
        <v>5</v>
      </c>
      <c r="BK704" s="8">
        <v>113.17</v>
      </c>
      <c r="BL704" s="2" t="s">
        <v>2176</v>
      </c>
      <c r="BM704" s="7"/>
      <c r="BN704" s="7"/>
      <c r="BO704" s="4"/>
      <c r="BP704" s="8"/>
      <c r="BQ704" s="4"/>
      <c r="BR704" s="8"/>
      <c r="BS704" s="7"/>
      <c r="BT704" s="7"/>
      <c r="BU704" s="2" t="s">
        <v>4459</v>
      </c>
      <c r="BV704" s="2" t="s">
        <v>227</v>
      </c>
      <c r="BW704" s="2" t="s">
        <v>227</v>
      </c>
      <c r="BX704" s="2" t="s">
        <v>235</v>
      </c>
      <c r="BY704" s="2" t="s">
        <v>236</v>
      </c>
      <c r="BZ704" s="2" t="s">
        <v>224</v>
      </c>
      <c r="CA704" s="2" t="s">
        <v>4460</v>
      </c>
      <c r="CB704" s="2" t="s">
        <v>4461</v>
      </c>
      <c r="CC704" s="2" t="s">
        <v>239</v>
      </c>
      <c r="CD704" s="2" t="s">
        <v>227</v>
      </c>
      <c r="CE704" s="4">
        <v>148</v>
      </c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>
        <v>30</v>
      </c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>
        <v>50</v>
      </c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/>
      <c r="FG704" s="4"/>
      <c r="FH704" s="4"/>
      <c r="FI704" s="4"/>
      <c r="FJ704" s="4"/>
      <c r="FK704" s="4"/>
      <c r="FL704" s="4"/>
      <c r="FM704" s="4"/>
      <c r="FN704" s="4"/>
      <c r="FO704" s="4"/>
      <c r="FP704" s="4"/>
      <c r="FQ704" s="4"/>
      <c r="FR704" s="4"/>
      <c r="FS704" s="4"/>
      <c r="FT704" s="4"/>
      <c r="FU704" s="4"/>
      <c r="FV704" s="4"/>
      <c r="FW704" s="4"/>
      <c r="FX704" s="4"/>
      <c r="FY704" s="4"/>
      <c r="FZ704" s="4"/>
      <c r="GA704" s="4"/>
      <c r="GB704" s="4"/>
      <c r="GC704" s="4"/>
      <c r="GD704" s="4"/>
      <c r="GE704" s="4"/>
      <c r="GF704" s="4"/>
      <c r="GG704" s="4"/>
      <c r="GH704" s="4"/>
      <c r="GI704" s="4"/>
      <c r="GJ704" s="4"/>
      <c r="GK704" s="4"/>
      <c r="GL704" s="4"/>
      <c r="GM704" s="4"/>
      <c r="GN704" s="4"/>
      <c r="GO704" s="4"/>
      <c r="GP704" s="4"/>
      <c r="GQ704" s="4"/>
      <c r="GR704" s="4"/>
      <c r="GS704" s="4"/>
      <c r="GT704" s="4"/>
      <c r="GU704" s="4"/>
      <c r="GV704" s="4"/>
      <c r="GW704" s="4"/>
      <c r="GX704" s="4"/>
    </row>
    <row r="705">
      <c r="A705" s="2" t="s">
        <v>4462</v>
      </c>
      <c r="B705" s="2" t="s">
        <v>278</v>
      </c>
      <c r="C705" s="2" t="s">
        <v>2227</v>
      </c>
      <c r="D705" s="2" t="s">
        <v>280</v>
      </c>
      <c r="E705" s="2" t="s">
        <v>281</v>
      </c>
      <c r="F705" s="2" t="s">
        <v>4456</v>
      </c>
      <c r="G705" s="2" t="s">
        <v>4456</v>
      </c>
      <c r="H705" s="2" t="s">
        <v>4456</v>
      </c>
      <c r="I705" s="2" t="s">
        <v>283</v>
      </c>
      <c r="J705" s="2" t="s">
        <v>241</v>
      </c>
      <c r="K705" s="2" t="s">
        <v>976</v>
      </c>
      <c r="L705" s="3">
        <v>23.04</v>
      </c>
      <c r="M705" s="3">
        <v>24.19</v>
      </c>
      <c r="N705" s="3">
        <v>47.99</v>
      </c>
      <c r="O705" s="2" t="s">
        <v>224</v>
      </c>
      <c r="P705" s="2" t="s">
        <v>225</v>
      </c>
      <c r="Q705" s="2" t="s">
        <v>226</v>
      </c>
      <c r="R705" s="2" t="s">
        <v>227</v>
      </c>
      <c r="S705" s="2" t="s">
        <v>4457</v>
      </c>
      <c r="T705" s="2" t="s">
        <v>2807</v>
      </c>
      <c r="U705" s="2" t="s">
        <v>674</v>
      </c>
      <c r="V705" s="2" t="s">
        <v>230</v>
      </c>
      <c r="W705" s="2" t="s">
        <v>231</v>
      </c>
      <c r="X705" s="2" t="s">
        <v>836</v>
      </c>
      <c r="Y705" s="2" t="s">
        <v>4458</v>
      </c>
      <c r="Z705" s="4">
        <v>82</v>
      </c>
      <c r="AA705" s="4">
        <f>=ROUNDDOWN(20.5,0)</f>
      </c>
      <c r="AB705" s="5">
        <v>4</v>
      </c>
      <c r="AC705" s="2" t="s">
        <v>732</v>
      </c>
      <c r="AD705" s="4">
        <v>20</v>
      </c>
      <c r="AE705" s="4">
        <v>50</v>
      </c>
      <c r="AF705" s="6">
        <v>65</v>
      </c>
      <c r="AG705" s="6"/>
      <c r="AH705" s="7">
        <v>1</v>
      </c>
      <c r="AI705" s="4"/>
      <c r="AJ705" s="4">
        <f>=ROUNDDOWN({0},0)</f>
      </c>
      <c r="AK705" s="5"/>
      <c r="AL705" s="2" t="s">
        <v>227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227</v>
      </c>
      <c r="AW705" s="8" t="s">
        <v>227</v>
      </c>
      <c r="AX705" s="4" t="s">
        <v>227</v>
      </c>
      <c r="AY705" s="8" t="s">
        <v>227</v>
      </c>
      <c r="AZ705" s="7" t="s">
        <v>227</v>
      </c>
      <c r="BA705" s="7" t="s">
        <v>227</v>
      </c>
      <c r="BB705" s="7"/>
      <c r="BC705" s="4" t="s">
        <v>227</v>
      </c>
      <c r="BD705" s="8" t="s">
        <v>227</v>
      </c>
      <c r="BE705" s="4" t="s">
        <v>227</v>
      </c>
      <c r="BF705" s="8" t="s">
        <v>227</v>
      </c>
      <c r="BG705" s="7" t="s">
        <v>227</v>
      </c>
      <c r="BH705" s="7" t="s">
        <v>227</v>
      </c>
      <c r="BI705" s="7"/>
      <c r="BJ705" s="4">
        <v>10</v>
      </c>
      <c r="BK705" s="8">
        <v>255.16</v>
      </c>
      <c r="BL705" s="2" t="s">
        <v>2107</v>
      </c>
      <c r="BM705" s="7"/>
      <c r="BN705" s="7"/>
      <c r="BO705" s="4"/>
      <c r="BP705" s="8"/>
      <c r="BQ705" s="4"/>
      <c r="BR705" s="8"/>
      <c r="BS705" s="7"/>
      <c r="BT705" s="7"/>
      <c r="BU705" s="2" t="s">
        <v>4463</v>
      </c>
      <c r="BV705" s="2" t="s">
        <v>227</v>
      </c>
      <c r="BW705" s="2" t="s">
        <v>227</v>
      </c>
      <c r="BX705" s="2" t="s">
        <v>235</v>
      </c>
      <c r="BY705" s="2" t="s">
        <v>236</v>
      </c>
      <c r="BZ705" s="2" t="s">
        <v>224</v>
      </c>
      <c r="CA705" s="2" t="s">
        <v>4460</v>
      </c>
      <c r="CB705" s="2" t="s">
        <v>3190</v>
      </c>
      <c r="CC705" s="2" t="s">
        <v>239</v>
      </c>
      <c r="CD705" s="2" t="s">
        <v>227</v>
      </c>
      <c r="CE705" s="4">
        <v>82</v>
      </c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>
        <v>20</v>
      </c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>
        <v>30</v>
      </c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/>
      <c r="FG705" s="4"/>
      <c r="FH705" s="4"/>
      <c r="FI705" s="4"/>
      <c r="FJ705" s="4"/>
      <c r="FK705" s="4"/>
      <c r="FL705" s="4"/>
      <c r="FM705" s="4"/>
      <c r="FN705" s="4"/>
      <c r="FO705" s="4"/>
      <c r="FP705" s="4"/>
      <c r="FQ705" s="4"/>
      <c r="FR705" s="4"/>
      <c r="FS705" s="4"/>
      <c r="FT705" s="4"/>
      <c r="FU705" s="4"/>
      <c r="FV705" s="4"/>
      <c r="FW705" s="4"/>
      <c r="FX705" s="4"/>
      <c r="FY705" s="4"/>
      <c r="FZ705" s="4"/>
      <c r="GA705" s="4"/>
      <c r="GB705" s="4"/>
      <c r="GC705" s="4"/>
      <c r="GD705" s="4"/>
      <c r="GE705" s="4"/>
      <c r="GF705" s="4"/>
      <c r="GG705" s="4"/>
      <c r="GH705" s="4"/>
      <c r="GI705" s="4"/>
      <c r="GJ705" s="4"/>
      <c r="GK705" s="4"/>
      <c r="GL705" s="4"/>
      <c r="GM705" s="4"/>
      <c r="GN705" s="4"/>
      <c r="GO705" s="4"/>
      <c r="GP705" s="4"/>
      <c r="GQ705" s="4"/>
      <c r="GR705" s="4"/>
      <c r="GS705" s="4"/>
      <c r="GT705" s="4"/>
      <c r="GU705" s="4"/>
      <c r="GV705" s="4"/>
      <c r="GW705" s="4"/>
      <c r="GX705" s="4"/>
    </row>
    <row r="706">
      <c r="A706" s="2" t="s">
        <v>4464</v>
      </c>
      <c r="B706" s="2" t="s">
        <v>278</v>
      </c>
      <c r="C706" s="2" t="s">
        <v>2227</v>
      </c>
      <c r="D706" s="2" t="s">
        <v>280</v>
      </c>
      <c r="E706" s="2" t="s">
        <v>281</v>
      </c>
      <c r="F706" s="2" t="s">
        <v>4456</v>
      </c>
      <c r="G706" s="2" t="s">
        <v>4456</v>
      </c>
      <c r="H706" s="2" t="s">
        <v>4456</v>
      </c>
      <c r="I706" s="2" t="s">
        <v>283</v>
      </c>
      <c r="J706" s="2" t="s">
        <v>252</v>
      </c>
      <c r="K706" s="2" t="s">
        <v>976</v>
      </c>
      <c r="L706" s="3">
        <v>28.2</v>
      </c>
      <c r="M706" s="3">
        <v>29.61</v>
      </c>
      <c r="N706" s="3">
        <v>59.99</v>
      </c>
      <c r="O706" s="2" t="s">
        <v>224</v>
      </c>
      <c r="P706" s="2" t="s">
        <v>485</v>
      </c>
      <c r="Q706" s="2" t="s">
        <v>226</v>
      </c>
      <c r="R706" s="2" t="s">
        <v>227</v>
      </c>
      <c r="S706" s="2" t="s">
        <v>4457</v>
      </c>
      <c r="T706" s="2" t="s">
        <v>2807</v>
      </c>
      <c r="U706" s="2" t="s">
        <v>287</v>
      </c>
      <c r="V706" s="2" t="s">
        <v>230</v>
      </c>
      <c r="W706" s="2" t="s">
        <v>231</v>
      </c>
      <c r="X706" s="2" t="s">
        <v>836</v>
      </c>
      <c r="Y706" s="2" t="s">
        <v>4458</v>
      </c>
      <c r="Z706" s="4">
        <v>464</v>
      </c>
      <c r="AA706" s="4">
        <f>=ROUNDDOWN(22.0952380952381,0)</f>
      </c>
      <c r="AB706" s="5">
        <v>21</v>
      </c>
      <c r="AC706" s="2" t="s">
        <v>732</v>
      </c>
      <c r="AD706" s="4">
        <v>170</v>
      </c>
      <c r="AE706" s="4">
        <v>360</v>
      </c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227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227</v>
      </c>
      <c r="AW706" s="8" t="s">
        <v>227</v>
      </c>
      <c r="AX706" s="4" t="s">
        <v>227</v>
      </c>
      <c r="AY706" s="8" t="s">
        <v>227</v>
      </c>
      <c r="AZ706" s="7" t="s">
        <v>227</v>
      </c>
      <c r="BA706" s="7" t="s">
        <v>227</v>
      </c>
      <c r="BB706" s="7"/>
      <c r="BC706" s="4" t="s">
        <v>227</v>
      </c>
      <c r="BD706" s="8" t="s">
        <v>227</v>
      </c>
      <c r="BE706" s="4" t="s">
        <v>227</v>
      </c>
      <c r="BF706" s="8" t="s">
        <v>227</v>
      </c>
      <c r="BG706" s="7" t="s">
        <v>227</v>
      </c>
      <c r="BH706" s="7" t="s">
        <v>227</v>
      </c>
      <c r="BI706" s="7"/>
      <c r="BJ706" s="4">
        <v>22</v>
      </c>
      <c r="BK706" s="8">
        <v>682.02</v>
      </c>
      <c r="BL706" s="2" t="s">
        <v>631</v>
      </c>
      <c r="BM706" s="7"/>
      <c r="BN706" s="7"/>
      <c r="BO706" s="4"/>
      <c r="BP706" s="8"/>
      <c r="BQ706" s="4"/>
      <c r="BR706" s="8"/>
      <c r="BS706" s="7"/>
      <c r="BT706" s="7"/>
      <c r="BU706" s="2" t="s">
        <v>4465</v>
      </c>
      <c r="BV706" s="2" t="s">
        <v>227</v>
      </c>
      <c r="BW706" s="2" t="s">
        <v>227</v>
      </c>
      <c r="BX706" s="2" t="s">
        <v>235</v>
      </c>
      <c r="BY706" s="2" t="s">
        <v>236</v>
      </c>
      <c r="BZ706" s="2" t="s">
        <v>224</v>
      </c>
      <c r="CA706" s="2" t="s">
        <v>4466</v>
      </c>
      <c r="CB706" s="2" t="s">
        <v>4467</v>
      </c>
      <c r="CC706" s="2" t="s">
        <v>239</v>
      </c>
      <c r="CD706" s="2" t="s">
        <v>227</v>
      </c>
      <c r="CE706" s="4">
        <v>416</v>
      </c>
      <c r="CF706" s="4"/>
      <c r="CG706" s="4"/>
      <c r="CH706" s="4"/>
      <c r="CI706" s="4"/>
      <c r="CJ706" s="4"/>
      <c r="CK706" s="4">
        <v>48</v>
      </c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>
        <v>170</v>
      </c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>
        <v>190</v>
      </c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/>
      <c r="FG706" s="4"/>
      <c r="FH706" s="4"/>
      <c r="FI706" s="4"/>
      <c r="FJ706" s="4"/>
      <c r="FK706" s="4"/>
      <c r="FL706" s="4"/>
      <c r="FM706" s="4"/>
      <c r="FN706" s="4"/>
      <c r="FO706" s="4"/>
      <c r="FP706" s="4"/>
      <c r="FQ706" s="4"/>
      <c r="FR706" s="4"/>
      <c r="FS706" s="4"/>
      <c r="FT706" s="4"/>
      <c r="FU706" s="4"/>
      <c r="FV706" s="4"/>
      <c r="FW706" s="4"/>
      <c r="FX706" s="4"/>
      <c r="FY706" s="4"/>
      <c r="FZ706" s="4"/>
      <c r="GA706" s="4"/>
      <c r="GB706" s="4"/>
      <c r="GC706" s="4"/>
      <c r="GD706" s="4"/>
      <c r="GE706" s="4"/>
      <c r="GF706" s="4"/>
      <c r="GG706" s="4"/>
      <c r="GH706" s="4"/>
      <c r="GI706" s="4"/>
      <c r="GJ706" s="4"/>
      <c r="GK706" s="4"/>
      <c r="GL706" s="4"/>
      <c r="GM706" s="4"/>
      <c r="GN706" s="4"/>
      <c r="GO706" s="4"/>
      <c r="GP706" s="4"/>
      <c r="GQ706" s="4"/>
      <c r="GR706" s="4"/>
      <c r="GS706" s="4"/>
      <c r="GT706" s="4"/>
      <c r="GU706" s="4"/>
      <c r="GV706" s="4"/>
      <c r="GW706" s="4"/>
      <c r="GX706" s="4"/>
    </row>
    <row r="707">
      <c r="A707" s="2" t="s">
        <v>4468</v>
      </c>
      <c r="B707" s="2" t="s">
        <v>278</v>
      </c>
      <c r="C707" s="2" t="s">
        <v>2227</v>
      </c>
      <c r="D707" s="2" t="s">
        <v>280</v>
      </c>
      <c r="E707" s="2" t="s">
        <v>281</v>
      </c>
      <c r="F707" s="2" t="s">
        <v>4456</v>
      </c>
      <c r="G707" s="2" t="s">
        <v>4456</v>
      </c>
      <c r="H707" s="2" t="s">
        <v>4456</v>
      </c>
      <c r="I707" s="2" t="s">
        <v>283</v>
      </c>
      <c r="J707" s="2" t="s">
        <v>384</v>
      </c>
      <c r="K707" s="2" t="s">
        <v>976</v>
      </c>
      <c r="L707" s="3">
        <v>31.85</v>
      </c>
      <c r="M707" s="3">
        <v>33.44</v>
      </c>
      <c r="N707" s="3">
        <v>64.99</v>
      </c>
      <c r="O707" s="2" t="s">
        <v>224</v>
      </c>
      <c r="P707" s="2" t="s">
        <v>225</v>
      </c>
      <c r="Q707" s="2" t="s">
        <v>226</v>
      </c>
      <c r="R707" s="2" t="s">
        <v>227</v>
      </c>
      <c r="S707" s="2" t="s">
        <v>4457</v>
      </c>
      <c r="T707" s="2" t="s">
        <v>2807</v>
      </c>
      <c r="U707" s="2" t="s">
        <v>287</v>
      </c>
      <c r="V707" s="2" t="s">
        <v>230</v>
      </c>
      <c r="W707" s="2" t="s">
        <v>231</v>
      </c>
      <c r="X707" s="2" t="s">
        <v>836</v>
      </c>
      <c r="Y707" s="2" t="s">
        <v>4458</v>
      </c>
      <c r="Z707" s="4">
        <v>108</v>
      </c>
      <c r="AA707" s="4">
        <f>=ROUNDDOWN(21.6,0)</f>
      </c>
      <c r="AB707" s="5">
        <v>5</v>
      </c>
      <c r="AC707" s="2" t="s">
        <v>732</v>
      </c>
      <c r="AD707" s="4">
        <v>30</v>
      </c>
      <c r="AE707" s="4">
        <v>70</v>
      </c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227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227</v>
      </c>
      <c r="AW707" s="8" t="s">
        <v>227</v>
      </c>
      <c r="AX707" s="4" t="s">
        <v>227</v>
      </c>
      <c r="AY707" s="8" t="s">
        <v>227</v>
      </c>
      <c r="AZ707" s="7" t="s">
        <v>227</v>
      </c>
      <c r="BA707" s="7" t="s">
        <v>227</v>
      </c>
      <c r="BB707" s="7"/>
      <c r="BC707" s="4" t="s">
        <v>227</v>
      </c>
      <c r="BD707" s="8" t="s">
        <v>227</v>
      </c>
      <c r="BE707" s="4" t="s">
        <v>227</v>
      </c>
      <c r="BF707" s="8" t="s">
        <v>227</v>
      </c>
      <c r="BG707" s="7" t="s">
        <v>227</v>
      </c>
      <c r="BH707" s="7" t="s">
        <v>227</v>
      </c>
      <c r="BI707" s="7"/>
      <c r="BJ707" s="4">
        <v>6</v>
      </c>
      <c r="BK707" s="8">
        <v>210.31</v>
      </c>
      <c r="BL707" s="2" t="s">
        <v>2332</v>
      </c>
      <c r="BM707" s="7"/>
      <c r="BN707" s="7"/>
      <c r="BO707" s="4"/>
      <c r="BP707" s="8"/>
      <c r="BQ707" s="4"/>
      <c r="BR707" s="8"/>
      <c r="BS707" s="7"/>
      <c r="BT707" s="7"/>
      <c r="BU707" s="2" t="s">
        <v>4469</v>
      </c>
      <c r="BV707" s="2" t="s">
        <v>227</v>
      </c>
      <c r="BW707" s="2" t="s">
        <v>227</v>
      </c>
      <c r="BX707" s="2" t="s">
        <v>235</v>
      </c>
      <c r="BY707" s="2" t="s">
        <v>236</v>
      </c>
      <c r="BZ707" s="2" t="s">
        <v>224</v>
      </c>
      <c r="CA707" s="2" t="s">
        <v>4466</v>
      </c>
      <c r="CB707" s="2" t="s">
        <v>4470</v>
      </c>
      <c r="CC707" s="2" t="s">
        <v>239</v>
      </c>
      <c r="CD707" s="2" t="s">
        <v>227</v>
      </c>
      <c r="CE707" s="4">
        <v>108</v>
      </c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>
        <v>30</v>
      </c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>
        <v>40</v>
      </c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/>
      <c r="FG707" s="4"/>
      <c r="FH707" s="4"/>
      <c r="FI707" s="4"/>
      <c r="FJ707" s="4"/>
      <c r="FK707" s="4"/>
      <c r="FL707" s="4"/>
      <c r="FM707" s="4"/>
      <c r="FN707" s="4"/>
      <c r="FO707" s="4"/>
      <c r="FP707" s="4"/>
      <c r="FQ707" s="4"/>
      <c r="FR707" s="4"/>
      <c r="FS707" s="4"/>
      <c r="FT707" s="4"/>
      <c r="FU707" s="4"/>
      <c r="FV707" s="4"/>
      <c r="FW707" s="4"/>
      <c r="FX707" s="4"/>
      <c r="FY707" s="4"/>
      <c r="FZ707" s="4"/>
      <c r="GA707" s="4"/>
      <c r="GB707" s="4"/>
      <c r="GC707" s="4"/>
      <c r="GD707" s="4"/>
      <c r="GE707" s="4"/>
      <c r="GF707" s="4"/>
      <c r="GG707" s="4"/>
      <c r="GH707" s="4"/>
      <c r="GI707" s="4"/>
      <c r="GJ707" s="4"/>
      <c r="GK707" s="4"/>
      <c r="GL707" s="4"/>
      <c r="GM707" s="4"/>
      <c r="GN707" s="4"/>
      <c r="GO707" s="4"/>
      <c r="GP707" s="4"/>
      <c r="GQ707" s="4"/>
      <c r="GR707" s="4"/>
      <c r="GS707" s="4"/>
      <c r="GT707" s="4"/>
      <c r="GU707" s="4"/>
      <c r="GV707" s="4"/>
      <c r="GW707" s="4"/>
      <c r="GX707" s="4"/>
    </row>
    <row r="708">
      <c r="A708" s="2" t="s">
        <v>4471</v>
      </c>
      <c r="B708" s="2" t="s">
        <v>278</v>
      </c>
      <c r="C708" s="2" t="s">
        <v>2227</v>
      </c>
      <c r="D708" s="2" t="s">
        <v>280</v>
      </c>
      <c r="E708" s="2" t="s">
        <v>281</v>
      </c>
      <c r="F708" s="2" t="s">
        <v>4456</v>
      </c>
      <c r="G708" s="2" t="s">
        <v>4456</v>
      </c>
      <c r="H708" s="2" t="s">
        <v>4456</v>
      </c>
      <c r="I708" s="2" t="s">
        <v>283</v>
      </c>
      <c r="J708" s="2" t="s">
        <v>241</v>
      </c>
      <c r="K708" s="2" t="s">
        <v>223</v>
      </c>
      <c r="L708" s="3">
        <v>23.04</v>
      </c>
      <c r="M708" s="3">
        <v>24.19</v>
      </c>
      <c r="N708" s="3">
        <v>47.99</v>
      </c>
      <c r="O708" s="2" t="s">
        <v>224</v>
      </c>
      <c r="P708" s="2" t="s">
        <v>225</v>
      </c>
      <c r="Q708" s="2" t="s">
        <v>226</v>
      </c>
      <c r="R708" s="2" t="s">
        <v>227</v>
      </c>
      <c r="S708" s="2" t="s">
        <v>4472</v>
      </c>
      <c r="T708" s="2" t="s">
        <v>2807</v>
      </c>
      <c r="U708" s="2" t="s">
        <v>674</v>
      </c>
      <c r="V708" s="2" t="s">
        <v>230</v>
      </c>
      <c r="W708" s="2" t="s">
        <v>231</v>
      </c>
      <c r="X708" s="2" t="s">
        <v>836</v>
      </c>
      <c r="Y708" s="2" t="s">
        <v>232</v>
      </c>
      <c r="Z708" s="4">
        <v>308</v>
      </c>
      <c r="AA708" s="4">
        <f>=ROUNDDOWN(17.1111111111111,0)</f>
      </c>
      <c r="AB708" s="5">
        <v>18</v>
      </c>
      <c r="AC708" s="2" t="s">
        <v>732</v>
      </c>
      <c r="AD708" s="4">
        <v>100</v>
      </c>
      <c r="AE708" s="4">
        <v>220</v>
      </c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227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227</v>
      </c>
      <c r="AW708" s="8" t="s">
        <v>227</v>
      </c>
      <c r="AX708" s="4" t="s">
        <v>227</v>
      </c>
      <c r="AY708" s="8" t="s">
        <v>227</v>
      </c>
      <c r="AZ708" s="7" t="s">
        <v>227</v>
      </c>
      <c r="BA708" s="7" t="s">
        <v>227</v>
      </c>
      <c r="BB708" s="7"/>
      <c r="BC708" s="4" t="s">
        <v>227</v>
      </c>
      <c r="BD708" s="8" t="s">
        <v>227</v>
      </c>
      <c r="BE708" s="4" t="s">
        <v>227</v>
      </c>
      <c r="BF708" s="8" t="s">
        <v>227</v>
      </c>
      <c r="BG708" s="7" t="s">
        <v>227</v>
      </c>
      <c r="BH708" s="7" t="s">
        <v>227</v>
      </c>
      <c r="BI708" s="7"/>
      <c r="BJ708" s="4">
        <v>32</v>
      </c>
      <c r="BK708" s="8">
        <v>795.2</v>
      </c>
      <c r="BL708" s="2" t="s">
        <v>4473</v>
      </c>
      <c r="BM708" s="7"/>
      <c r="BN708" s="7"/>
      <c r="BO708" s="4"/>
      <c r="BP708" s="8"/>
      <c r="BQ708" s="4"/>
      <c r="BR708" s="8"/>
      <c r="BS708" s="7"/>
      <c r="BT708" s="7"/>
      <c r="BU708" s="2" t="s">
        <v>4474</v>
      </c>
      <c r="BV708" s="2" t="s">
        <v>227</v>
      </c>
      <c r="BW708" s="2" t="s">
        <v>227</v>
      </c>
      <c r="BX708" s="2" t="s">
        <v>235</v>
      </c>
      <c r="BY708" s="2" t="s">
        <v>236</v>
      </c>
      <c r="BZ708" s="2" t="s">
        <v>224</v>
      </c>
      <c r="CA708" s="2" t="s">
        <v>237</v>
      </c>
      <c r="CB708" s="2" t="s">
        <v>4475</v>
      </c>
      <c r="CC708" s="2" t="s">
        <v>239</v>
      </c>
      <c r="CD708" s="2" t="s">
        <v>227</v>
      </c>
      <c r="CE708" s="4">
        <v>308</v>
      </c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>
        <v>100</v>
      </c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>
        <v>120</v>
      </c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/>
      <c r="FG708" s="4"/>
      <c r="FH708" s="4"/>
      <c r="FI708" s="4"/>
      <c r="FJ708" s="4"/>
      <c r="FK708" s="4"/>
      <c r="FL708" s="4"/>
      <c r="FM708" s="4"/>
      <c r="FN708" s="4"/>
      <c r="FO708" s="4"/>
      <c r="FP708" s="4"/>
      <c r="FQ708" s="4"/>
      <c r="FR708" s="4"/>
      <c r="FS708" s="4"/>
      <c r="FT708" s="4"/>
      <c r="FU708" s="4"/>
      <c r="FV708" s="4"/>
      <c r="FW708" s="4"/>
      <c r="FX708" s="4"/>
      <c r="FY708" s="4"/>
      <c r="FZ708" s="4"/>
      <c r="GA708" s="4"/>
      <c r="GB708" s="4"/>
      <c r="GC708" s="4"/>
      <c r="GD708" s="4"/>
      <c r="GE708" s="4"/>
      <c r="GF708" s="4"/>
      <c r="GG708" s="4"/>
      <c r="GH708" s="4"/>
      <c r="GI708" s="4"/>
      <c r="GJ708" s="4"/>
      <c r="GK708" s="4"/>
      <c r="GL708" s="4"/>
      <c r="GM708" s="4"/>
      <c r="GN708" s="4"/>
      <c r="GO708" s="4"/>
      <c r="GP708" s="4"/>
      <c r="GQ708" s="4"/>
      <c r="GR708" s="4"/>
      <c r="GS708" s="4"/>
      <c r="GT708" s="4"/>
      <c r="GU708" s="4"/>
      <c r="GV708" s="4"/>
      <c r="GW708" s="4"/>
      <c r="GX708" s="4"/>
    </row>
    <row r="709">
      <c r="A709" s="2" t="s">
        <v>4476</v>
      </c>
      <c r="B709" s="2" t="s">
        <v>278</v>
      </c>
      <c r="C709" s="2" t="s">
        <v>2227</v>
      </c>
      <c r="D709" s="2" t="s">
        <v>280</v>
      </c>
      <c r="E709" s="2" t="s">
        <v>281</v>
      </c>
      <c r="F709" s="2" t="s">
        <v>4456</v>
      </c>
      <c r="G709" s="2" t="s">
        <v>4456</v>
      </c>
      <c r="H709" s="2" t="s">
        <v>4456</v>
      </c>
      <c r="I709" s="2" t="s">
        <v>283</v>
      </c>
      <c r="J709" s="2" t="s">
        <v>257</v>
      </c>
      <c r="K709" s="2" t="s">
        <v>223</v>
      </c>
      <c r="L709" s="3">
        <v>31.2</v>
      </c>
      <c r="M709" s="3">
        <v>32.76</v>
      </c>
      <c r="N709" s="3">
        <v>64.99</v>
      </c>
      <c r="O709" s="2" t="s">
        <v>224</v>
      </c>
      <c r="P709" s="2" t="s">
        <v>225</v>
      </c>
      <c r="Q709" s="2" t="s">
        <v>226</v>
      </c>
      <c r="R709" s="2" t="s">
        <v>227</v>
      </c>
      <c r="S709" s="2" t="s">
        <v>4472</v>
      </c>
      <c r="T709" s="2" t="s">
        <v>2807</v>
      </c>
      <c r="U709" s="2" t="s">
        <v>287</v>
      </c>
      <c r="V709" s="2" t="s">
        <v>230</v>
      </c>
      <c r="W709" s="2" t="s">
        <v>231</v>
      </c>
      <c r="X709" s="2" t="s">
        <v>836</v>
      </c>
      <c r="Y709" s="2" t="s">
        <v>232</v>
      </c>
      <c r="Z709" s="4">
        <v>383</v>
      </c>
      <c r="AA709" s="4">
        <f>=ROUNDDOWN(19.15,0)</f>
      </c>
      <c r="AB709" s="5">
        <v>20</v>
      </c>
      <c r="AC709" s="2" t="s">
        <v>2082</v>
      </c>
      <c r="AD709" s="4">
        <v>110</v>
      </c>
      <c r="AE709" s="4">
        <v>260</v>
      </c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227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227</v>
      </c>
      <c r="AW709" s="8" t="s">
        <v>227</v>
      </c>
      <c r="AX709" s="4" t="s">
        <v>227</v>
      </c>
      <c r="AY709" s="8" t="s">
        <v>227</v>
      </c>
      <c r="AZ709" s="7" t="s">
        <v>227</v>
      </c>
      <c r="BA709" s="7" t="s">
        <v>227</v>
      </c>
      <c r="BB709" s="7"/>
      <c r="BC709" s="4" t="s">
        <v>227</v>
      </c>
      <c r="BD709" s="8" t="s">
        <v>227</v>
      </c>
      <c r="BE709" s="4" t="s">
        <v>227</v>
      </c>
      <c r="BF709" s="8" t="s">
        <v>227</v>
      </c>
      <c r="BG709" s="7" t="s">
        <v>227</v>
      </c>
      <c r="BH709" s="7" t="s">
        <v>227</v>
      </c>
      <c r="BI709" s="7"/>
      <c r="BJ709" s="4">
        <v>27</v>
      </c>
      <c r="BK709" s="8">
        <v>897.94</v>
      </c>
      <c r="BL709" s="2" t="s">
        <v>4477</v>
      </c>
      <c r="BM709" s="7"/>
      <c r="BN709" s="7"/>
      <c r="BO709" s="4"/>
      <c r="BP709" s="8"/>
      <c r="BQ709" s="4"/>
      <c r="BR709" s="8"/>
      <c r="BS709" s="7"/>
      <c r="BT709" s="7"/>
      <c r="BU709" s="2" t="s">
        <v>4478</v>
      </c>
      <c r="BV709" s="2" t="s">
        <v>227</v>
      </c>
      <c r="BW709" s="2" t="s">
        <v>227</v>
      </c>
      <c r="BX709" s="2" t="s">
        <v>235</v>
      </c>
      <c r="BY709" s="2" t="s">
        <v>236</v>
      </c>
      <c r="BZ709" s="2" t="s">
        <v>224</v>
      </c>
      <c r="CA709" s="2" t="s">
        <v>237</v>
      </c>
      <c r="CB709" s="2" t="s">
        <v>4479</v>
      </c>
      <c r="CC709" s="2" t="s">
        <v>239</v>
      </c>
      <c r="CD709" s="2" t="s">
        <v>227</v>
      </c>
      <c r="CE709" s="4">
        <v>383</v>
      </c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>
        <v>110</v>
      </c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>
        <v>150</v>
      </c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/>
      <c r="FG709" s="4"/>
      <c r="FH709" s="4"/>
      <c r="FI709" s="4"/>
      <c r="FJ709" s="4"/>
      <c r="FK709" s="4"/>
      <c r="FL709" s="4"/>
      <c r="FM709" s="4"/>
      <c r="FN709" s="4"/>
      <c r="FO709" s="4"/>
      <c r="FP709" s="4"/>
      <c r="FQ709" s="4"/>
      <c r="FR709" s="4"/>
      <c r="FS709" s="4"/>
      <c r="FT709" s="4"/>
      <c r="FU709" s="4"/>
      <c r="FV709" s="4"/>
      <c r="FW709" s="4"/>
      <c r="FX709" s="4"/>
      <c r="FY709" s="4"/>
      <c r="FZ709" s="4"/>
      <c r="GA709" s="4"/>
      <c r="GB709" s="4"/>
      <c r="GC709" s="4"/>
      <c r="GD709" s="4"/>
      <c r="GE709" s="4"/>
      <c r="GF709" s="4"/>
      <c r="GG709" s="4"/>
      <c r="GH709" s="4"/>
      <c r="GI709" s="4"/>
      <c r="GJ709" s="4"/>
      <c r="GK709" s="4"/>
      <c r="GL709" s="4"/>
      <c r="GM709" s="4"/>
      <c r="GN709" s="4"/>
      <c r="GO709" s="4"/>
      <c r="GP709" s="4"/>
      <c r="GQ709" s="4"/>
      <c r="GR709" s="4"/>
      <c r="GS709" s="4"/>
      <c r="GT709" s="4"/>
      <c r="GU709" s="4"/>
      <c r="GV709" s="4"/>
      <c r="GW709" s="4"/>
      <c r="GX709" s="4"/>
    </row>
    <row r="710">
      <c r="A710" s="2" t="s">
        <v>4480</v>
      </c>
      <c r="B710" s="2" t="s">
        <v>278</v>
      </c>
      <c r="C710" s="2" t="s">
        <v>2227</v>
      </c>
      <c r="D710" s="2" t="s">
        <v>280</v>
      </c>
      <c r="E710" s="2" t="s">
        <v>281</v>
      </c>
      <c r="F710" s="2" t="s">
        <v>4456</v>
      </c>
      <c r="G710" s="2" t="s">
        <v>4456</v>
      </c>
      <c r="H710" s="2" t="s">
        <v>4456</v>
      </c>
      <c r="I710" s="2" t="s">
        <v>283</v>
      </c>
      <c r="J710" s="2" t="s">
        <v>222</v>
      </c>
      <c r="K710" s="2" t="s">
        <v>389</v>
      </c>
      <c r="L710" s="3">
        <v>21.62</v>
      </c>
      <c r="M710" s="3">
        <v>22.7</v>
      </c>
      <c r="N710" s="3">
        <v>46.99</v>
      </c>
      <c r="O710" s="2" t="s">
        <v>224</v>
      </c>
      <c r="P710" s="2" t="s">
        <v>225</v>
      </c>
      <c r="Q710" s="2" t="s">
        <v>226</v>
      </c>
      <c r="R710" s="2" t="s">
        <v>227</v>
      </c>
      <c r="S710" s="2" t="s">
        <v>4481</v>
      </c>
      <c r="T710" s="2" t="s">
        <v>2807</v>
      </c>
      <c r="U710" s="2" t="s">
        <v>674</v>
      </c>
      <c r="V710" s="2" t="s">
        <v>230</v>
      </c>
      <c r="W710" s="2" t="s">
        <v>231</v>
      </c>
      <c r="X710" s="2" t="s">
        <v>836</v>
      </c>
      <c r="Y710" s="2" t="s">
        <v>4482</v>
      </c>
      <c r="Z710" s="4">
        <v>136</v>
      </c>
      <c r="AA710" s="4">
        <f>=ROUNDDOWN(17,0)</f>
      </c>
      <c r="AB710" s="5">
        <v>8</v>
      </c>
      <c r="AC710" s="2" t="s">
        <v>732</v>
      </c>
      <c r="AD710" s="4">
        <v>40</v>
      </c>
      <c r="AE710" s="4">
        <v>100</v>
      </c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227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227</v>
      </c>
      <c r="AW710" s="8" t="s">
        <v>227</v>
      </c>
      <c r="AX710" s="4" t="s">
        <v>227</v>
      </c>
      <c r="AY710" s="8" t="s">
        <v>227</v>
      </c>
      <c r="AZ710" s="7" t="s">
        <v>227</v>
      </c>
      <c r="BA710" s="7" t="s">
        <v>227</v>
      </c>
      <c r="BB710" s="7"/>
      <c r="BC710" s="4" t="s">
        <v>227</v>
      </c>
      <c r="BD710" s="8" t="s">
        <v>227</v>
      </c>
      <c r="BE710" s="4" t="s">
        <v>227</v>
      </c>
      <c r="BF710" s="8" t="s">
        <v>227</v>
      </c>
      <c r="BG710" s="7" t="s">
        <v>227</v>
      </c>
      <c r="BH710" s="7" t="s">
        <v>227</v>
      </c>
      <c r="BI710" s="7"/>
      <c r="BJ710" s="4">
        <v>22</v>
      </c>
      <c r="BK710" s="8">
        <v>541.58</v>
      </c>
      <c r="BL710" s="2" t="s">
        <v>4483</v>
      </c>
      <c r="BM710" s="7"/>
      <c r="BN710" s="7"/>
      <c r="BO710" s="4"/>
      <c r="BP710" s="8"/>
      <c r="BQ710" s="4"/>
      <c r="BR710" s="8"/>
      <c r="BS710" s="7"/>
      <c r="BT710" s="7"/>
      <c r="BU710" s="2" t="s">
        <v>4484</v>
      </c>
      <c r="BV710" s="2" t="s">
        <v>227</v>
      </c>
      <c r="BW710" s="2" t="s">
        <v>227</v>
      </c>
      <c r="BX710" s="2" t="s">
        <v>235</v>
      </c>
      <c r="BY710" s="2" t="s">
        <v>236</v>
      </c>
      <c r="BZ710" s="2" t="s">
        <v>224</v>
      </c>
      <c r="CA710" s="2" t="s">
        <v>1118</v>
      </c>
      <c r="CB710" s="2" t="s">
        <v>1446</v>
      </c>
      <c r="CC710" s="2" t="s">
        <v>239</v>
      </c>
      <c r="CD710" s="2" t="s">
        <v>227</v>
      </c>
      <c r="CE710" s="4">
        <v>136</v>
      </c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>
        <v>40</v>
      </c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>
        <v>60</v>
      </c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/>
      <c r="FG710" s="4"/>
      <c r="FH710" s="4"/>
      <c r="FI710" s="4"/>
      <c r="FJ710" s="4"/>
      <c r="FK710" s="4"/>
      <c r="FL710" s="4"/>
      <c r="FM710" s="4"/>
      <c r="FN710" s="4"/>
      <c r="FO710" s="4"/>
      <c r="FP710" s="4"/>
      <c r="FQ710" s="4"/>
      <c r="FR710" s="4"/>
      <c r="FS710" s="4"/>
      <c r="FT710" s="4"/>
      <c r="FU710" s="4"/>
      <c r="FV710" s="4"/>
      <c r="FW710" s="4"/>
      <c r="FX710" s="4"/>
      <c r="FY710" s="4"/>
      <c r="FZ710" s="4"/>
      <c r="GA710" s="4"/>
      <c r="GB710" s="4"/>
      <c r="GC710" s="4"/>
      <c r="GD710" s="4"/>
      <c r="GE710" s="4"/>
      <c r="GF710" s="4"/>
      <c r="GG710" s="4"/>
      <c r="GH710" s="4"/>
      <c r="GI710" s="4"/>
      <c r="GJ710" s="4"/>
      <c r="GK710" s="4"/>
      <c r="GL710" s="4"/>
      <c r="GM710" s="4"/>
      <c r="GN710" s="4"/>
      <c r="GO710" s="4"/>
      <c r="GP710" s="4"/>
      <c r="GQ710" s="4"/>
      <c r="GR710" s="4"/>
      <c r="GS710" s="4"/>
      <c r="GT710" s="4"/>
      <c r="GU710" s="4"/>
      <c r="GV710" s="4"/>
      <c r="GW710" s="4"/>
      <c r="GX710" s="4"/>
    </row>
    <row r="711">
      <c r="A711" s="2" t="s">
        <v>4485</v>
      </c>
      <c r="B711" s="2" t="s">
        <v>278</v>
      </c>
      <c r="C711" s="2" t="s">
        <v>2227</v>
      </c>
      <c r="D711" s="2" t="s">
        <v>280</v>
      </c>
      <c r="E711" s="2" t="s">
        <v>281</v>
      </c>
      <c r="F711" s="2" t="s">
        <v>4456</v>
      </c>
      <c r="G711" s="2" t="s">
        <v>4456</v>
      </c>
      <c r="H711" s="2" t="s">
        <v>4456</v>
      </c>
      <c r="I711" s="2" t="s">
        <v>283</v>
      </c>
      <c r="J711" s="2" t="s">
        <v>241</v>
      </c>
      <c r="K711" s="2" t="s">
        <v>389</v>
      </c>
      <c r="L711" s="3">
        <v>23.04</v>
      </c>
      <c r="M711" s="3">
        <v>24.19</v>
      </c>
      <c r="N711" s="3">
        <v>47.99</v>
      </c>
      <c r="O711" s="2" t="s">
        <v>224</v>
      </c>
      <c r="P711" s="2" t="s">
        <v>225</v>
      </c>
      <c r="Q711" s="2" t="s">
        <v>226</v>
      </c>
      <c r="R711" s="2" t="s">
        <v>227</v>
      </c>
      <c r="S711" s="2" t="s">
        <v>4481</v>
      </c>
      <c r="T711" s="2" t="s">
        <v>2807</v>
      </c>
      <c r="U711" s="2" t="s">
        <v>674</v>
      </c>
      <c r="V711" s="2" t="s">
        <v>230</v>
      </c>
      <c r="W711" s="2" t="s">
        <v>231</v>
      </c>
      <c r="X711" s="2" t="s">
        <v>836</v>
      </c>
      <c r="Y711" s="2" t="s">
        <v>4482</v>
      </c>
      <c r="Z711" s="4">
        <v>119</v>
      </c>
      <c r="AA711" s="4">
        <f>=ROUNDDOWN(17,0)</f>
      </c>
      <c r="AB711" s="5">
        <v>7</v>
      </c>
      <c r="AC711" s="2" t="s">
        <v>732</v>
      </c>
      <c r="AD711" s="4">
        <v>40</v>
      </c>
      <c r="AE711" s="4">
        <v>90</v>
      </c>
      <c r="AF711" s="6">
        <v>65</v>
      </c>
      <c r="AG711" s="6"/>
      <c r="AH711" s="7">
        <v>1</v>
      </c>
      <c r="AI711" s="4"/>
      <c r="AJ711" s="4">
        <f>=ROUNDDOWN({0},0)</f>
      </c>
      <c r="AK711" s="5"/>
      <c r="AL711" s="2" t="s">
        <v>227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227</v>
      </c>
      <c r="AW711" s="8" t="s">
        <v>227</v>
      </c>
      <c r="AX711" s="4" t="s">
        <v>227</v>
      </c>
      <c r="AY711" s="8" t="s">
        <v>227</v>
      </c>
      <c r="AZ711" s="7" t="s">
        <v>227</v>
      </c>
      <c r="BA711" s="7" t="s">
        <v>227</v>
      </c>
      <c r="BB711" s="7"/>
      <c r="BC711" s="4" t="s">
        <v>227</v>
      </c>
      <c r="BD711" s="8" t="s">
        <v>227</v>
      </c>
      <c r="BE711" s="4" t="s">
        <v>227</v>
      </c>
      <c r="BF711" s="8" t="s">
        <v>227</v>
      </c>
      <c r="BG711" s="7" t="s">
        <v>227</v>
      </c>
      <c r="BH711" s="7" t="s">
        <v>227</v>
      </c>
      <c r="BI711" s="7"/>
      <c r="BJ711" s="4">
        <v>31</v>
      </c>
      <c r="BK711" s="8">
        <v>817.45</v>
      </c>
      <c r="BL711" s="2" t="s">
        <v>1731</v>
      </c>
      <c r="BM711" s="7"/>
      <c r="BN711" s="7"/>
      <c r="BO711" s="4"/>
      <c r="BP711" s="8"/>
      <c r="BQ711" s="4"/>
      <c r="BR711" s="8"/>
      <c r="BS711" s="7"/>
      <c r="BT711" s="7"/>
      <c r="BU711" s="2" t="s">
        <v>4486</v>
      </c>
      <c r="BV711" s="2" t="s">
        <v>227</v>
      </c>
      <c r="BW711" s="2" t="s">
        <v>227</v>
      </c>
      <c r="BX711" s="2" t="s">
        <v>235</v>
      </c>
      <c r="BY711" s="2" t="s">
        <v>236</v>
      </c>
      <c r="BZ711" s="2" t="s">
        <v>224</v>
      </c>
      <c r="CA711" s="2" t="s">
        <v>1118</v>
      </c>
      <c r="CB711" s="2" t="s">
        <v>1919</v>
      </c>
      <c r="CC711" s="2" t="s">
        <v>239</v>
      </c>
      <c r="CD711" s="2" t="s">
        <v>227</v>
      </c>
      <c r="CE711" s="4">
        <v>119</v>
      </c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>
        <v>40</v>
      </c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>
        <v>50</v>
      </c>
      <c r="EU711" s="4"/>
      <c r="EV711" s="4"/>
      <c r="EW711" s="4"/>
      <c r="EX711" s="4"/>
      <c r="EY711" s="4"/>
      <c r="EZ711" s="4"/>
      <c r="FA711" s="4"/>
      <c r="FB711" s="4"/>
      <c r="FC711" s="4"/>
      <c r="FD711" s="4"/>
      <c r="FE711" s="4"/>
      <c r="FF711" s="4"/>
      <c r="FG711" s="4"/>
      <c r="FH711" s="4"/>
      <c r="FI711" s="4"/>
      <c r="FJ711" s="4"/>
      <c r="FK711" s="4"/>
      <c r="FL711" s="4"/>
      <c r="FM711" s="4"/>
      <c r="FN711" s="4"/>
      <c r="FO711" s="4"/>
      <c r="FP711" s="4"/>
      <c r="FQ711" s="4"/>
      <c r="FR711" s="4"/>
      <c r="FS711" s="4"/>
      <c r="FT711" s="4"/>
      <c r="FU711" s="4"/>
      <c r="FV711" s="4"/>
      <c r="FW711" s="4"/>
      <c r="FX711" s="4"/>
      <c r="FY711" s="4"/>
      <c r="FZ711" s="4"/>
      <c r="GA711" s="4"/>
      <c r="GB711" s="4"/>
      <c r="GC711" s="4"/>
      <c r="GD711" s="4"/>
      <c r="GE711" s="4"/>
      <c r="GF711" s="4"/>
      <c r="GG711" s="4"/>
      <c r="GH711" s="4"/>
      <c r="GI711" s="4"/>
      <c r="GJ711" s="4"/>
      <c r="GK711" s="4"/>
      <c r="GL711" s="4"/>
      <c r="GM711" s="4"/>
      <c r="GN711" s="4"/>
      <c r="GO711" s="4"/>
      <c r="GP711" s="4"/>
      <c r="GQ711" s="4"/>
      <c r="GR711" s="4"/>
      <c r="GS711" s="4"/>
      <c r="GT711" s="4"/>
      <c r="GU711" s="4"/>
      <c r="GV711" s="4"/>
      <c r="GW711" s="4"/>
      <c r="GX711" s="4"/>
    </row>
    <row r="712">
      <c r="A712" s="2" t="s">
        <v>4487</v>
      </c>
      <c r="B712" s="2" t="s">
        <v>278</v>
      </c>
      <c r="C712" s="2" t="s">
        <v>2227</v>
      </c>
      <c r="D712" s="2" t="s">
        <v>280</v>
      </c>
      <c r="E712" s="2" t="s">
        <v>281</v>
      </c>
      <c r="F712" s="2" t="s">
        <v>4456</v>
      </c>
      <c r="G712" s="2" t="s">
        <v>4456</v>
      </c>
      <c r="H712" s="2" t="s">
        <v>4456</v>
      </c>
      <c r="I712" s="2" t="s">
        <v>283</v>
      </c>
      <c r="J712" s="2" t="s">
        <v>247</v>
      </c>
      <c r="K712" s="2" t="s">
        <v>389</v>
      </c>
      <c r="L712" s="3">
        <v>25.3</v>
      </c>
      <c r="M712" s="3">
        <v>26.57</v>
      </c>
      <c r="N712" s="3">
        <v>54.99</v>
      </c>
      <c r="O712" s="2" t="s">
        <v>224</v>
      </c>
      <c r="P712" s="2" t="s">
        <v>225</v>
      </c>
      <c r="Q712" s="2" t="s">
        <v>226</v>
      </c>
      <c r="R712" s="2" t="s">
        <v>227</v>
      </c>
      <c r="S712" s="2" t="s">
        <v>4481</v>
      </c>
      <c r="T712" s="2" t="s">
        <v>2807</v>
      </c>
      <c r="U712" s="2" t="s">
        <v>287</v>
      </c>
      <c r="V712" s="2" t="s">
        <v>230</v>
      </c>
      <c r="W712" s="2" t="s">
        <v>231</v>
      </c>
      <c r="X712" s="2" t="s">
        <v>836</v>
      </c>
      <c r="Y712" s="2" t="s">
        <v>4482</v>
      </c>
      <c r="Z712" s="4">
        <v>168</v>
      </c>
      <c r="AA712" s="4">
        <f>=ROUNDDOWN(15.2727272727273,0)</f>
      </c>
      <c r="AB712" s="5">
        <v>11</v>
      </c>
      <c r="AC712" s="2" t="s">
        <v>732</v>
      </c>
      <c r="AD712" s="4">
        <v>60</v>
      </c>
      <c r="AE712" s="4">
        <v>150</v>
      </c>
      <c r="AF712" s="6">
        <v>65</v>
      </c>
      <c r="AG712" s="6"/>
      <c r="AH712" s="7">
        <v>0.871</v>
      </c>
      <c r="AI712" s="4"/>
      <c r="AJ712" s="4">
        <f>=ROUNDDOWN({0},0)</f>
      </c>
      <c r="AK712" s="5"/>
      <c r="AL712" s="2" t="s">
        <v>227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227</v>
      </c>
      <c r="AW712" s="8" t="s">
        <v>227</v>
      </c>
      <c r="AX712" s="4" t="s">
        <v>227</v>
      </c>
      <c r="AY712" s="8" t="s">
        <v>227</v>
      </c>
      <c r="AZ712" s="7" t="s">
        <v>227</v>
      </c>
      <c r="BA712" s="7" t="s">
        <v>227</v>
      </c>
      <c r="BB712" s="7"/>
      <c r="BC712" s="4" t="s">
        <v>227</v>
      </c>
      <c r="BD712" s="8" t="s">
        <v>227</v>
      </c>
      <c r="BE712" s="4" t="s">
        <v>227</v>
      </c>
      <c r="BF712" s="8" t="s">
        <v>227</v>
      </c>
      <c r="BG712" s="7" t="s">
        <v>227</v>
      </c>
      <c r="BH712" s="7" t="s">
        <v>227</v>
      </c>
      <c r="BI712" s="7"/>
      <c r="BJ712" s="4">
        <v>55</v>
      </c>
      <c r="BK712" s="8">
        <v>1593.09</v>
      </c>
      <c r="BL712" s="2" t="s">
        <v>4483</v>
      </c>
      <c r="BM712" s="7"/>
      <c r="BN712" s="7"/>
      <c r="BO712" s="4"/>
      <c r="BP712" s="8"/>
      <c r="BQ712" s="4"/>
      <c r="BR712" s="8"/>
      <c r="BS712" s="7"/>
      <c r="BT712" s="7"/>
      <c r="BU712" s="2" t="s">
        <v>4488</v>
      </c>
      <c r="BV712" s="2" t="s">
        <v>227</v>
      </c>
      <c r="BW712" s="2" t="s">
        <v>227</v>
      </c>
      <c r="BX712" s="2" t="s">
        <v>235</v>
      </c>
      <c r="BY712" s="2" t="s">
        <v>236</v>
      </c>
      <c r="BZ712" s="2" t="s">
        <v>224</v>
      </c>
      <c r="CA712" s="2" t="s">
        <v>1118</v>
      </c>
      <c r="CB712" s="2" t="s">
        <v>2648</v>
      </c>
      <c r="CC712" s="2" t="s">
        <v>239</v>
      </c>
      <c r="CD712" s="2" t="s">
        <v>227</v>
      </c>
      <c r="CE712" s="4">
        <v>168</v>
      </c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>
        <v>60</v>
      </c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>
        <v>90</v>
      </c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/>
      <c r="FG712" s="4"/>
      <c r="FH712" s="4"/>
      <c r="FI712" s="4"/>
      <c r="FJ712" s="4"/>
      <c r="FK712" s="4"/>
      <c r="FL712" s="4"/>
      <c r="FM712" s="4"/>
      <c r="FN712" s="4"/>
      <c r="FO712" s="4"/>
      <c r="FP712" s="4"/>
      <c r="FQ712" s="4"/>
      <c r="FR712" s="4"/>
      <c r="FS712" s="4"/>
      <c r="FT712" s="4"/>
      <c r="FU712" s="4"/>
      <c r="FV712" s="4"/>
      <c r="FW712" s="4"/>
      <c r="FX712" s="4"/>
      <c r="FY712" s="4"/>
      <c r="FZ712" s="4"/>
      <c r="GA712" s="4"/>
      <c r="GB712" s="4"/>
      <c r="GC712" s="4"/>
      <c r="GD712" s="4"/>
      <c r="GE712" s="4"/>
      <c r="GF712" s="4"/>
      <c r="GG712" s="4"/>
      <c r="GH712" s="4"/>
      <c r="GI712" s="4"/>
      <c r="GJ712" s="4"/>
      <c r="GK712" s="4"/>
      <c r="GL712" s="4"/>
      <c r="GM712" s="4"/>
      <c r="GN712" s="4"/>
      <c r="GO712" s="4"/>
      <c r="GP712" s="4"/>
      <c r="GQ712" s="4"/>
      <c r="GR712" s="4"/>
      <c r="GS712" s="4"/>
      <c r="GT712" s="4"/>
      <c r="GU712" s="4"/>
      <c r="GV712" s="4"/>
      <c r="GW712" s="4"/>
      <c r="GX712" s="4"/>
    </row>
    <row r="713">
      <c r="A713" s="2" t="s">
        <v>4489</v>
      </c>
      <c r="B713" s="2" t="s">
        <v>278</v>
      </c>
      <c r="C713" s="2" t="s">
        <v>2227</v>
      </c>
      <c r="D713" s="2" t="s">
        <v>280</v>
      </c>
      <c r="E713" s="2" t="s">
        <v>281</v>
      </c>
      <c r="F713" s="2" t="s">
        <v>4456</v>
      </c>
      <c r="G713" s="2" t="s">
        <v>4456</v>
      </c>
      <c r="H713" s="2" t="s">
        <v>4456</v>
      </c>
      <c r="I713" s="2" t="s">
        <v>283</v>
      </c>
      <c r="J713" s="2" t="s">
        <v>257</v>
      </c>
      <c r="K713" s="2" t="s">
        <v>389</v>
      </c>
      <c r="L713" s="3">
        <v>31.2</v>
      </c>
      <c r="M713" s="3">
        <v>32.76</v>
      </c>
      <c r="N713" s="3">
        <v>64.99</v>
      </c>
      <c r="O713" s="2" t="s">
        <v>224</v>
      </c>
      <c r="P713" s="2" t="s">
        <v>225</v>
      </c>
      <c r="Q713" s="2" t="s">
        <v>226</v>
      </c>
      <c r="R713" s="2" t="s">
        <v>227</v>
      </c>
      <c r="S713" s="2" t="s">
        <v>4481</v>
      </c>
      <c r="T713" s="2" t="s">
        <v>2807</v>
      </c>
      <c r="U713" s="2" t="s">
        <v>287</v>
      </c>
      <c r="V713" s="2" t="s">
        <v>230</v>
      </c>
      <c r="W713" s="2" t="s">
        <v>231</v>
      </c>
      <c r="X713" s="2" t="s">
        <v>836</v>
      </c>
      <c r="Y713" s="2" t="s">
        <v>4482</v>
      </c>
      <c r="Z713" s="4">
        <v>222</v>
      </c>
      <c r="AA713" s="4">
        <f>=ROUNDDOWN(22.2,0)</f>
      </c>
      <c r="AB713" s="5">
        <v>10</v>
      </c>
      <c r="AC713" s="2" t="s">
        <v>732</v>
      </c>
      <c r="AD713" s="4">
        <v>60</v>
      </c>
      <c r="AE713" s="4">
        <v>140</v>
      </c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227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227</v>
      </c>
      <c r="AW713" s="8" t="s">
        <v>227</v>
      </c>
      <c r="AX713" s="4" t="s">
        <v>227</v>
      </c>
      <c r="AY713" s="8" t="s">
        <v>227</v>
      </c>
      <c r="AZ713" s="7" t="s">
        <v>227</v>
      </c>
      <c r="BA713" s="7" t="s">
        <v>227</v>
      </c>
      <c r="BB713" s="7"/>
      <c r="BC713" s="4" t="s">
        <v>227</v>
      </c>
      <c r="BD713" s="8" t="s">
        <v>227</v>
      </c>
      <c r="BE713" s="4" t="s">
        <v>227</v>
      </c>
      <c r="BF713" s="8" t="s">
        <v>227</v>
      </c>
      <c r="BG713" s="7" t="s">
        <v>227</v>
      </c>
      <c r="BH713" s="7" t="s">
        <v>227</v>
      </c>
      <c r="BI713" s="7"/>
      <c r="BJ713" s="4">
        <v>14</v>
      </c>
      <c r="BK713" s="8">
        <v>474.26</v>
      </c>
      <c r="BL713" s="2" t="s">
        <v>4490</v>
      </c>
      <c r="BM713" s="7"/>
      <c r="BN713" s="7"/>
      <c r="BO713" s="4"/>
      <c r="BP713" s="8"/>
      <c r="BQ713" s="4"/>
      <c r="BR713" s="8"/>
      <c r="BS713" s="7"/>
      <c r="BT713" s="7"/>
      <c r="BU713" s="2" t="s">
        <v>4491</v>
      </c>
      <c r="BV713" s="2" t="s">
        <v>227</v>
      </c>
      <c r="BW713" s="2" t="s">
        <v>227</v>
      </c>
      <c r="BX713" s="2" t="s">
        <v>235</v>
      </c>
      <c r="BY713" s="2" t="s">
        <v>236</v>
      </c>
      <c r="BZ713" s="2" t="s">
        <v>224</v>
      </c>
      <c r="CA713" s="2" t="s">
        <v>1118</v>
      </c>
      <c r="CB713" s="2" t="s">
        <v>304</v>
      </c>
      <c r="CC713" s="2" t="s">
        <v>239</v>
      </c>
      <c r="CD713" s="2" t="s">
        <v>227</v>
      </c>
      <c r="CE713" s="4">
        <v>222</v>
      </c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>
        <v>60</v>
      </c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>
        <v>80</v>
      </c>
      <c r="EU713" s="4"/>
      <c r="EV713" s="4"/>
      <c r="EW713" s="4"/>
      <c r="EX713" s="4"/>
      <c r="EY713" s="4"/>
      <c r="EZ713" s="4"/>
      <c r="FA713" s="4"/>
      <c r="FB713" s="4"/>
      <c r="FC713" s="4"/>
      <c r="FD713" s="4"/>
      <c r="FE713" s="4"/>
      <c r="FF713" s="4"/>
      <c r="FG713" s="4"/>
      <c r="FH713" s="4"/>
      <c r="FI713" s="4"/>
      <c r="FJ713" s="4"/>
      <c r="FK713" s="4"/>
      <c r="FL713" s="4"/>
      <c r="FM713" s="4"/>
      <c r="FN713" s="4"/>
      <c r="FO713" s="4"/>
      <c r="FP713" s="4"/>
      <c r="FQ713" s="4"/>
      <c r="FR713" s="4"/>
      <c r="FS713" s="4"/>
      <c r="FT713" s="4"/>
      <c r="FU713" s="4"/>
      <c r="FV713" s="4"/>
      <c r="FW713" s="4"/>
      <c r="FX713" s="4"/>
      <c r="FY713" s="4"/>
      <c r="FZ713" s="4"/>
      <c r="GA713" s="4"/>
      <c r="GB713" s="4"/>
      <c r="GC713" s="4"/>
      <c r="GD713" s="4"/>
      <c r="GE713" s="4"/>
      <c r="GF713" s="4"/>
      <c r="GG713" s="4"/>
      <c r="GH713" s="4"/>
      <c r="GI713" s="4"/>
      <c r="GJ713" s="4"/>
      <c r="GK713" s="4"/>
      <c r="GL713" s="4"/>
      <c r="GM713" s="4"/>
      <c r="GN713" s="4"/>
      <c r="GO713" s="4"/>
      <c r="GP713" s="4"/>
      <c r="GQ713" s="4"/>
      <c r="GR713" s="4"/>
      <c r="GS713" s="4"/>
      <c r="GT713" s="4"/>
      <c r="GU713" s="4"/>
      <c r="GV713" s="4"/>
      <c r="GW713" s="4"/>
      <c r="GX713" s="4"/>
    </row>
    <row r="714">
      <c r="A714" s="2" t="s">
        <v>4492</v>
      </c>
      <c r="B714" s="2" t="s">
        <v>278</v>
      </c>
      <c r="C714" s="2" t="s">
        <v>2227</v>
      </c>
      <c r="D714" s="2" t="s">
        <v>280</v>
      </c>
      <c r="E714" s="2" t="s">
        <v>281</v>
      </c>
      <c r="F714" s="2" t="s">
        <v>4456</v>
      </c>
      <c r="G714" s="2" t="s">
        <v>4456</v>
      </c>
      <c r="H714" s="2" t="s">
        <v>4456</v>
      </c>
      <c r="I714" s="2" t="s">
        <v>283</v>
      </c>
      <c r="J714" s="2" t="s">
        <v>384</v>
      </c>
      <c r="K714" s="2" t="s">
        <v>389</v>
      </c>
      <c r="L714" s="3">
        <v>31.85</v>
      </c>
      <c r="M714" s="3">
        <v>33.44</v>
      </c>
      <c r="N714" s="3">
        <v>64.99</v>
      </c>
      <c r="O714" s="2" t="s">
        <v>224</v>
      </c>
      <c r="P714" s="2" t="s">
        <v>225</v>
      </c>
      <c r="Q714" s="2" t="s">
        <v>226</v>
      </c>
      <c r="R714" s="2" t="s">
        <v>227</v>
      </c>
      <c r="S714" s="2" t="s">
        <v>4481</v>
      </c>
      <c r="T714" s="2" t="s">
        <v>2807</v>
      </c>
      <c r="U714" s="2" t="s">
        <v>287</v>
      </c>
      <c r="V714" s="2" t="s">
        <v>230</v>
      </c>
      <c r="W714" s="2" t="s">
        <v>231</v>
      </c>
      <c r="X714" s="2" t="s">
        <v>836</v>
      </c>
      <c r="Y714" s="2" t="s">
        <v>4482</v>
      </c>
      <c r="Z714" s="4">
        <v>119</v>
      </c>
      <c r="AA714" s="4">
        <f>=ROUNDDOWN(23.8,0)</f>
      </c>
      <c r="AB714" s="5">
        <v>5</v>
      </c>
      <c r="AC714" s="2" t="s">
        <v>732</v>
      </c>
      <c r="AD714" s="4">
        <v>30</v>
      </c>
      <c r="AE714" s="4">
        <v>60</v>
      </c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227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227</v>
      </c>
      <c r="AW714" s="8" t="s">
        <v>227</v>
      </c>
      <c r="AX714" s="4" t="s">
        <v>227</v>
      </c>
      <c r="AY714" s="8" t="s">
        <v>227</v>
      </c>
      <c r="AZ714" s="7" t="s">
        <v>227</v>
      </c>
      <c r="BA714" s="7" t="s">
        <v>227</v>
      </c>
      <c r="BB714" s="7"/>
      <c r="BC714" s="4" t="s">
        <v>227</v>
      </c>
      <c r="BD714" s="8" t="s">
        <v>227</v>
      </c>
      <c r="BE714" s="4" t="s">
        <v>227</v>
      </c>
      <c r="BF714" s="8" t="s">
        <v>227</v>
      </c>
      <c r="BG714" s="7" t="s">
        <v>227</v>
      </c>
      <c r="BH714" s="7" t="s">
        <v>227</v>
      </c>
      <c r="BI714" s="7"/>
      <c r="BJ714" s="4">
        <v>1</v>
      </c>
      <c r="BK714" s="8">
        <v>35.04</v>
      </c>
      <c r="BL714" s="2" t="s">
        <v>1739</v>
      </c>
      <c r="BM714" s="7"/>
      <c r="BN714" s="7"/>
      <c r="BO714" s="4"/>
      <c r="BP714" s="8"/>
      <c r="BQ714" s="4"/>
      <c r="BR714" s="8"/>
      <c r="BS714" s="7"/>
      <c r="BT714" s="7"/>
      <c r="BU714" s="2" t="s">
        <v>4493</v>
      </c>
      <c r="BV714" s="2" t="s">
        <v>227</v>
      </c>
      <c r="BW714" s="2" t="s">
        <v>227</v>
      </c>
      <c r="BX714" s="2" t="s">
        <v>235</v>
      </c>
      <c r="BY714" s="2" t="s">
        <v>236</v>
      </c>
      <c r="BZ714" s="2" t="s">
        <v>224</v>
      </c>
      <c r="CA714" s="2" t="s">
        <v>1118</v>
      </c>
      <c r="CB714" s="2" t="s">
        <v>3553</v>
      </c>
      <c r="CC714" s="2" t="s">
        <v>239</v>
      </c>
      <c r="CD714" s="2" t="s">
        <v>227</v>
      </c>
      <c r="CE714" s="4">
        <v>119</v>
      </c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>
        <v>30</v>
      </c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/>
      <c r="ES714" s="4"/>
      <c r="ET714" s="4">
        <v>30</v>
      </c>
      <c r="EU714" s="4"/>
      <c r="EV714" s="4"/>
      <c r="EW714" s="4"/>
      <c r="EX714" s="4"/>
      <c r="EY714" s="4"/>
      <c r="EZ714" s="4"/>
      <c r="FA714" s="4"/>
      <c r="FB714" s="4"/>
      <c r="FC714" s="4"/>
      <c r="FD714" s="4"/>
      <c r="FE714" s="4"/>
      <c r="FF714" s="4"/>
      <c r="FG714" s="4"/>
      <c r="FH714" s="4"/>
      <c r="FI714" s="4"/>
      <c r="FJ714" s="4"/>
      <c r="FK714" s="4"/>
      <c r="FL714" s="4"/>
      <c r="FM714" s="4"/>
      <c r="FN714" s="4"/>
      <c r="FO714" s="4"/>
      <c r="FP714" s="4"/>
      <c r="FQ714" s="4"/>
      <c r="FR714" s="4"/>
      <c r="FS714" s="4"/>
      <c r="FT714" s="4"/>
      <c r="FU714" s="4"/>
      <c r="FV714" s="4"/>
      <c r="FW714" s="4"/>
      <c r="FX714" s="4"/>
      <c r="FY714" s="4"/>
      <c r="FZ714" s="4"/>
      <c r="GA714" s="4"/>
      <c r="GB714" s="4"/>
      <c r="GC714" s="4"/>
      <c r="GD714" s="4"/>
      <c r="GE714" s="4"/>
      <c r="GF714" s="4"/>
      <c r="GG714" s="4"/>
      <c r="GH714" s="4"/>
      <c r="GI714" s="4"/>
      <c r="GJ714" s="4"/>
      <c r="GK714" s="4"/>
      <c r="GL714" s="4"/>
      <c r="GM714" s="4"/>
      <c r="GN714" s="4"/>
      <c r="GO714" s="4"/>
      <c r="GP714" s="4"/>
      <c r="GQ714" s="4"/>
      <c r="GR714" s="4"/>
      <c r="GS714" s="4"/>
      <c r="GT714" s="4"/>
      <c r="GU714" s="4"/>
      <c r="GV714" s="4"/>
      <c r="GW714" s="4"/>
      <c r="GX714" s="4"/>
    </row>
    <row r="715">
      <c r="A715" s="2" t="s">
        <v>4494</v>
      </c>
      <c r="B715" s="2" t="s">
        <v>278</v>
      </c>
      <c r="C715" s="2" t="s">
        <v>2227</v>
      </c>
      <c r="D715" s="2" t="s">
        <v>280</v>
      </c>
      <c r="E715" s="2" t="s">
        <v>281</v>
      </c>
      <c r="F715" s="2" t="s">
        <v>4456</v>
      </c>
      <c r="G715" s="2" t="s">
        <v>4456</v>
      </c>
      <c r="H715" s="2" t="s">
        <v>4456</v>
      </c>
      <c r="I715" s="2" t="s">
        <v>283</v>
      </c>
      <c r="J715" s="2" t="s">
        <v>222</v>
      </c>
      <c r="K715" s="2" t="s">
        <v>1428</v>
      </c>
      <c r="L715" s="3">
        <v>21.62</v>
      </c>
      <c r="M715" s="3">
        <v>22.7</v>
      </c>
      <c r="N715" s="3">
        <v>46.99</v>
      </c>
      <c r="O715" s="2" t="s">
        <v>224</v>
      </c>
      <c r="P715" s="2" t="s">
        <v>225</v>
      </c>
      <c r="Q715" s="2" t="s">
        <v>226</v>
      </c>
      <c r="R715" s="2" t="s">
        <v>227</v>
      </c>
      <c r="S715" s="2" t="s">
        <v>4495</v>
      </c>
      <c r="T715" s="2" t="s">
        <v>2807</v>
      </c>
      <c r="U715" s="2" t="s">
        <v>674</v>
      </c>
      <c r="V715" s="2" t="s">
        <v>230</v>
      </c>
      <c r="W715" s="2" t="s">
        <v>231</v>
      </c>
      <c r="X715" s="2" t="s">
        <v>836</v>
      </c>
      <c r="Y715" s="2" t="s">
        <v>232</v>
      </c>
      <c r="Z715" s="4">
        <v>127</v>
      </c>
      <c r="AA715" s="4">
        <f>=ROUNDDOWN(21.1666666666667,0)</f>
      </c>
      <c r="AB715" s="5">
        <v>6</v>
      </c>
      <c r="AC715" s="2" t="s">
        <v>732</v>
      </c>
      <c r="AD715" s="4">
        <v>30</v>
      </c>
      <c r="AE715" s="4">
        <v>80</v>
      </c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227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227</v>
      </c>
      <c r="AW715" s="8" t="s">
        <v>227</v>
      </c>
      <c r="AX715" s="4" t="s">
        <v>227</v>
      </c>
      <c r="AY715" s="8" t="s">
        <v>227</v>
      </c>
      <c r="AZ715" s="7" t="s">
        <v>227</v>
      </c>
      <c r="BA715" s="7" t="s">
        <v>227</v>
      </c>
      <c r="BB715" s="7"/>
      <c r="BC715" s="4" t="s">
        <v>227</v>
      </c>
      <c r="BD715" s="8" t="s">
        <v>227</v>
      </c>
      <c r="BE715" s="4" t="s">
        <v>227</v>
      </c>
      <c r="BF715" s="8" t="s">
        <v>227</v>
      </c>
      <c r="BG715" s="7" t="s">
        <v>227</v>
      </c>
      <c r="BH715" s="7" t="s">
        <v>227</v>
      </c>
      <c r="BI715" s="7"/>
      <c r="BJ715" s="4">
        <v>12</v>
      </c>
      <c r="BK715" s="8">
        <v>280.41</v>
      </c>
      <c r="BL715" s="2" t="s">
        <v>2339</v>
      </c>
      <c r="BM715" s="7"/>
      <c r="BN715" s="7"/>
      <c r="BO715" s="4"/>
      <c r="BP715" s="8"/>
      <c r="BQ715" s="4"/>
      <c r="BR715" s="8"/>
      <c r="BS715" s="7"/>
      <c r="BT715" s="7"/>
      <c r="BU715" s="2" t="s">
        <v>4496</v>
      </c>
      <c r="BV715" s="2" t="s">
        <v>227</v>
      </c>
      <c r="BW715" s="2" t="s">
        <v>227</v>
      </c>
      <c r="BX715" s="2" t="s">
        <v>235</v>
      </c>
      <c r="BY715" s="2" t="s">
        <v>236</v>
      </c>
      <c r="BZ715" s="2" t="s">
        <v>224</v>
      </c>
      <c r="CA715" s="2" t="s">
        <v>237</v>
      </c>
      <c r="CB715" s="2" t="s">
        <v>443</v>
      </c>
      <c r="CC715" s="2" t="s">
        <v>239</v>
      </c>
      <c r="CD715" s="2" t="s">
        <v>227</v>
      </c>
      <c r="CE715" s="4">
        <v>127</v>
      </c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>
        <v>30</v>
      </c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>
        <v>50</v>
      </c>
      <c r="EU715" s="4"/>
      <c r="EV715" s="4"/>
      <c r="EW715" s="4"/>
      <c r="EX715" s="4"/>
      <c r="EY715" s="4"/>
      <c r="EZ715" s="4"/>
      <c r="FA715" s="4"/>
      <c r="FB715" s="4"/>
      <c r="FC715" s="4"/>
      <c r="FD715" s="4"/>
      <c r="FE715" s="4"/>
      <c r="FF715" s="4"/>
      <c r="FG715" s="4"/>
      <c r="FH715" s="4"/>
      <c r="FI715" s="4"/>
      <c r="FJ715" s="4"/>
      <c r="FK715" s="4"/>
      <c r="FL715" s="4"/>
      <c r="FM715" s="4"/>
      <c r="FN715" s="4"/>
      <c r="FO715" s="4"/>
      <c r="FP715" s="4"/>
      <c r="FQ715" s="4"/>
      <c r="FR715" s="4"/>
      <c r="FS715" s="4"/>
      <c r="FT715" s="4"/>
      <c r="FU715" s="4"/>
      <c r="FV715" s="4"/>
      <c r="FW715" s="4"/>
      <c r="FX715" s="4"/>
      <c r="FY715" s="4"/>
      <c r="FZ715" s="4"/>
      <c r="GA715" s="4"/>
      <c r="GB715" s="4"/>
      <c r="GC715" s="4"/>
      <c r="GD715" s="4"/>
      <c r="GE715" s="4"/>
      <c r="GF715" s="4"/>
      <c r="GG715" s="4"/>
      <c r="GH715" s="4"/>
      <c r="GI715" s="4"/>
      <c r="GJ715" s="4"/>
      <c r="GK715" s="4"/>
      <c r="GL715" s="4"/>
      <c r="GM715" s="4"/>
      <c r="GN715" s="4"/>
      <c r="GO715" s="4"/>
      <c r="GP715" s="4"/>
      <c r="GQ715" s="4"/>
      <c r="GR715" s="4"/>
      <c r="GS715" s="4"/>
      <c r="GT715" s="4"/>
      <c r="GU715" s="4"/>
      <c r="GV715" s="4"/>
      <c r="GW715" s="4"/>
      <c r="GX715" s="4"/>
    </row>
    <row r="716">
      <c r="A716" s="2" t="s">
        <v>4497</v>
      </c>
      <c r="B716" s="2" t="s">
        <v>278</v>
      </c>
      <c r="C716" s="2" t="s">
        <v>2227</v>
      </c>
      <c r="D716" s="2" t="s">
        <v>280</v>
      </c>
      <c r="E716" s="2" t="s">
        <v>281</v>
      </c>
      <c r="F716" s="2" t="s">
        <v>4456</v>
      </c>
      <c r="G716" s="2" t="s">
        <v>4456</v>
      </c>
      <c r="H716" s="2" t="s">
        <v>4456</v>
      </c>
      <c r="I716" s="2" t="s">
        <v>283</v>
      </c>
      <c r="J716" s="2" t="s">
        <v>247</v>
      </c>
      <c r="K716" s="2" t="s">
        <v>1428</v>
      </c>
      <c r="L716" s="3">
        <v>25.3</v>
      </c>
      <c r="M716" s="3">
        <v>26.56</v>
      </c>
      <c r="N716" s="3">
        <v>54.99</v>
      </c>
      <c r="O716" s="2" t="s">
        <v>224</v>
      </c>
      <c r="P716" s="2" t="s">
        <v>225</v>
      </c>
      <c r="Q716" s="2" t="s">
        <v>226</v>
      </c>
      <c r="R716" s="2" t="s">
        <v>227</v>
      </c>
      <c r="S716" s="2" t="s">
        <v>4495</v>
      </c>
      <c r="T716" s="2" t="s">
        <v>2807</v>
      </c>
      <c r="U716" s="2" t="s">
        <v>287</v>
      </c>
      <c r="V716" s="2" t="s">
        <v>230</v>
      </c>
      <c r="W716" s="2" t="s">
        <v>231</v>
      </c>
      <c r="X716" s="2" t="s">
        <v>836</v>
      </c>
      <c r="Y716" s="2" t="s">
        <v>232</v>
      </c>
      <c r="Z716" s="4">
        <v>144</v>
      </c>
      <c r="AA716" s="4">
        <f>=ROUNDDOWN(24,0)</f>
      </c>
      <c r="AB716" s="5">
        <v>6</v>
      </c>
      <c r="AC716" s="2" t="s">
        <v>732</v>
      </c>
      <c r="AD716" s="4">
        <v>40</v>
      </c>
      <c r="AE716" s="4">
        <v>90</v>
      </c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227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227</v>
      </c>
      <c r="AW716" s="8" t="s">
        <v>227</v>
      </c>
      <c r="AX716" s="4" t="s">
        <v>227</v>
      </c>
      <c r="AY716" s="8" t="s">
        <v>227</v>
      </c>
      <c r="AZ716" s="7" t="s">
        <v>227</v>
      </c>
      <c r="BA716" s="7" t="s">
        <v>227</v>
      </c>
      <c r="BB716" s="7"/>
      <c r="BC716" s="4" t="s">
        <v>227</v>
      </c>
      <c r="BD716" s="8" t="s">
        <v>227</v>
      </c>
      <c r="BE716" s="4" t="s">
        <v>227</v>
      </c>
      <c r="BF716" s="8" t="s">
        <v>227</v>
      </c>
      <c r="BG716" s="7" t="s">
        <v>227</v>
      </c>
      <c r="BH716" s="7" t="s">
        <v>227</v>
      </c>
      <c r="BI716" s="7"/>
      <c r="BJ716" s="4">
        <v>8</v>
      </c>
      <c r="BK716" s="8">
        <v>218.01</v>
      </c>
      <c r="BL716" s="2" t="s">
        <v>4498</v>
      </c>
      <c r="BM716" s="7"/>
      <c r="BN716" s="7"/>
      <c r="BO716" s="4"/>
      <c r="BP716" s="8"/>
      <c r="BQ716" s="4"/>
      <c r="BR716" s="8"/>
      <c r="BS716" s="7"/>
      <c r="BT716" s="7"/>
      <c r="BU716" s="2" t="s">
        <v>4499</v>
      </c>
      <c r="BV716" s="2" t="s">
        <v>227</v>
      </c>
      <c r="BW716" s="2" t="s">
        <v>227</v>
      </c>
      <c r="BX716" s="2" t="s">
        <v>235</v>
      </c>
      <c r="BY716" s="2" t="s">
        <v>236</v>
      </c>
      <c r="BZ716" s="2" t="s">
        <v>224</v>
      </c>
      <c r="CA716" s="2" t="s">
        <v>237</v>
      </c>
      <c r="CB716" s="2" t="s">
        <v>4500</v>
      </c>
      <c r="CC716" s="2" t="s">
        <v>239</v>
      </c>
      <c r="CD716" s="2" t="s">
        <v>227</v>
      </c>
      <c r="CE716" s="4">
        <v>144</v>
      </c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>
        <v>40</v>
      </c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/>
      <c r="ET716" s="4">
        <v>50</v>
      </c>
      <c r="EU716" s="4"/>
      <c r="EV716" s="4"/>
      <c r="EW716" s="4"/>
      <c r="EX716" s="4"/>
      <c r="EY716" s="4"/>
      <c r="EZ716" s="4"/>
      <c r="FA716" s="4"/>
      <c r="FB716" s="4"/>
      <c r="FC716" s="4"/>
      <c r="FD716" s="4"/>
      <c r="FE716" s="4"/>
      <c r="FF716" s="4"/>
      <c r="FG716" s="4"/>
      <c r="FH716" s="4"/>
      <c r="FI716" s="4"/>
      <c r="FJ716" s="4"/>
      <c r="FK716" s="4"/>
      <c r="FL716" s="4"/>
      <c r="FM716" s="4"/>
      <c r="FN716" s="4"/>
      <c r="FO716" s="4"/>
      <c r="FP716" s="4"/>
      <c r="FQ716" s="4"/>
      <c r="FR716" s="4"/>
      <c r="FS716" s="4"/>
      <c r="FT716" s="4"/>
      <c r="FU716" s="4"/>
      <c r="FV716" s="4"/>
      <c r="FW716" s="4"/>
      <c r="FX716" s="4"/>
      <c r="FY716" s="4"/>
      <c r="FZ716" s="4"/>
      <c r="GA716" s="4"/>
      <c r="GB716" s="4"/>
      <c r="GC716" s="4"/>
      <c r="GD716" s="4"/>
      <c r="GE716" s="4"/>
      <c r="GF716" s="4"/>
      <c r="GG716" s="4"/>
      <c r="GH716" s="4"/>
      <c r="GI716" s="4"/>
      <c r="GJ716" s="4"/>
      <c r="GK716" s="4"/>
      <c r="GL716" s="4"/>
      <c r="GM716" s="4"/>
      <c r="GN716" s="4"/>
      <c r="GO716" s="4"/>
      <c r="GP716" s="4"/>
      <c r="GQ716" s="4"/>
      <c r="GR716" s="4"/>
      <c r="GS716" s="4"/>
      <c r="GT716" s="4"/>
      <c r="GU716" s="4"/>
      <c r="GV716" s="4"/>
      <c r="GW716" s="4"/>
      <c r="GX716" s="4"/>
    </row>
    <row r="717">
      <c r="A717" s="2" t="s">
        <v>4501</v>
      </c>
      <c r="B717" s="2" t="s">
        <v>278</v>
      </c>
      <c r="C717" s="2" t="s">
        <v>2227</v>
      </c>
      <c r="D717" s="2" t="s">
        <v>280</v>
      </c>
      <c r="E717" s="2" t="s">
        <v>281</v>
      </c>
      <c r="F717" s="2" t="s">
        <v>4456</v>
      </c>
      <c r="G717" s="2" t="s">
        <v>4456</v>
      </c>
      <c r="H717" s="2" t="s">
        <v>4456</v>
      </c>
      <c r="I717" s="2" t="s">
        <v>283</v>
      </c>
      <c r="J717" s="2" t="s">
        <v>252</v>
      </c>
      <c r="K717" s="2" t="s">
        <v>1428</v>
      </c>
      <c r="L717" s="3">
        <v>28.2</v>
      </c>
      <c r="M717" s="3">
        <v>29.61</v>
      </c>
      <c r="N717" s="3">
        <v>59.99</v>
      </c>
      <c r="O717" s="2" t="s">
        <v>224</v>
      </c>
      <c r="P717" s="2" t="s">
        <v>550</v>
      </c>
      <c r="Q717" s="2" t="s">
        <v>226</v>
      </c>
      <c r="R717" s="2" t="s">
        <v>227</v>
      </c>
      <c r="S717" s="2" t="s">
        <v>4495</v>
      </c>
      <c r="T717" s="2" t="s">
        <v>2807</v>
      </c>
      <c r="U717" s="2" t="s">
        <v>287</v>
      </c>
      <c r="V717" s="2" t="s">
        <v>230</v>
      </c>
      <c r="W717" s="2" t="s">
        <v>231</v>
      </c>
      <c r="X717" s="2" t="s">
        <v>836</v>
      </c>
      <c r="Y717" s="2" t="s">
        <v>232</v>
      </c>
      <c r="Z717" s="4">
        <v>633</v>
      </c>
      <c r="AA717" s="4">
        <f>=ROUNDDOWN(21.8275862068966,0)</f>
      </c>
      <c r="AB717" s="5">
        <v>29</v>
      </c>
      <c r="AC717" s="2" t="s">
        <v>2082</v>
      </c>
      <c r="AD717" s="4">
        <v>240</v>
      </c>
      <c r="AE717" s="4">
        <v>510</v>
      </c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227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227</v>
      </c>
      <c r="AW717" s="8" t="s">
        <v>227</v>
      </c>
      <c r="AX717" s="4" t="s">
        <v>227</v>
      </c>
      <c r="AY717" s="8" t="s">
        <v>227</v>
      </c>
      <c r="AZ717" s="7" t="s">
        <v>227</v>
      </c>
      <c r="BA717" s="7" t="s">
        <v>227</v>
      </c>
      <c r="BB717" s="7"/>
      <c r="BC717" s="4" t="s">
        <v>227</v>
      </c>
      <c r="BD717" s="8" t="s">
        <v>227</v>
      </c>
      <c r="BE717" s="4" t="s">
        <v>227</v>
      </c>
      <c r="BF717" s="8" t="s">
        <v>227</v>
      </c>
      <c r="BG717" s="7" t="s">
        <v>227</v>
      </c>
      <c r="BH717" s="7" t="s">
        <v>227</v>
      </c>
      <c r="BI717" s="7"/>
      <c r="BJ717" s="4">
        <v>29</v>
      </c>
      <c r="BK717" s="8">
        <v>892.49</v>
      </c>
      <c r="BL717" s="2" t="s">
        <v>4502</v>
      </c>
      <c r="BM717" s="7"/>
      <c r="BN717" s="7"/>
      <c r="BO717" s="4"/>
      <c r="BP717" s="8"/>
      <c r="BQ717" s="4"/>
      <c r="BR717" s="8"/>
      <c r="BS717" s="7"/>
      <c r="BT717" s="7"/>
      <c r="BU717" s="2" t="s">
        <v>4503</v>
      </c>
      <c r="BV717" s="2" t="s">
        <v>227</v>
      </c>
      <c r="BW717" s="2" t="s">
        <v>227</v>
      </c>
      <c r="BX717" s="2" t="s">
        <v>235</v>
      </c>
      <c r="BY717" s="2" t="s">
        <v>236</v>
      </c>
      <c r="BZ717" s="2" t="s">
        <v>224</v>
      </c>
      <c r="CA717" s="2" t="s">
        <v>237</v>
      </c>
      <c r="CB717" s="2" t="s">
        <v>2959</v>
      </c>
      <c r="CC717" s="2" t="s">
        <v>239</v>
      </c>
      <c r="CD717" s="2" t="s">
        <v>227</v>
      </c>
      <c r="CE717" s="4">
        <v>633</v>
      </c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>
        <v>240</v>
      </c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>
        <v>270</v>
      </c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/>
      <c r="FG717" s="4"/>
      <c r="FH717" s="4"/>
      <c r="FI717" s="4"/>
      <c r="FJ717" s="4"/>
      <c r="FK717" s="4"/>
      <c r="FL717" s="4"/>
      <c r="FM717" s="4"/>
      <c r="FN717" s="4"/>
      <c r="FO717" s="4"/>
      <c r="FP717" s="4"/>
      <c r="FQ717" s="4"/>
      <c r="FR717" s="4"/>
      <c r="FS717" s="4"/>
      <c r="FT717" s="4"/>
      <c r="FU717" s="4"/>
      <c r="FV717" s="4"/>
      <c r="FW717" s="4"/>
      <c r="FX717" s="4"/>
      <c r="FY717" s="4"/>
      <c r="FZ717" s="4"/>
      <c r="GA717" s="4"/>
      <c r="GB717" s="4"/>
      <c r="GC717" s="4"/>
      <c r="GD717" s="4"/>
      <c r="GE717" s="4"/>
      <c r="GF717" s="4"/>
      <c r="GG717" s="4"/>
      <c r="GH717" s="4"/>
      <c r="GI717" s="4"/>
      <c r="GJ717" s="4"/>
      <c r="GK717" s="4"/>
      <c r="GL717" s="4"/>
      <c r="GM717" s="4"/>
      <c r="GN717" s="4"/>
      <c r="GO717" s="4"/>
      <c r="GP717" s="4"/>
      <c r="GQ717" s="4"/>
      <c r="GR717" s="4"/>
      <c r="GS717" s="4"/>
      <c r="GT717" s="4"/>
      <c r="GU717" s="4"/>
      <c r="GV717" s="4"/>
      <c r="GW717" s="4"/>
      <c r="GX717" s="4"/>
    </row>
    <row r="718">
      <c r="A718" s="2" t="s">
        <v>4504</v>
      </c>
      <c r="B718" s="2" t="s">
        <v>278</v>
      </c>
      <c r="C718" s="2" t="s">
        <v>2227</v>
      </c>
      <c r="D718" s="2" t="s">
        <v>280</v>
      </c>
      <c r="E718" s="2" t="s">
        <v>281</v>
      </c>
      <c r="F718" s="2" t="s">
        <v>4456</v>
      </c>
      <c r="G718" s="2" t="s">
        <v>4456</v>
      </c>
      <c r="H718" s="2" t="s">
        <v>4456</v>
      </c>
      <c r="I718" s="2" t="s">
        <v>283</v>
      </c>
      <c r="J718" s="2" t="s">
        <v>384</v>
      </c>
      <c r="K718" s="2" t="s">
        <v>1428</v>
      </c>
      <c r="L718" s="3">
        <v>31.85</v>
      </c>
      <c r="M718" s="3">
        <v>33.44</v>
      </c>
      <c r="N718" s="3">
        <v>64.99</v>
      </c>
      <c r="O718" s="2" t="s">
        <v>224</v>
      </c>
      <c r="P718" s="2" t="s">
        <v>225</v>
      </c>
      <c r="Q718" s="2" t="s">
        <v>226</v>
      </c>
      <c r="R718" s="2" t="s">
        <v>227</v>
      </c>
      <c r="S718" s="2" t="s">
        <v>4495</v>
      </c>
      <c r="T718" s="2" t="s">
        <v>2807</v>
      </c>
      <c r="U718" s="2" t="s">
        <v>287</v>
      </c>
      <c r="V718" s="2" t="s">
        <v>230</v>
      </c>
      <c r="W718" s="2" t="s">
        <v>231</v>
      </c>
      <c r="X718" s="2" t="s">
        <v>836</v>
      </c>
      <c r="Y718" s="2" t="s">
        <v>232</v>
      </c>
      <c r="Z718" s="4">
        <v>289</v>
      </c>
      <c r="AA718" s="4">
        <f>=ROUNDDOWN(22.2307692307692,0)</f>
      </c>
      <c r="AB718" s="5">
        <v>13</v>
      </c>
      <c r="AC718" s="2" t="s">
        <v>732</v>
      </c>
      <c r="AD718" s="4">
        <v>70</v>
      </c>
      <c r="AE718" s="4">
        <v>150</v>
      </c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227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227</v>
      </c>
      <c r="AW718" s="8" t="s">
        <v>227</v>
      </c>
      <c r="AX718" s="4" t="s">
        <v>227</v>
      </c>
      <c r="AY718" s="8" t="s">
        <v>227</v>
      </c>
      <c r="AZ718" s="7" t="s">
        <v>227</v>
      </c>
      <c r="BA718" s="7" t="s">
        <v>227</v>
      </c>
      <c r="BB718" s="7"/>
      <c r="BC718" s="4" t="s">
        <v>227</v>
      </c>
      <c r="BD718" s="8" t="s">
        <v>227</v>
      </c>
      <c r="BE718" s="4" t="s">
        <v>227</v>
      </c>
      <c r="BF718" s="8" t="s">
        <v>227</v>
      </c>
      <c r="BG718" s="7" t="s">
        <v>227</v>
      </c>
      <c r="BH718" s="7" t="s">
        <v>227</v>
      </c>
      <c r="BI718" s="7"/>
      <c r="BJ718" s="4">
        <v>6</v>
      </c>
      <c r="BK718" s="8">
        <v>206.56</v>
      </c>
      <c r="BL718" s="2" t="s">
        <v>4505</v>
      </c>
      <c r="BM718" s="7"/>
      <c r="BN718" s="7"/>
      <c r="BO718" s="4"/>
      <c r="BP718" s="8"/>
      <c r="BQ718" s="4"/>
      <c r="BR718" s="8"/>
      <c r="BS718" s="7"/>
      <c r="BT718" s="7"/>
      <c r="BU718" s="2" t="s">
        <v>4506</v>
      </c>
      <c r="BV718" s="2" t="s">
        <v>227</v>
      </c>
      <c r="BW718" s="2" t="s">
        <v>227</v>
      </c>
      <c r="BX718" s="2" t="s">
        <v>235</v>
      </c>
      <c r="BY718" s="2" t="s">
        <v>236</v>
      </c>
      <c r="BZ718" s="2" t="s">
        <v>224</v>
      </c>
      <c r="CA718" s="2" t="s">
        <v>237</v>
      </c>
      <c r="CB718" s="2" t="s">
        <v>4507</v>
      </c>
      <c r="CC718" s="2" t="s">
        <v>239</v>
      </c>
      <c r="CD718" s="2" t="s">
        <v>227</v>
      </c>
      <c r="CE718" s="4">
        <v>289</v>
      </c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>
        <v>70</v>
      </c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>
        <v>80</v>
      </c>
      <c r="EU718" s="4"/>
      <c r="EV718" s="4"/>
      <c r="EW718" s="4"/>
      <c r="EX718" s="4"/>
      <c r="EY718" s="4"/>
      <c r="EZ718" s="4"/>
      <c r="FA718" s="4"/>
      <c r="FB718" s="4"/>
      <c r="FC718" s="4"/>
      <c r="FD718" s="4"/>
      <c r="FE718" s="4"/>
      <c r="FF718" s="4"/>
      <c r="FG718" s="4"/>
      <c r="FH718" s="4"/>
      <c r="FI718" s="4"/>
      <c r="FJ718" s="4"/>
      <c r="FK718" s="4"/>
      <c r="FL718" s="4"/>
      <c r="FM718" s="4"/>
      <c r="FN718" s="4"/>
      <c r="FO718" s="4"/>
      <c r="FP718" s="4"/>
      <c r="FQ718" s="4"/>
      <c r="FR718" s="4"/>
      <c r="FS718" s="4"/>
      <c r="FT718" s="4"/>
      <c r="FU718" s="4"/>
      <c r="FV718" s="4"/>
      <c r="FW718" s="4"/>
      <c r="FX718" s="4"/>
      <c r="FY718" s="4"/>
      <c r="FZ718" s="4"/>
      <c r="GA718" s="4"/>
      <c r="GB718" s="4"/>
      <c r="GC718" s="4"/>
      <c r="GD718" s="4"/>
      <c r="GE718" s="4"/>
      <c r="GF718" s="4"/>
      <c r="GG718" s="4"/>
      <c r="GH718" s="4"/>
      <c r="GI718" s="4"/>
      <c r="GJ718" s="4"/>
      <c r="GK718" s="4"/>
      <c r="GL718" s="4"/>
      <c r="GM718" s="4"/>
      <c r="GN718" s="4"/>
      <c r="GO718" s="4"/>
      <c r="GP718" s="4"/>
      <c r="GQ718" s="4"/>
      <c r="GR718" s="4"/>
      <c r="GS718" s="4"/>
      <c r="GT718" s="4"/>
      <c r="GU718" s="4"/>
      <c r="GV718" s="4"/>
      <c r="GW718" s="4"/>
      <c r="GX718" s="4"/>
    </row>
    <row r="719">
      <c r="A719" s="2" t="s">
        <v>4508</v>
      </c>
      <c r="B719" s="2" t="s">
        <v>278</v>
      </c>
      <c r="C719" s="2" t="s">
        <v>2227</v>
      </c>
      <c r="D719" s="2" t="s">
        <v>280</v>
      </c>
      <c r="E719" s="2" t="s">
        <v>281</v>
      </c>
      <c r="F719" s="2" t="s">
        <v>4456</v>
      </c>
      <c r="G719" s="2" t="s">
        <v>4456</v>
      </c>
      <c r="H719" s="2" t="s">
        <v>4456</v>
      </c>
      <c r="I719" s="2" t="s">
        <v>283</v>
      </c>
      <c r="J719" s="2" t="s">
        <v>222</v>
      </c>
      <c r="K719" s="2" t="s">
        <v>780</v>
      </c>
      <c r="L719" s="3">
        <v>21.62</v>
      </c>
      <c r="M719" s="3">
        <v>22.7</v>
      </c>
      <c r="N719" s="3">
        <v>46.99</v>
      </c>
      <c r="O719" s="2" t="s">
        <v>224</v>
      </c>
      <c r="P719" s="2" t="s">
        <v>225</v>
      </c>
      <c r="Q719" s="2" t="s">
        <v>226</v>
      </c>
      <c r="R719" s="2" t="s">
        <v>227</v>
      </c>
      <c r="S719" s="2" t="s">
        <v>4509</v>
      </c>
      <c r="T719" s="2" t="s">
        <v>2807</v>
      </c>
      <c r="U719" s="2" t="s">
        <v>674</v>
      </c>
      <c r="V719" s="2" t="s">
        <v>230</v>
      </c>
      <c r="W719" s="2" t="s">
        <v>231</v>
      </c>
      <c r="X719" s="2" t="s">
        <v>836</v>
      </c>
      <c r="Y719" s="2" t="s">
        <v>232</v>
      </c>
      <c r="Z719" s="4">
        <v>176</v>
      </c>
      <c r="AA719" s="4">
        <f>=ROUNDDOWN(17.6,0)</f>
      </c>
      <c r="AB719" s="5">
        <v>10</v>
      </c>
      <c r="AC719" s="2" t="s">
        <v>732</v>
      </c>
      <c r="AD719" s="4">
        <v>50</v>
      </c>
      <c r="AE719" s="4">
        <v>130</v>
      </c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227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227</v>
      </c>
      <c r="AW719" s="8" t="s">
        <v>227</v>
      </c>
      <c r="AX719" s="4" t="s">
        <v>227</v>
      </c>
      <c r="AY719" s="8" t="s">
        <v>227</v>
      </c>
      <c r="AZ719" s="7" t="s">
        <v>227</v>
      </c>
      <c r="BA719" s="7" t="s">
        <v>227</v>
      </c>
      <c r="BB719" s="7"/>
      <c r="BC719" s="4" t="s">
        <v>227</v>
      </c>
      <c r="BD719" s="8" t="s">
        <v>227</v>
      </c>
      <c r="BE719" s="4" t="s">
        <v>227</v>
      </c>
      <c r="BF719" s="8" t="s">
        <v>227</v>
      </c>
      <c r="BG719" s="7" t="s">
        <v>227</v>
      </c>
      <c r="BH719" s="7" t="s">
        <v>227</v>
      </c>
      <c r="BI719" s="7"/>
      <c r="BJ719" s="4">
        <v>12</v>
      </c>
      <c r="BK719" s="8">
        <v>283.48</v>
      </c>
      <c r="BL719" s="2" t="s">
        <v>4510</v>
      </c>
      <c r="BM719" s="7"/>
      <c r="BN719" s="7"/>
      <c r="BO719" s="4"/>
      <c r="BP719" s="8"/>
      <c r="BQ719" s="4"/>
      <c r="BR719" s="8"/>
      <c r="BS719" s="7"/>
      <c r="BT719" s="7"/>
      <c r="BU719" s="2" t="s">
        <v>4511</v>
      </c>
      <c r="BV719" s="2" t="s">
        <v>227</v>
      </c>
      <c r="BW719" s="2" t="s">
        <v>227</v>
      </c>
      <c r="BX719" s="2" t="s">
        <v>235</v>
      </c>
      <c r="BY719" s="2" t="s">
        <v>236</v>
      </c>
      <c r="BZ719" s="2" t="s">
        <v>224</v>
      </c>
      <c r="CA719" s="2" t="s">
        <v>237</v>
      </c>
      <c r="CB719" s="2" t="s">
        <v>4512</v>
      </c>
      <c r="CC719" s="2" t="s">
        <v>239</v>
      </c>
      <c r="CD719" s="2" t="s">
        <v>227</v>
      </c>
      <c r="CE719" s="4">
        <v>176</v>
      </c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>
        <v>50</v>
      </c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/>
      <c r="ES719" s="4"/>
      <c r="ET719" s="4">
        <v>80</v>
      </c>
      <c r="EU719" s="4"/>
      <c r="EV719" s="4"/>
      <c r="EW719" s="4"/>
      <c r="EX719" s="4"/>
      <c r="EY719" s="4"/>
      <c r="EZ719" s="4"/>
      <c r="FA719" s="4"/>
      <c r="FB719" s="4"/>
      <c r="FC719" s="4"/>
      <c r="FD719" s="4"/>
      <c r="FE719" s="4"/>
      <c r="FF719" s="4"/>
      <c r="FG719" s="4"/>
      <c r="FH719" s="4"/>
      <c r="FI719" s="4"/>
      <c r="FJ719" s="4"/>
      <c r="FK719" s="4"/>
      <c r="FL719" s="4"/>
      <c r="FM719" s="4"/>
      <c r="FN719" s="4"/>
      <c r="FO719" s="4"/>
      <c r="FP719" s="4"/>
      <c r="FQ719" s="4"/>
      <c r="FR719" s="4"/>
      <c r="FS719" s="4"/>
      <c r="FT719" s="4"/>
      <c r="FU719" s="4"/>
      <c r="FV719" s="4"/>
      <c r="FW719" s="4"/>
      <c r="FX719" s="4"/>
      <c r="FY719" s="4"/>
      <c r="FZ719" s="4"/>
      <c r="GA719" s="4"/>
      <c r="GB719" s="4"/>
      <c r="GC719" s="4"/>
      <c r="GD719" s="4"/>
      <c r="GE719" s="4"/>
      <c r="GF719" s="4"/>
      <c r="GG719" s="4"/>
      <c r="GH719" s="4"/>
      <c r="GI719" s="4"/>
      <c r="GJ719" s="4"/>
      <c r="GK719" s="4"/>
      <c r="GL719" s="4"/>
      <c r="GM719" s="4"/>
      <c r="GN719" s="4"/>
      <c r="GO719" s="4"/>
      <c r="GP719" s="4"/>
      <c r="GQ719" s="4"/>
      <c r="GR719" s="4"/>
      <c r="GS719" s="4"/>
      <c r="GT719" s="4"/>
      <c r="GU719" s="4"/>
      <c r="GV719" s="4"/>
      <c r="GW719" s="4"/>
      <c r="GX719" s="4"/>
    </row>
    <row r="720">
      <c r="A720" s="2" t="s">
        <v>4513</v>
      </c>
      <c r="B720" s="2" t="s">
        <v>278</v>
      </c>
      <c r="C720" s="2" t="s">
        <v>2227</v>
      </c>
      <c r="D720" s="2" t="s">
        <v>280</v>
      </c>
      <c r="E720" s="2" t="s">
        <v>281</v>
      </c>
      <c r="F720" s="2" t="s">
        <v>4456</v>
      </c>
      <c r="G720" s="2" t="s">
        <v>4456</v>
      </c>
      <c r="H720" s="2" t="s">
        <v>4456</v>
      </c>
      <c r="I720" s="2" t="s">
        <v>283</v>
      </c>
      <c r="J720" s="2" t="s">
        <v>241</v>
      </c>
      <c r="K720" s="2" t="s">
        <v>780</v>
      </c>
      <c r="L720" s="3">
        <v>23.04</v>
      </c>
      <c r="M720" s="3">
        <v>24.19</v>
      </c>
      <c r="N720" s="3">
        <v>47.99</v>
      </c>
      <c r="O720" s="2" t="s">
        <v>224</v>
      </c>
      <c r="P720" s="2" t="s">
        <v>225</v>
      </c>
      <c r="Q720" s="2" t="s">
        <v>226</v>
      </c>
      <c r="R720" s="2" t="s">
        <v>227</v>
      </c>
      <c r="S720" s="2" t="s">
        <v>4509</v>
      </c>
      <c r="T720" s="2" t="s">
        <v>2807</v>
      </c>
      <c r="U720" s="2" t="s">
        <v>674</v>
      </c>
      <c r="V720" s="2" t="s">
        <v>230</v>
      </c>
      <c r="W720" s="2" t="s">
        <v>231</v>
      </c>
      <c r="X720" s="2" t="s">
        <v>836</v>
      </c>
      <c r="Y720" s="2" t="s">
        <v>232</v>
      </c>
      <c r="Z720" s="4">
        <v>190</v>
      </c>
      <c r="AA720" s="4">
        <f>=ROUNDDOWN(14.6153846153846,0)</f>
      </c>
      <c r="AB720" s="5">
        <v>13</v>
      </c>
      <c r="AC720" s="2" t="s">
        <v>732</v>
      </c>
      <c r="AD720" s="4">
        <v>60</v>
      </c>
      <c r="AE720" s="4">
        <v>150</v>
      </c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227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227</v>
      </c>
      <c r="AW720" s="8" t="s">
        <v>227</v>
      </c>
      <c r="AX720" s="4" t="s">
        <v>227</v>
      </c>
      <c r="AY720" s="8" t="s">
        <v>227</v>
      </c>
      <c r="AZ720" s="7" t="s">
        <v>227</v>
      </c>
      <c r="BA720" s="7" t="s">
        <v>227</v>
      </c>
      <c r="BB720" s="7"/>
      <c r="BC720" s="4" t="s">
        <v>227</v>
      </c>
      <c r="BD720" s="8" t="s">
        <v>227</v>
      </c>
      <c r="BE720" s="4" t="s">
        <v>227</v>
      </c>
      <c r="BF720" s="8" t="s">
        <v>227</v>
      </c>
      <c r="BG720" s="7" t="s">
        <v>227</v>
      </c>
      <c r="BH720" s="7" t="s">
        <v>227</v>
      </c>
      <c r="BI720" s="7"/>
      <c r="BJ720" s="4">
        <v>31</v>
      </c>
      <c r="BK720" s="8">
        <v>748.53</v>
      </c>
      <c r="BL720" s="2" t="s">
        <v>2473</v>
      </c>
      <c r="BM720" s="7"/>
      <c r="BN720" s="7"/>
      <c r="BO720" s="4"/>
      <c r="BP720" s="8"/>
      <c r="BQ720" s="4"/>
      <c r="BR720" s="8"/>
      <c r="BS720" s="7"/>
      <c r="BT720" s="7"/>
      <c r="BU720" s="2" t="s">
        <v>4514</v>
      </c>
      <c r="BV720" s="2" t="s">
        <v>227</v>
      </c>
      <c r="BW720" s="2" t="s">
        <v>227</v>
      </c>
      <c r="BX720" s="2" t="s">
        <v>235</v>
      </c>
      <c r="BY720" s="2" t="s">
        <v>236</v>
      </c>
      <c r="BZ720" s="2" t="s">
        <v>224</v>
      </c>
      <c r="CA720" s="2" t="s">
        <v>237</v>
      </c>
      <c r="CB720" s="2" t="s">
        <v>854</v>
      </c>
      <c r="CC720" s="2" t="s">
        <v>239</v>
      </c>
      <c r="CD720" s="2" t="s">
        <v>227</v>
      </c>
      <c r="CE720" s="4">
        <v>190</v>
      </c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>
        <v>60</v>
      </c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>
        <v>90</v>
      </c>
      <c r="EU720" s="4"/>
      <c r="EV720" s="4"/>
      <c r="EW720" s="4"/>
      <c r="EX720" s="4"/>
      <c r="EY720" s="4"/>
      <c r="EZ720" s="4"/>
      <c r="FA720" s="4"/>
      <c r="FB720" s="4"/>
      <c r="FC720" s="4"/>
      <c r="FD720" s="4"/>
      <c r="FE720" s="4"/>
      <c r="FF720" s="4"/>
      <c r="FG720" s="4"/>
      <c r="FH720" s="4"/>
      <c r="FI720" s="4"/>
      <c r="FJ720" s="4"/>
      <c r="FK720" s="4"/>
      <c r="FL720" s="4"/>
      <c r="FM720" s="4"/>
      <c r="FN720" s="4"/>
      <c r="FO720" s="4"/>
      <c r="FP720" s="4"/>
      <c r="FQ720" s="4"/>
      <c r="FR720" s="4"/>
      <c r="FS720" s="4"/>
      <c r="FT720" s="4"/>
      <c r="FU720" s="4"/>
      <c r="FV720" s="4"/>
      <c r="FW720" s="4"/>
      <c r="FX720" s="4"/>
      <c r="FY720" s="4"/>
      <c r="FZ720" s="4"/>
      <c r="GA720" s="4"/>
      <c r="GB720" s="4"/>
      <c r="GC720" s="4"/>
      <c r="GD720" s="4"/>
      <c r="GE720" s="4"/>
      <c r="GF720" s="4"/>
      <c r="GG720" s="4"/>
      <c r="GH720" s="4"/>
      <c r="GI720" s="4"/>
      <c r="GJ720" s="4"/>
      <c r="GK720" s="4"/>
      <c r="GL720" s="4"/>
      <c r="GM720" s="4"/>
      <c r="GN720" s="4"/>
      <c r="GO720" s="4"/>
      <c r="GP720" s="4"/>
      <c r="GQ720" s="4"/>
      <c r="GR720" s="4"/>
      <c r="GS720" s="4"/>
      <c r="GT720" s="4"/>
      <c r="GU720" s="4"/>
      <c r="GV720" s="4"/>
      <c r="GW720" s="4"/>
      <c r="GX720" s="4"/>
    </row>
    <row r="721">
      <c r="A721" s="2" t="s">
        <v>4515</v>
      </c>
      <c r="B721" s="2" t="s">
        <v>278</v>
      </c>
      <c r="C721" s="2" t="s">
        <v>2227</v>
      </c>
      <c r="D721" s="2" t="s">
        <v>280</v>
      </c>
      <c r="E721" s="2" t="s">
        <v>281</v>
      </c>
      <c r="F721" s="2" t="s">
        <v>4456</v>
      </c>
      <c r="G721" s="2" t="s">
        <v>4456</v>
      </c>
      <c r="H721" s="2" t="s">
        <v>4456</v>
      </c>
      <c r="I721" s="2" t="s">
        <v>283</v>
      </c>
      <c r="J721" s="2" t="s">
        <v>247</v>
      </c>
      <c r="K721" s="2" t="s">
        <v>780</v>
      </c>
      <c r="L721" s="3">
        <v>25.3</v>
      </c>
      <c r="M721" s="3">
        <v>26.56</v>
      </c>
      <c r="N721" s="3">
        <v>54.99</v>
      </c>
      <c r="O721" s="2" t="s">
        <v>224</v>
      </c>
      <c r="P721" s="2" t="s">
        <v>225</v>
      </c>
      <c r="Q721" s="2" t="s">
        <v>226</v>
      </c>
      <c r="R721" s="2" t="s">
        <v>227</v>
      </c>
      <c r="S721" s="2" t="s">
        <v>4509</v>
      </c>
      <c r="T721" s="2" t="s">
        <v>2807</v>
      </c>
      <c r="U721" s="2" t="s">
        <v>287</v>
      </c>
      <c r="V721" s="2" t="s">
        <v>230</v>
      </c>
      <c r="W721" s="2" t="s">
        <v>231</v>
      </c>
      <c r="X721" s="2" t="s">
        <v>836</v>
      </c>
      <c r="Y721" s="2" t="s">
        <v>232</v>
      </c>
      <c r="Z721" s="4">
        <v>177</v>
      </c>
      <c r="AA721" s="4">
        <f>=ROUNDDOWN(19.6666666666667,0)</f>
      </c>
      <c r="AB721" s="5">
        <v>9</v>
      </c>
      <c r="AC721" s="2" t="s">
        <v>2082</v>
      </c>
      <c r="AD721" s="4">
        <v>60</v>
      </c>
      <c r="AE721" s="4">
        <v>130</v>
      </c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227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227</v>
      </c>
      <c r="AW721" s="8" t="s">
        <v>227</v>
      </c>
      <c r="AX721" s="4" t="s">
        <v>227</v>
      </c>
      <c r="AY721" s="8" t="s">
        <v>227</v>
      </c>
      <c r="AZ721" s="7" t="s">
        <v>227</v>
      </c>
      <c r="BA721" s="7" t="s">
        <v>227</v>
      </c>
      <c r="BB721" s="7"/>
      <c r="BC721" s="4" t="s">
        <v>227</v>
      </c>
      <c r="BD721" s="8" t="s">
        <v>227</v>
      </c>
      <c r="BE721" s="4" t="s">
        <v>227</v>
      </c>
      <c r="BF721" s="8" t="s">
        <v>227</v>
      </c>
      <c r="BG721" s="7" t="s">
        <v>227</v>
      </c>
      <c r="BH721" s="7" t="s">
        <v>227</v>
      </c>
      <c r="BI721" s="7"/>
      <c r="BJ721" s="4">
        <v>24</v>
      </c>
      <c r="BK721" s="8">
        <v>663.93</v>
      </c>
      <c r="BL721" s="2" t="s">
        <v>1910</v>
      </c>
      <c r="BM721" s="7"/>
      <c r="BN721" s="7"/>
      <c r="BO721" s="4"/>
      <c r="BP721" s="8"/>
      <c r="BQ721" s="4"/>
      <c r="BR721" s="8"/>
      <c r="BS721" s="7"/>
      <c r="BT721" s="7"/>
      <c r="BU721" s="2" t="s">
        <v>4516</v>
      </c>
      <c r="BV721" s="2" t="s">
        <v>227</v>
      </c>
      <c r="BW721" s="2" t="s">
        <v>227</v>
      </c>
      <c r="BX721" s="2" t="s">
        <v>235</v>
      </c>
      <c r="BY721" s="2" t="s">
        <v>236</v>
      </c>
      <c r="BZ721" s="2" t="s">
        <v>224</v>
      </c>
      <c r="CA721" s="2" t="s">
        <v>237</v>
      </c>
      <c r="CB721" s="2" t="s">
        <v>981</v>
      </c>
      <c r="CC721" s="2" t="s">
        <v>239</v>
      </c>
      <c r="CD721" s="2" t="s">
        <v>227</v>
      </c>
      <c r="CE721" s="4">
        <v>177</v>
      </c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>
        <v>60</v>
      </c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/>
      <c r="ES721" s="4"/>
      <c r="ET721" s="4">
        <v>70</v>
      </c>
      <c r="EU721" s="4"/>
      <c r="EV721" s="4"/>
      <c r="EW721" s="4"/>
      <c r="EX721" s="4"/>
      <c r="EY721" s="4"/>
      <c r="EZ721" s="4"/>
      <c r="FA721" s="4"/>
      <c r="FB721" s="4"/>
      <c r="FC721" s="4"/>
      <c r="FD721" s="4"/>
      <c r="FE721" s="4"/>
      <c r="FF721" s="4"/>
      <c r="FG721" s="4"/>
      <c r="FH721" s="4"/>
      <c r="FI721" s="4"/>
      <c r="FJ721" s="4"/>
      <c r="FK721" s="4"/>
      <c r="FL721" s="4"/>
      <c r="FM721" s="4"/>
      <c r="FN721" s="4"/>
      <c r="FO721" s="4"/>
      <c r="FP721" s="4"/>
      <c r="FQ721" s="4"/>
      <c r="FR721" s="4"/>
      <c r="FS721" s="4"/>
      <c r="FT721" s="4"/>
      <c r="FU721" s="4"/>
      <c r="FV721" s="4"/>
      <c r="FW721" s="4"/>
      <c r="FX721" s="4"/>
      <c r="FY721" s="4"/>
      <c r="FZ721" s="4"/>
      <c r="GA721" s="4"/>
      <c r="GB721" s="4"/>
      <c r="GC721" s="4"/>
      <c r="GD721" s="4"/>
      <c r="GE721" s="4"/>
      <c r="GF721" s="4"/>
      <c r="GG721" s="4"/>
      <c r="GH721" s="4"/>
      <c r="GI721" s="4"/>
      <c r="GJ721" s="4"/>
      <c r="GK721" s="4"/>
      <c r="GL721" s="4"/>
      <c r="GM721" s="4"/>
      <c r="GN721" s="4"/>
      <c r="GO721" s="4"/>
      <c r="GP721" s="4"/>
      <c r="GQ721" s="4"/>
      <c r="GR721" s="4"/>
      <c r="GS721" s="4"/>
      <c r="GT721" s="4"/>
      <c r="GU721" s="4"/>
      <c r="GV721" s="4"/>
      <c r="GW721" s="4"/>
      <c r="GX721" s="4"/>
    </row>
    <row r="722">
      <c r="A722" s="2" t="s">
        <v>4517</v>
      </c>
      <c r="B722" s="2" t="s">
        <v>278</v>
      </c>
      <c r="C722" s="2" t="s">
        <v>2227</v>
      </c>
      <c r="D722" s="2" t="s">
        <v>280</v>
      </c>
      <c r="E722" s="2" t="s">
        <v>281</v>
      </c>
      <c r="F722" s="2" t="s">
        <v>4456</v>
      </c>
      <c r="G722" s="2" t="s">
        <v>4456</v>
      </c>
      <c r="H722" s="2" t="s">
        <v>4456</v>
      </c>
      <c r="I722" s="2" t="s">
        <v>283</v>
      </c>
      <c r="J722" s="2" t="s">
        <v>384</v>
      </c>
      <c r="K722" s="2" t="s">
        <v>780</v>
      </c>
      <c r="L722" s="3">
        <v>31.85</v>
      </c>
      <c r="M722" s="3">
        <v>33.44</v>
      </c>
      <c r="N722" s="3">
        <v>64.99</v>
      </c>
      <c r="O722" s="2" t="s">
        <v>224</v>
      </c>
      <c r="P722" s="2" t="s">
        <v>225</v>
      </c>
      <c r="Q722" s="2" t="s">
        <v>226</v>
      </c>
      <c r="R722" s="2" t="s">
        <v>227</v>
      </c>
      <c r="S722" s="2" t="s">
        <v>4509</v>
      </c>
      <c r="T722" s="2" t="s">
        <v>2807</v>
      </c>
      <c r="U722" s="2" t="s">
        <v>287</v>
      </c>
      <c r="V722" s="2" t="s">
        <v>230</v>
      </c>
      <c r="W722" s="2" t="s">
        <v>231</v>
      </c>
      <c r="X722" s="2" t="s">
        <v>836</v>
      </c>
      <c r="Y722" s="2" t="s">
        <v>232</v>
      </c>
      <c r="Z722" s="4">
        <v>137</v>
      </c>
      <c r="AA722" s="4">
        <f>=ROUNDDOWN(22.8333333333333,0)</f>
      </c>
      <c r="AB722" s="5">
        <v>6</v>
      </c>
      <c r="AC722" s="2" t="s">
        <v>732</v>
      </c>
      <c r="AD722" s="4">
        <v>30</v>
      </c>
      <c r="AE722" s="4">
        <v>80</v>
      </c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227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227</v>
      </c>
      <c r="AW722" s="8" t="s">
        <v>227</v>
      </c>
      <c r="AX722" s="4" t="s">
        <v>227</v>
      </c>
      <c r="AY722" s="8" t="s">
        <v>227</v>
      </c>
      <c r="AZ722" s="7" t="s">
        <v>227</v>
      </c>
      <c r="BA722" s="7" t="s">
        <v>227</v>
      </c>
      <c r="BB722" s="7"/>
      <c r="BC722" s="4" t="s">
        <v>227</v>
      </c>
      <c r="BD722" s="8" t="s">
        <v>227</v>
      </c>
      <c r="BE722" s="4" t="s">
        <v>227</v>
      </c>
      <c r="BF722" s="8" t="s">
        <v>227</v>
      </c>
      <c r="BG722" s="7" t="s">
        <v>227</v>
      </c>
      <c r="BH722" s="7" t="s">
        <v>227</v>
      </c>
      <c r="BI722" s="7"/>
      <c r="BJ722" s="4">
        <v>3</v>
      </c>
      <c r="BK722" s="8">
        <v>124.7</v>
      </c>
      <c r="BL722" s="2" t="s">
        <v>4518</v>
      </c>
      <c r="BM722" s="7"/>
      <c r="BN722" s="7"/>
      <c r="BO722" s="4"/>
      <c r="BP722" s="8"/>
      <c r="BQ722" s="4"/>
      <c r="BR722" s="8"/>
      <c r="BS722" s="7"/>
      <c r="BT722" s="7"/>
      <c r="BU722" s="2" t="s">
        <v>4519</v>
      </c>
      <c r="BV722" s="2" t="s">
        <v>227</v>
      </c>
      <c r="BW722" s="2" t="s">
        <v>227</v>
      </c>
      <c r="BX722" s="2" t="s">
        <v>235</v>
      </c>
      <c r="BY722" s="2" t="s">
        <v>236</v>
      </c>
      <c r="BZ722" s="2" t="s">
        <v>224</v>
      </c>
      <c r="CA722" s="2" t="s">
        <v>237</v>
      </c>
      <c r="CB722" s="2" t="s">
        <v>4520</v>
      </c>
      <c r="CC722" s="2" t="s">
        <v>239</v>
      </c>
      <c r="CD722" s="2" t="s">
        <v>227</v>
      </c>
      <c r="CE722" s="4">
        <v>137</v>
      </c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>
        <v>30</v>
      </c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/>
      <c r="ES722" s="4"/>
      <c r="ET722" s="4">
        <v>50</v>
      </c>
      <c r="EU722" s="4"/>
      <c r="EV722" s="4"/>
      <c r="EW722" s="4"/>
      <c r="EX722" s="4"/>
      <c r="EY722" s="4"/>
      <c r="EZ722" s="4"/>
      <c r="FA722" s="4"/>
      <c r="FB722" s="4"/>
      <c r="FC722" s="4"/>
      <c r="FD722" s="4"/>
      <c r="FE722" s="4"/>
      <c r="FF722" s="4"/>
      <c r="FG722" s="4"/>
      <c r="FH722" s="4"/>
      <c r="FI722" s="4"/>
      <c r="FJ722" s="4"/>
      <c r="FK722" s="4"/>
      <c r="FL722" s="4"/>
      <c r="FM722" s="4"/>
      <c r="FN722" s="4"/>
      <c r="FO722" s="4"/>
      <c r="FP722" s="4"/>
      <c r="FQ722" s="4"/>
      <c r="FR722" s="4"/>
      <c r="FS722" s="4"/>
      <c r="FT722" s="4"/>
      <c r="FU722" s="4"/>
      <c r="FV722" s="4"/>
      <c r="FW722" s="4"/>
      <c r="FX722" s="4"/>
      <c r="FY722" s="4"/>
      <c r="FZ722" s="4"/>
      <c r="GA722" s="4"/>
      <c r="GB722" s="4"/>
      <c r="GC722" s="4"/>
      <c r="GD722" s="4"/>
      <c r="GE722" s="4"/>
      <c r="GF722" s="4"/>
      <c r="GG722" s="4"/>
      <c r="GH722" s="4"/>
      <c r="GI722" s="4"/>
      <c r="GJ722" s="4"/>
      <c r="GK722" s="4"/>
      <c r="GL722" s="4"/>
      <c r="GM722" s="4"/>
      <c r="GN722" s="4"/>
      <c r="GO722" s="4"/>
      <c r="GP722" s="4"/>
      <c r="GQ722" s="4"/>
      <c r="GR722" s="4"/>
      <c r="GS722" s="4"/>
      <c r="GT722" s="4"/>
      <c r="GU722" s="4"/>
      <c r="GV722" s="4"/>
      <c r="GW722" s="4"/>
      <c r="GX722" s="4"/>
    </row>
    <row r="723">
      <c r="A723" s="2" t="s">
        <v>4521</v>
      </c>
      <c r="B723" s="2" t="s">
        <v>278</v>
      </c>
      <c r="C723" s="2" t="s">
        <v>2227</v>
      </c>
      <c r="D723" s="2" t="s">
        <v>280</v>
      </c>
      <c r="E723" s="2" t="s">
        <v>281</v>
      </c>
      <c r="F723" s="2" t="s">
        <v>4456</v>
      </c>
      <c r="G723" s="2" t="s">
        <v>4456</v>
      </c>
      <c r="H723" s="2" t="s">
        <v>4456</v>
      </c>
      <c r="I723" s="2" t="s">
        <v>283</v>
      </c>
      <c r="J723" s="2" t="s">
        <v>222</v>
      </c>
      <c r="K723" s="2" t="s">
        <v>410</v>
      </c>
      <c r="L723" s="3">
        <v>21.62</v>
      </c>
      <c r="M723" s="3">
        <v>22.7</v>
      </c>
      <c r="N723" s="3">
        <v>46.99</v>
      </c>
      <c r="O723" s="2" t="s">
        <v>224</v>
      </c>
      <c r="P723" s="2" t="s">
        <v>225</v>
      </c>
      <c r="Q723" s="2" t="s">
        <v>226</v>
      </c>
      <c r="R723" s="2" t="s">
        <v>227</v>
      </c>
      <c r="S723" s="2" t="s">
        <v>4522</v>
      </c>
      <c r="T723" s="2" t="s">
        <v>2807</v>
      </c>
      <c r="U723" s="2" t="s">
        <v>674</v>
      </c>
      <c r="V723" s="2" t="s">
        <v>230</v>
      </c>
      <c r="W723" s="2" t="s">
        <v>231</v>
      </c>
      <c r="X723" s="2" t="s">
        <v>836</v>
      </c>
      <c r="Y723" s="2" t="s">
        <v>232</v>
      </c>
      <c r="Z723" s="4">
        <v>468</v>
      </c>
      <c r="AA723" s="4">
        <f>=ROUNDDOWN(20.3478260869565,0)</f>
      </c>
      <c r="AB723" s="5">
        <v>23</v>
      </c>
      <c r="AC723" s="2" t="s">
        <v>732</v>
      </c>
      <c r="AD723" s="4">
        <v>110</v>
      </c>
      <c r="AE723" s="4">
        <v>300</v>
      </c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227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227</v>
      </c>
      <c r="AW723" s="8" t="s">
        <v>227</v>
      </c>
      <c r="AX723" s="4" t="s">
        <v>227</v>
      </c>
      <c r="AY723" s="8" t="s">
        <v>227</v>
      </c>
      <c r="AZ723" s="7" t="s">
        <v>227</v>
      </c>
      <c r="BA723" s="7" t="s">
        <v>227</v>
      </c>
      <c r="BB723" s="7"/>
      <c r="BC723" s="4" t="s">
        <v>227</v>
      </c>
      <c r="BD723" s="8" t="s">
        <v>227</v>
      </c>
      <c r="BE723" s="4" t="s">
        <v>227</v>
      </c>
      <c r="BF723" s="8" t="s">
        <v>227</v>
      </c>
      <c r="BG723" s="7" t="s">
        <v>227</v>
      </c>
      <c r="BH723" s="7" t="s">
        <v>227</v>
      </c>
      <c r="BI723" s="7"/>
      <c r="BJ723" s="4">
        <v>17</v>
      </c>
      <c r="BK723" s="8">
        <v>402.4</v>
      </c>
      <c r="BL723" s="2" t="s">
        <v>2165</v>
      </c>
      <c r="BM723" s="7"/>
      <c r="BN723" s="7"/>
      <c r="BO723" s="4"/>
      <c r="BP723" s="8"/>
      <c r="BQ723" s="4"/>
      <c r="BR723" s="8"/>
      <c r="BS723" s="7"/>
      <c r="BT723" s="7"/>
      <c r="BU723" s="2" t="s">
        <v>4523</v>
      </c>
      <c r="BV723" s="2" t="s">
        <v>227</v>
      </c>
      <c r="BW723" s="2" t="s">
        <v>227</v>
      </c>
      <c r="BX723" s="2" t="s">
        <v>235</v>
      </c>
      <c r="BY723" s="2" t="s">
        <v>236</v>
      </c>
      <c r="BZ723" s="2" t="s">
        <v>224</v>
      </c>
      <c r="CA723" s="2" t="s">
        <v>237</v>
      </c>
      <c r="CB723" s="2" t="s">
        <v>4524</v>
      </c>
      <c r="CC723" s="2" t="s">
        <v>239</v>
      </c>
      <c r="CD723" s="2" t="s">
        <v>227</v>
      </c>
      <c r="CE723" s="4">
        <v>468</v>
      </c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>
        <v>110</v>
      </c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>
        <v>190</v>
      </c>
      <c r="EU723" s="4"/>
      <c r="EV723" s="4"/>
      <c r="EW723" s="4"/>
      <c r="EX723" s="4"/>
      <c r="EY723" s="4"/>
      <c r="EZ723" s="4"/>
      <c r="FA723" s="4"/>
      <c r="FB723" s="4"/>
      <c r="FC723" s="4"/>
      <c r="FD723" s="4"/>
      <c r="FE723" s="4"/>
      <c r="FF723" s="4"/>
      <c r="FG723" s="4"/>
      <c r="FH723" s="4"/>
      <c r="FI723" s="4"/>
      <c r="FJ723" s="4"/>
      <c r="FK723" s="4"/>
      <c r="FL723" s="4"/>
      <c r="FM723" s="4"/>
      <c r="FN723" s="4"/>
      <c r="FO723" s="4"/>
      <c r="FP723" s="4"/>
      <c r="FQ723" s="4"/>
      <c r="FR723" s="4"/>
      <c r="FS723" s="4"/>
      <c r="FT723" s="4"/>
      <c r="FU723" s="4"/>
      <c r="FV723" s="4"/>
      <c r="FW723" s="4"/>
      <c r="FX723" s="4"/>
      <c r="FY723" s="4"/>
      <c r="FZ723" s="4"/>
      <c r="GA723" s="4"/>
      <c r="GB723" s="4"/>
      <c r="GC723" s="4"/>
      <c r="GD723" s="4"/>
      <c r="GE723" s="4"/>
      <c r="GF723" s="4"/>
      <c r="GG723" s="4"/>
      <c r="GH723" s="4"/>
      <c r="GI723" s="4"/>
      <c r="GJ723" s="4"/>
      <c r="GK723" s="4"/>
      <c r="GL723" s="4"/>
      <c r="GM723" s="4"/>
      <c r="GN723" s="4"/>
      <c r="GO723" s="4"/>
      <c r="GP723" s="4"/>
      <c r="GQ723" s="4"/>
      <c r="GR723" s="4"/>
      <c r="GS723" s="4"/>
      <c r="GT723" s="4"/>
      <c r="GU723" s="4"/>
      <c r="GV723" s="4"/>
      <c r="GW723" s="4"/>
      <c r="GX723" s="4"/>
    </row>
    <row r="724">
      <c r="A724" s="2" t="s">
        <v>4525</v>
      </c>
      <c r="B724" s="2" t="s">
        <v>278</v>
      </c>
      <c r="C724" s="2" t="s">
        <v>2227</v>
      </c>
      <c r="D724" s="2" t="s">
        <v>280</v>
      </c>
      <c r="E724" s="2" t="s">
        <v>281</v>
      </c>
      <c r="F724" s="2" t="s">
        <v>4456</v>
      </c>
      <c r="G724" s="2" t="s">
        <v>4456</v>
      </c>
      <c r="H724" s="2" t="s">
        <v>4456</v>
      </c>
      <c r="I724" s="2" t="s">
        <v>283</v>
      </c>
      <c r="J724" s="2" t="s">
        <v>257</v>
      </c>
      <c r="K724" s="2" t="s">
        <v>410</v>
      </c>
      <c r="L724" s="3">
        <v>31.2</v>
      </c>
      <c r="M724" s="3">
        <v>32.76</v>
      </c>
      <c r="N724" s="3">
        <v>64.99</v>
      </c>
      <c r="O724" s="2" t="s">
        <v>224</v>
      </c>
      <c r="P724" s="2" t="s">
        <v>550</v>
      </c>
      <c r="Q724" s="2" t="s">
        <v>226</v>
      </c>
      <c r="R724" s="2" t="s">
        <v>227</v>
      </c>
      <c r="S724" s="2" t="s">
        <v>4522</v>
      </c>
      <c r="T724" s="2" t="s">
        <v>2807</v>
      </c>
      <c r="U724" s="2" t="s">
        <v>287</v>
      </c>
      <c r="V724" s="2" t="s">
        <v>230</v>
      </c>
      <c r="W724" s="2" t="s">
        <v>231</v>
      </c>
      <c r="X724" s="2" t="s">
        <v>836</v>
      </c>
      <c r="Y724" s="2" t="s">
        <v>232</v>
      </c>
      <c r="Z724" s="4">
        <v>656</v>
      </c>
      <c r="AA724" s="4">
        <f>=ROUNDDOWN(19.8787878787879,0)</f>
      </c>
      <c r="AB724" s="5">
        <v>33</v>
      </c>
      <c r="AC724" s="2" t="s">
        <v>732</v>
      </c>
      <c r="AD724" s="4">
        <v>200</v>
      </c>
      <c r="AE724" s="4">
        <v>510</v>
      </c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227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227</v>
      </c>
      <c r="AW724" s="8" t="s">
        <v>227</v>
      </c>
      <c r="AX724" s="4" t="s">
        <v>227</v>
      </c>
      <c r="AY724" s="8" t="s">
        <v>227</v>
      </c>
      <c r="AZ724" s="7" t="s">
        <v>227</v>
      </c>
      <c r="BA724" s="7" t="s">
        <v>227</v>
      </c>
      <c r="BB724" s="7"/>
      <c r="BC724" s="4" t="s">
        <v>227</v>
      </c>
      <c r="BD724" s="8" t="s">
        <v>227</v>
      </c>
      <c r="BE724" s="4" t="s">
        <v>227</v>
      </c>
      <c r="BF724" s="8" t="s">
        <v>227</v>
      </c>
      <c r="BG724" s="7" t="s">
        <v>227</v>
      </c>
      <c r="BH724" s="7" t="s">
        <v>227</v>
      </c>
      <c r="BI724" s="7"/>
      <c r="BJ724" s="4">
        <v>36</v>
      </c>
      <c r="BK724" s="8">
        <v>1202.59</v>
      </c>
      <c r="BL724" s="2" t="s">
        <v>4526</v>
      </c>
      <c r="BM724" s="7"/>
      <c r="BN724" s="7"/>
      <c r="BO724" s="4"/>
      <c r="BP724" s="8"/>
      <c r="BQ724" s="4"/>
      <c r="BR724" s="8"/>
      <c r="BS724" s="7"/>
      <c r="BT724" s="7"/>
      <c r="BU724" s="2" t="s">
        <v>4527</v>
      </c>
      <c r="BV724" s="2" t="s">
        <v>227</v>
      </c>
      <c r="BW724" s="2" t="s">
        <v>227</v>
      </c>
      <c r="BX724" s="2" t="s">
        <v>235</v>
      </c>
      <c r="BY724" s="2" t="s">
        <v>236</v>
      </c>
      <c r="BZ724" s="2" t="s">
        <v>224</v>
      </c>
      <c r="CA724" s="2" t="s">
        <v>237</v>
      </c>
      <c r="CB724" s="2" t="s">
        <v>3414</v>
      </c>
      <c r="CC724" s="2" t="s">
        <v>239</v>
      </c>
      <c r="CD724" s="2" t="s">
        <v>227</v>
      </c>
      <c r="CE724" s="4">
        <v>656</v>
      </c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>
        <v>200</v>
      </c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>
        <v>310</v>
      </c>
      <c r="EU724" s="4"/>
      <c r="EV724" s="4"/>
      <c r="EW724" s="4"/>
      <c r="EX724" s="4"/>
      <c r="EY724" s="4"/>
      <c r="EZ724" s="4"/>
      <c r="FA724" s="4"/>
      <c r="FB724" s="4"/>
      <c r="FC724" s="4"/>
      <c r="FD724" s="4"/>
      <c r="FE724" s="4"/>
      <c r="FF724" s="4"/>
      <c r="FG724" s="4"/>
      <c r="FH724" s="4"/>
      <c r="FI724" s="4"/>
      <c r="FJ724" s="4"/>
      <c r="FK724" s="4"/>
      <c r="FL724" s="4"/>
      <c r="FM724" s="4"/>
      <c r="FN724" s="4"/>
      <c r="FO724" s="4"/>
      <c r="FP724" s="4"/>
      <c r="FQ724" s="4"/>
      <c r="FR724" s="4"/>
      <c r="FS724" s="4"/>
      <c r="FT724" s="4"/>
      <c r="FU724" s="4"/>
      <c r="FV724" s="4"/>
      <c r="FW724" s="4"/>
      <c r="FX724" s="4"/>
      <c r="FY724" s="4"/>
      <c r="FZ724" s="4"/>
      <c r="GA724" s="4"/>
      <c r="GB724" s="4"/>
      <c r="GC724" s="4"/>
      <c r="GD724" s="4"/>
      <c r="GE724" s="4"/>
      <c r="GF724" s="4"/>
      <c r="GG724" s="4"/>
      <c r="GH724" s="4"/>
      <c r="GI724" s="4"/>
      <c r="GJ724" s="4"/>
      <c r="GK724" s="4"/>
      <c r="GL724" s="4"/>
      <c r="GM724" s="4"/>
      <c r="GN724" s="4"/>
      <c r="GO724" s="4"/>
      <c r="GP724" s="4"/>
      <c r="GQ724" s="4"/>
      <c r="GR724" s="4"/>
      <c r="GS724" s="4"/>
      <c r="GT724" s="4"/>
      <c r="GU724" s="4"/>
      <c r="GV724" s="4"/>
      <c r="GW724" s="4"/>
      <c r="GX724" s="4"/>
    </row>
    <row r="725">
      <c r="A725" s="2" t="s">
        <v>4528</v>
      </c>
      <c r="B725" s="2" t="s">
        <v>278</v>
      </c>
      <c r="C725" s="2" t="s">
        <v>2227</v>
      </c>
      <c r="D725" s="2" t="s">
        <v>280</v>
      </c>
      <c r="E725" s="2" t="s">
        <v>281</v>
      </c>
      <c r="F725" s="2" t="s">
        <v>4456</v>
      </c>
      <c r="G725" s="2" t="s">
        <v>4456</v>
      </c>
      <c r="H725" s="2" t="s">
        <v>4456</v>
      </c>
      <c r="I725" s="2" t="s">
        <v>283</v>
      </c>
      <c r="J725" s="2" t="s">
        <v>384</v>
      </c>
      <c r="K725" s="2" t="s">
        <v>410</v>
      </c>
      <c r="L725" s="3">
        <v>31.85</v>
      </c>
      <c r="M725" s="3">
        <v>33.44</v>
      </c>
      <c r="N725" s="3">
        <v>64.99</v>
      </c>
      <c r="O725" s="2" t="s">
        <v>224</v>
      </c>
      <c r="P725" s="2" t="s">
        <v>485</v>
      </c>
      <c r="Q725" s="2" t="s">
        <v>226</v>
      </c>
      <c r="R725" s="2" t="s">
        <v>227</v>
      </c>
      <c r="S725" s="2" t="s">
        <v>4522</v>
      </c>
      <c r="T725" s="2" t="s">
        <v>2807</v>
      </c>
      <c r="U725" s="2" t="s">
        <v>287</v>
      </c>
      <c r="V725" s="2" t="s">
        <v>230</v>
      </c>
      <c r="W725" s="2" t="s">
        <v>231</v>
      </c>
      <c r="X725" s="2" t="s">
        <v>836</v>
      </c>
      <c r="Y725" s="2" t="s">
        <v>232</v>
      </c>
      <c r="Z725" s="4">
        <v>410</v>
      </c>
      <c r="AA725" s="4">
        <f>=ROUNDDOWN(20.5,0)</f>
      </c>
      <c r="AB725" s="5">
        <v>20</v>
      </c>
      <c r="AC725" s="2" t="s">
        <v>732</v>
      </c>
      <c r="AD725" s="4">
        <v>110</v>
      </c>
      <c r="AE725" s="4">
        <v>260</v>
      </c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227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227</v>
      </c>
      <c r="AW725" s="8" t="s">
        <v>227</v>
      </c>
      <c r="AX725" s="4" t="s">
        <v>227</v>
      </c>
      <c r="AY725" s="8" t="s">
        <v>227</v>
      </c>
      <c r="AZ725" s="7" t="s">
        <v>227</v>
      </c>
      <c r="BA725" s="7" t="s">
        <v>227</v>
      </c>
      <c r="BB725" s="7"/>
      <c r="BC725" s="4" t="s">
        <v>227</v>
      </c>
      <c r="BD725" s="8" t="s">
        <v>227</v>
      </c>
      <c r="BE725" s="4" t="s">
        <v>227</v>
      </c>
      <c r="BF725" s="8" t="s">
        <v>227</v>
      </c>
      <c r="BG725" s="7" t="s">
        <v>227</v>
      </c>
      <c r="BH725" s="7" t="s">
        <v>227</v>
      </c>
      <c r="BI725" s="7"/>
      <c r="BJ725" s="4">
        <v>10</v>
      </c>
      <c r="BK725" s="8">
        <v>343.88</v>
      </c>
      <c r="BL725" s="2" t="s">
        <v>2192</v>
      </c>
      <c r="BM725" s="7"/>
      <c r="BN725" s="7"/>
      <c r="BO725" s="4"/>
      <c r="BP725" s="8"/>
      <c r="BQ725" s="4"/>
      <c r="BR725" s="8"/>
      <c r="BS725" s="7"/>
      <c r="BT725" s="7"/>
      <c r="BU725" s="2" t="s">
        <v>4529</v>
      </c>
      <c r="BV725" s="2" t="s">
        <v>227</v>
      </c>
      <c r="BW725" s="2" t="s">
        <v>227</v>
      </c>
      <c r="BX725" s="2" t="s">
        <v>235</v>
      </c>
      <c r="BY725" s="2" t="s">
        <v>236</v>
      </c>
      <c r="BZ725" s="2" t="s">
        <v>224</v>
      </c>
      <c r="CA725" s="2" t="s">
        <v>237</v>
      </c>
      <c r="CB725" s="2" t="s">
        <v>4530</v>
      </c>
      <c r="CC725" s="2" t="s">
        <v>239</v>
      </c>
      <c r="CD725" s="2" t="s">
        <v>227</v>
      </c>
      <c r="CE725" s="4">
        <v>410</v>
      </c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>
        <v>110</v>
      </c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>
        <v>150</v>
      </c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/>
      <c r="FF725" s="4"/>
      <c r="FG725" s="4"/>
      <c r="FH725" s="4"/>
      <c r="FI725" s="4"/>
      <c r="FJ725" s="4"/>
      <c r="FK725" s="4"/>
      <c r="FL725" s="4"/>
      <c r="FM725" s="4"/>
      <c r="FN725" s="4"/>
      <c r="FO725" s="4"/>
      <c r="FP725" s="4"/>
      <c r="FQ725" s="4"/>
      <c r="FR725" s="4"/>
      <c r="FS725" s="4"/>
      <c r="FT725" s="4"/>
      <c r="FU725" s="4"/>
      <c r="FV725" s="4"/>
      <c r="FW725" s="4"/>
      <c r="FX725" s="4"/>
      <c r="FY725" s="4"/>
      <c r="FZ725" s="4"/>
      <c r="GA725" s="4"/>
      <c r="GB725" s="4"/>
      <c r="GC725" s="4"/>
      <c r="GD725" s="4"/>
      <c r="GE725" s="4"/>
      <c r="GF725" s="4"/>
      <c r="GG725" s="4"/>
      <c r="GH725" s="4"/>
      <c r="GI725" s="4"/>
      <c r="GJ725" s="4"/>
      <c r="GK725" s="4"/>
      <c r="GL725" s="4"/>
      <c r="GM725" s="4"/>
      <c r="GN725" s="4"/>
      <c r="GO725" s="4"/>
      <c r="GP725" s="4"/>
      <c r="GQ725" s="4"/>
      <c r="GR725" s="4"/>
      <c r="GS725" s="4"/>
      <c r="GT725" s="4"/>
      <c r="GU725" s="4"/>
      <c r="GV725" s="4"/>
      <c r="GW725" s="4"/>
      <c r="GX725" s="4"/>
    </row>
    <row r="726">
      <c r="A726" s="2" t="s">
        <v>4531</v>
      </c>
      <c r="B726" s="2" t="s">
        <v>278</v>
      </c>
      <c r="C726" s="2" t="s">
        <v>2227</v>
      </c>
      <c r="D726" s="2" t="s">
        <v>280</v>
      </c>
      <c r="E726" s="2" t="s">
        <v>281</v>
      </c>
      <c r="F726" s="2" t="s">
        <v>4456</v>
      </c>
      <c r="G726" s="2" t="s">
        <v>4456</v>
      </c>
      <c r="H726" s="2" t="s">
        <v>4456</v>
      </c>
      <c r="I726" s="2" t="s">
        <v>283</v>
      </c>
      <c r="J726" s="2" t="s">
        <v>222</v>
      </c>
      <c r="K726" s="2" t="s">
        <v>2370</v>
      </c>
      <c r="L726" s="3">
        <v>24</v>
      </c>
      <c r="M726" s="3">
        <v>25.2</v>
      </c>
      <c r="N726" s="3">
        <v>49.99</v>
      </c>
      <c r="O726" s="2" t="s">
        <v>224</v>
      </c>
      <c r="P726" s="2" t="s">
        <v>225</v>
      </c>
      <c r="Q726" s="2" t="s">
        <v>226</v>
      </c>
      <c r="R726" s="2" t="s">
        <v>227</v>
      </c>
      <c r="S726" s="2" t="s">
        <v>4532</v>
      </c>
      <c r="T726" s="2" t="s">
        <v>2807</v>
      </c>
      <c r="U726" s="2" t="s">
        <v>674</v>
      </c>
      <c r="V726" s="2" t="s">
        <v>877</v>
      </c>
      <c r="W726" s="2" t="s">
        <v>231</v>
      </c>
      <c r="X726" s="2" t="s">
        <v>836</v>
      </c>
      <c r="Y726" s="2" t="s">
        <v>1341</v>
      </c>
      <c r="Z726" s="4">
        <v>142</v>
      </c>
      <c r="AA726" s="4">
        <f>=ROUNDDOWN(28.4,0)</f>
      </c>
      <c r="AB726" s="5">
        <v>5</v>
      </c>
      <c r="AC726" s="2" t="s">
        <v>732</v>
      </c>
      <c r="AD726" s="4">
        <v>30</v>
      </c>
      <c r="AE726" s="4">
        <v>80</v>
      </c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227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227</v>
      </c>
      <c r="AW726" s="8" t="s">
        <v>227</v>
      </c>
      <c r="AX726" s="4" t="s">
        <v>227</v>
      </c>
      <c r="AY726" s="8" t="s">
        <v>227</v>
      </c>
      <c r="AZ726" s="7" t="s">
        <v>227</v>
      </c>
      <c r="BA726" s="7" t="s">
        <v>227</v>
      </c>
      <c r="BB726" s="7"/>
      <c r="BC726" s="4" t="s">
        <v>227</v>
      </c>
      <c r="BD726" s="8" t="s">
        <v>227</v>
      </c>
      <c r="BE726" s="4" t="s">
        <v>227</v>
      </c>
      <c r="BF726" s="8" t="s">
        <v>227</v>
      </c>
      <c r="BG726" s="7" t="s">
        <v>227</v>
      </c>
      <c r="BH726" s="7" t="s">
        <v>227</v>
      </c>
      <c r="BI726" s="7"/>
      <c r="BJ726" s="4">
        <v>1</v>
      </c>
      <c r="BK726" s="8">
        <v>23.78</v>
      </c>
      <c r="BL726" s="2" t="s">
        <v>1739</v>
      </c>
      <c r="BM726" s="7"/>
      <c r="BN726" s="7"/>
      <c r="BO726" s="4"/>
      <c r="BP726" s="8"/>
      <c r="BQ726" s="4"/>
      <c r="BR726" s="8"/>
      <c r="BS726" s="7"/>
      <c r="BT726" s="7"/>
      <c r="BU726" s="2" t="s">
        <v>4533</v>
      </c>
      <c r="BV726" s="2" t="s">
        <v>227</v>
      </c>
      <c r="BW726" s="2" t="s">
        <v>227</v>
      </c>
      <c r="BX726" s="2" t="s">
        <v>235</v>
      </c>
      <c r="BY726" s="2" t="s">
        <v>236</v>
      </c>
      <c r="BZ726" s="2" t="s">
        <v>224</v>
      </c>
      <c r="CA726" s="2" t="s">
        <v>1118</v>
      </c>
      <c r="CB726" s="2" t="s">
        <v>227</v>
      </c>
      <c r="CC726" s="2" t="s">
        <v>239</v>
      </c>
      <c r="CD726" s="2" t="s">
        <v>227</v>
      </c>
      <c r="CE726" s="4">
        <v>142</v>
      </c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>
        <v>30</v>
      </c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>
        <v>50</v>
      </c>
      <c r="EU726" s="4"/>
      <c r="EV726" s="4"/>
      <c r="EW726" s="4"/>
      <c r="EX726" s="4"/>
      <c r="EY726" s="4"/>
      <c r="EZ726" s="4"/>
      <c r="FA726" s="4"/>
      <c r="FB726" s="4"/>
      <c r="FC726" s="4"/>
      <c r="FD726" s="4"/>
      <c r="FE726" s="4"/>
      <c r="FF726" s="4"/>
      <c r="FG726" s="4"/>
      <c r="FH726" s="4"/>
      <c r="FI726" s="4"/>
      <c r="FJ726" s="4"/>
      <c r="FK726" s="4"/>
      <c r="FL726" s="4"/>
      <c r="FM726" s="4"/>
      <c r="FN726" s="4"/>
      <c r="FO726" s="4"/>
      <c r="FP726" s="4"/>
      <c r="FQ726" s="4"/>
      <c r="FR726" s="4"/>
      <c r="FS726" s="4"/>
      <c r="FT726" s="4"/>
      <c r="FU726" s="4"/>
      <c r="FV726" s="4"/>
      <c r="FW726" s="4"/>
      <c r="FX726" s="4"/>
      <c r="FY726" s="4"/>
      <c r="FZ726" s="4"/>
      <c r="GA726" s="4"/>
      <c r="GB726" s="4"/>
      <c r="GC726" s="4"/>
      <c r="GD726" s="4"/>
      <c r="GE726" s="4"/>
      <c r="GF726" s="4"/>
      <c r="GG726" s="4"/>
      <c r="GH726" s="4"/>
      <c r="GI726" s="4"/>
      <c r="GJ726" s="4"/>
      <c r="GK726" s="4"/>
      <c r="GL726" s="4"/>
      <c r="GM726" s="4"/>
      <c r="GN726" s="4"/>
      <c r="GO726" s="4"/>
      <c r="GP726" s="4"/>
      <c r="GQ726" s="4"/>
      <c r="GR726" s="4"/>
      <c r="GS726" s="4"/>
      <c r="GT726" s="4"/>
      <c r="GU726" s="4"/>
      <c r="GV726" s="4"/>
      <c r="GW726" s="4"/>
      <c r="GX726" s="4"/>
    </row>
    <row r="727">
      <c r="A727" s="2" t="s">
        <v>4534</v>
      </c>
      <c r="B727" s="2" t="s">
        <v>278</v>
      </c>
      <c r="C727" s="2" t="s">
        <v>2227</v>
      </c>
      <c r="D727" s="2" t="s">
        <v>280</v>
      </c>
      <c r="E727" s="2" t="s">
        <v>281</v>
      </c>
      <c r="F727" s="2" t="s">
        <v>4456</v>
      </c>
      <c r="G727" s="2" t="s">
        <v>4456</v>
      </c>
      <c r="H727" s="2" t="s">
        <v>4456</v>
      </c>
      <c r="I727" s="2" t="s">
        <v>283</v>
      </c>
      <c r="J727" s="2" t="s">
        <v>247</v>
      </c>
      <c r="K727" s="2" t="s">
        <v>2370</v>
      </c>
      <c r="L727" s="3">
        <v>28.2</v>
      </c>
      <c r="M727" s="3">
        <v>29.61</v>
      </c>
      <c r="N727" s="3">
        <v>59.99</v>
      </c>
      <c r="O727" s="2" t="s">
        <v>224</v>
      </c>
      <c r="P727" s="2" t="s">
        <v>225</v>
      </c>
      <c r="Q727" s="2" t="s">
        <v>226</v>
      </c>
      <c r="R727" s="2" t="s">
        <v>227</v>
      </c>
      <c r="S727" s="2" t="s">
        <v>4532</v>
      </c>
      <c r="T727" s="2" t="s">
        <v>2807</v>
      </c>
      <c r="U727" s="2" t="s">
        <v>287</v>
      </c>
      <c r="V727" s="2" t="s">
        <v>877</v>
      </c>
      <c r="W727" s="2" t="s">
        <v>231</v>
      </c>
      <c r="X727" s="2" t="s">
        <v>836</v>
      </c>
      <c r="Y727" s="2" t="s">
        <v>1341</v>
      </c>
      <c r="Z727" s="4">
        <v>204</v>
      </c>
      <c r="AA727" s="4">
        <f>=ROUNDDOWN(29.1428571428571,0)</f>
      </c>
      <c r="AB727" s="5">
        <v>7</v>
      </c>
      <c r="AC727" s="2" t="s">
        <v>732</v>
      </c>
      <c r="AD727" s="4">
        <v>50</v>
      </c>
      <c r="AE727" s="4">
        <v>120</v>
      </c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227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227</v>
      </c>
      <c r="AW727" s="8" t="s">
        <v>227</v>
      </c>
      <c r="AX727" s="4" t="s">
        <v>227</v>
      </c>
      <c r="AY727" s="8" t="s">
        <v>227</v>
      </c>
      <c r="AZ727" s="7" t="s">
        <v>227</v>
      </c>
      <c r="BA727" s="7" t="s">
        <v>227</v>
      </c>
      <c r="BB727" s="7"/>
      <c r="BC727" s="4" t="s">
        <v>227</v>
      </c>
      <c r="BD727" s="8" t="s">
        <v>227</v>
      </c>
      <c r="BE727" s="4" t="s">
        <v>227</v>
      </c>
      <c r="BF727" s="8" t="s">
        <v>227</v>
      </c>
      <c r="BG727" s="7" t="s">
        <v>227</v>
      </c>
      <c r="BH727" s="7" t="s">
        <v>227</v>
      </c>
      <c r="BI727" s="7"/>
      <c r="BJ727" s="4">
        <v>7</v>
      </c>
      <c r="BK727" s="8">
        <v>211.87</v>
      </c>
      <c r="BL727" s="2" t="s">
        <v>1601</v>
      </c>
      <c r="BM727" s="7"/>
      <c r="BN727" s="7"/>
      <c r="BO727" s="4"/>
      <c r="BP727" s="8"/>
      <c r="BQ727" s="4"/>
      <c r="BR727" s="8"/>
      <c r="BS727" s="7"/>
      <c r="BT727" s="7"/>
      <c r="BU727" s="2" t="s">
        <v>4535</v>
      </c>
      <c r="BV727" s="2" t="s">
        <v>227</v>
      </c>
      <c r="BW727" s="2" t="s">
        <v>227</v>
      </c>
      <c r="BX727" s="2" t="s">
        <v>235</v>
      </c>
      <c r="BY727" s="2" t="s">
        <v>236</v>
      </c>
      <c r="BZ727" s="2" t="s">
        <v>224</v>
      </c>
      <c r="CA727" s="2" t="s">
        <v>1118</v>
      </c>
      <c r="CB727" s="2" t="s">
        <v>4262</v>
      </c>
      <c r="CC727" s="2" t="s">
        <v>239</v>
      </c>
      <c r="CD727" s="2" t="s">
        <v>227</v>
      </c>
      <c r="CE727" s="4">
        <v>204</v>
      </c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>
        <v>50</v>
      </c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>
        <v>70</v>
      </c>
      <c r="EU727" s="4"/>
      <c r="EV727" s="4"/>
      <c r="EW727" s="4"/>
      <c r="EX727" s="4"/>
      <c r="EY727" s="4"/>
      <c r="EZ727" s="4"/>
      <c r="FA727" s="4"/>
      <c r="FB727" s="4"/>
      <c r="FC727" s="4"/>
      <c r="FD727" s="4"/>
      <c r="FE727" s="4"/>
      <c r="FF727" s="4"/>
      <c r="FG727" s="4"/>
      <c r="FH727" s="4"/>
      <c r="FI727" s="4"/>
      <c r="FJ727" s="4"/>
      <c r="FK727" s="4"/>
      <c r="FL727" s="4"/>
      <c r="FM727" s="4"/>
      <c r="FN727" s="4"/>
      <c r="FO727" s="4"/>
      <c r="FP727" s="4"/>
      <c r="FQ727" s="4"/>
      <c r="FR727" s="4"/>
      <c r="FS727" s="4"/>
      <c r="FT727" s="4"/>
      <c r="FU727" s="4"/>
      <c r="FV727" s="4"/>
      <c r="FW727" s="4"/>
      <c r="FX727" s="4"/>
      <c r="FY727" s="4"/>
      <c r="FZ727" s="4"/>
      <c r="GA727" s="4"/>
      <c r="GB727" s="4"/>
      <c r="GC727" s="4"/>
      <c r="GD727" s="4"/>
      <c r="GE727" s="4"/>
      <c r="GF727" s="4"/>
      <c r="GG727" s="4"/>
      <c r="GH727" s="4"/>
      <c r="GI727" s="4"/>
      <c r="GJ727" s="4"/>
      <c r="GK727" s="4"/>
      <c r="GL727" s="4"/>
      <c r="GM727" s="4"/>
      <c r="GN727" s="4"/>
      <c r="GO727" s="4"/>
      <c r="GP727" s="4"/>
      <c r="GQ727" s="4"/>
      <c r="GR727" s="4"/>
      <c r="GS727" s="4"/>
      <c r="GT727" s="4"/>
      <c r="GU727" s="4"/>
      <c r="GV727" s="4"/>
      <c r="GW727" s="4"/>
      <c r="GX727" s="4"/>
    </row>
    <row r="728">
      <c r="A728" s="2" t="s">
        <v>4536</v>
      </c>
      <c r="B728" s="2" t="s">
        <v>278</v>
      </c>
      <c r="C728" s="2" t="s">
        <v>2227</v>
      </c>
      <c r="D728" s="2" t="s">
        <v>280</v>
      </c>
      <c r="E728" s="2" t="s">
        <v>281</v>
      </c>
      <c r="F728" s="2" t="s">
        <v>4456</v>
      </c>
      <c r="G728" s="2" t="s">
        <v>4456</v>
      </c>
      <c r="H728" s="2" t="s">
        <v>4456</v>
      </c>
      <c r="I728" s="2" t="s">
        <v>283</v>
      </c>
      <c r="J728" s="2" t="s">
        <v>252</v>
      </c>
      <c r="K728" s="2" t="s">
        <v>2370</v>
      </c>
      <c r="L728" s="3">
        <v>31.85</v>
      </c>
      <c r="M728" s="3">
        <v>33.44</v>
      </c>
      <c r="N728" s="3">
        <v>64.99</v>
      </c>
      <c r="O728" s="2" t="s">
        <v>224</v>
      </c>
      <c r="P728" s="2" t="s">
        <v>225</v>
      </c>
      <c r="Q728" s="2" t="s">
        <v>226</v>
      </c>
      <c r="R728" s="2" t="s">
        <v>227</v>
      </c>
      <c r="S728" s="2" t="s">
        <v>4532</v>
      </c>
      <c r="T728" s="2" t="s">
        <v>2807</v>
      </c>
      <c r="U728" s="2" t="s">
        <v>287</v>
      </c>
      <c r="V728" s="2" t="s">
        <v>877</v>
      </c>
      <c r="W728" s="2" t="s">
        <v>231</v>
      </c>
      <c r="X728" s="2" t="s">
        <v>836</v>
      </c>
      <c r="Y728" s="2" t="s">
        <v>1341</v>
      </c>
      <c r="Z728" s="4">
        <v>404</v>
      </c>
      <c r="AA728" s="4">
        <f>=ROUNDDOWN(22.4444444444444,0)</f>
      </c>
      <c r="AB728" s="5">
        <v>18</v>
      </c>
      <c r="AC728" s="2" t="s">
        <v>732</v>
      </c>
      <c r="AD728" s="4">
        <v>150</v>
      </c>
      <c r="AE728" s="4">
        <v>320</v>
      </c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227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227</v>
      </c>
      <c r="AW728" s="8" t="s">
        <v>227</v>
      </c>
      <c r="AX728" s="4" t="s">
        <v>227</v>
      </c>
      <c r="AY728" s="8" t="s">
        <v>227</v>
      </c>
      <c r="AZ728" s="7" t="s">
        <v>227</v>
      </c>
      <c r="BA728" s="7" t="s">
        <v>227</v>
      </c>
      <c r="BB728" s="7"/>
      <c r="BC728" s="4" t="s">
        <v>227</v>
      </c>
      <c r="BD728" s="8" t="s">
        <v>227</v>
      </c>
      <c r="BE728" s="4" t="s">
        <v>227</v>
      </c>
      <c r="BF728" s="8" t="s">
        <v>227</v>
      </c>
      <c r="BG728" s="7" t="s">
        <v>227</v>
      </c>
      <c r="BH728" s="7" t="s">
        <v>227</v>
      </c>
      <c r="BI728" s="7"/>
      <c r="BJ728" s="4">
        <v>16</v>
      </c>
      <c r="BK728" s="8">
        <v>542.83</v>
      </c>
      <c r="BL728" s="2" t="s">
        <v>2889</v>
      </c>
      <c r="BM728" s="7"/>
      <c r="BN728" s="7"/>
      <c r="BO728" s="4"/>
      <c r="BP728" s="8"/>
      <c r="BQ728" s="4"/>
      <c r="BR728" s="8"/>
      <c r="BS728" s="7"/>
      <c r="BT728" s="7"/>
      <c r="BU728" s="2" t="s">
        <v>4537</v>
      </c>
      <c r="BV728" s="2" t="s">
        <v>227</v>
      </c>
      <c r="BW728" s="2" t="s">
        <v>227</v>
      </c>
      <c r="BX728" s="2" t="s">
        <v>235</v>
      </c>
      <c r="BY728" s="2" t="s">
        <v>236</v>
      </c>
      <c r="BZ728" s="2" t="s">
        <v>224</v>
      </c>
      <c r="CA728" s="2" t="s">
        <v>1118</v>
      </c>
      <c r="CB728" s="2" t="s">
        <v>314</v>
      </c>
      <c r="CC728" s="2" t="s">
        <v>239</v>
      </c>
      <c r="CD728" s="2" t="s">
        <v>227</v>
      </c>
      <c r="CE728" s="4">
        <v>404</v>
      </c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>
        <v>150</v>
      </c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>
        <v>170</v>
      </c>
      <c r="EU728" s="4"/>
      <c r="EV728" s="4"/>
      <c r="EW728" s="4"/>
      <c r="EX728" s="4"/>
      <c r="EY728" s="4"/>
      <c r="EZ728" s="4"/>
      <c r="FA728" s="4"/>
      <c r="FB728" s="4"/>
      <c r="FC728" s="4"/>
      <c r="FD728" s="4"/>
      <c r="FE728" s="4"/>
      <c r="FF728" s="4"/>
      <c r="FG728" s="4"/>
      <c r="FH728" s="4"/>
      <c r="FI728" s="4"/>
      <c r="FJ728" s="4"/>
      <c r="FK728" s="4"/>
      <c r="FL728" s="4"/>
      <c r="FM728" s="4"/>
      <c r="FN728" s="4"/>
      <c r="FO728" s="4"/>
      <c r="FP728" s="4"/>
      <c r="FQ728" s="4"/>
      <c r="FR728" s="4"/>
      <c r="FS728" s="4"/>
      <c r="FT728" s="4"/>
      <c r="FU728" s="4"/>
      <c r="FV728" s="4"/>
      <c r="FW728" s="4"/>
      <c r="FX728" s="4"/>
      <c r="FY728" s="4"/>
      <c r="FZ728" s="4"/>
      <c r="GA728" s="4"/>
      <c r="GB728" s="4"/>
      <c r="GC728" s="4"/>
      <c r="GD728" s="4"/>
      <c r="GE728" s="4"/>
      <c r="GF728" s="4"/>
      <c r="GG728" s="4"/>
      <c r="GH728" s="4"/>
      <c r="GI728" s="4"/>
      <c r="GJ728" s="4"/>
      <c r="GK728" s="4"/>
      <c r="GL728" s="4"/>
      <c r="GM728" s="4"/>
      <c r="GN728" s="4"/>
      <c r="GO728" s="4"/>
      <c r="GP728" s="4"/>
      <c r="GQ728" s="4"/>
      <c r="GR728" s="4"/>
      <c r="GS728" s="4"/>
      <c r="GT728" s="4"/>
      <c r="GU728" s="4"/>
      <c r="GV728" s="4"/>
      <c r="GW728" s="4"/>
      <c r="GX728" s="4"/>
    </row>
    <row r="729">
      <c r="A729" s="2" t="s">
        <v>4538</v>
      </c>
      <c r="B729" s="2" t="s">
        <v>278</v>
      </c>
      <c r="C729" s="2" t="s">
        <v>2227</v>
      </c>
      <c r="D729" s="2" t="s">
        <v>280</v>
      </c>
      <c r="E729" s="2" t="s">
        <v>281</v>
      </c>
      <c r="F729" s="2" t="s">
        <v>4456</v>
      </c>
      <c r="G729" s="2" t="s">
        <v>4456</v>
      </c>
      <c r="H729" s="2" t="s">
        <v>4456</v>
      </c>
      <c r="I729" s="2" t="s">
        <v>283</v>
      </c>
      <c r="J729" s="2" t="s">
        <v>257</v>
      </c>
      <c r="K729" s="2" t="s">
        <v>2370</v>
      </c>
      <c r="L729" s="3">
        <v>34.5</v>
      </c>
      <c r="M729" s="3">
        <v>36.23</v>
      </c>
      <c r="N729" s="3">
        <v>74.99</v>
      </c>
      <c r="O729" s="2" t="s">
        <v>224</v>
      </c>
      <c r="P729" s="2" t="s">
        <v>225</v>
      </c>
      <c r="Q729" s="2" t="s">
        <v>226</v>
      </c>
      <c r="R729" s="2" t="s">
        <v>227</v>
      </c>
      <c r="S729" s="2" t="s">
        <v>4532</v>
      </c>
      <c r="T729" s="2" t="s">
        <v>2807</v>
      </c>
      <c r="U729" s="2" t="s">
        <v>287</v>
      </c>
      <c r="V729" s="2" t="s">
        <v>877</v>
      </c>
      <c r="W729" s="2" t="s">
        <v>231</v>
      </c>
      <c r="X729" s="2" t="s">
        <v>836</v>
      </c>
      <c r="Y729" s="2" t="s">
        <v>1341</v>
      </c>
      <c r="Z729" s="4">
        <v>261</v>
      </c>
      <c r="AA729" s="4">
        <f>=ROUNDDOWN(26.1,0)</f>
      </c>
      <c r="AB729" s="5">
        <v>10</v>
      </c>
      <c r="AC729" s="2" t="s">
        <v>732</v>
      </c>
      <c r="AD729" s="4">
        <v>60</v>
      </c>
      <c r="AE729" s="4">
        <v>150</v>
      </c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227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227</v>
      </c>
      <c r="AW729" s="8" t="s">
        <v>227</v>
      </c>
      <c r="AX729" s="4" t="s">
        <v>227</v>
      </c>
      <c r="AY729" s="8" t="s">
        <v>227</v>
      </c>
      <c r="AZ729" s="7" t="s">
        <v>227</v>
      </c>
      <c r="BA729" s="7" t="s">
        <v>227</v>
      </c>
      <c r="BB729" s="7"/>
      <c r="BC729" s="4" t="s">
        <v>227</v>
      </c>
      <c r="BD729" s="8" t="s">
        <v>227</v>
      </c>
      <c r="BE729" s="4" t="s">
        <v>227</v>
      </c>
      <c r="BF729" s="8" t="s">
        <v>227</v>
      </c>
      <c r="BG729" s="7" t="s">
        <v>227</v>
      </c>
      <c r="BH729" s="7" t="s">
        <v>227</v>
      </c>
      <c r="BI729" s="7"/>
      <c r="BJ729" s="4">
        <v>2</v>
      </c>
      <c r="BK729" s="8">
        <v>79.36</v>
      </c>
      <c r="BL729" s="2" t="s">
        <v>498</v>
      </c>
      <c r="BM729" s="7"/>
      <c r="BN729" s="7"/>
      <c r="BO729" s="4"/>
      <c r="BP729" s="8"/>
      <c r="BQ729" s="4"/>
      <c r="BR729" s="8"/>
      <c r="BS729" s="7"/>
      <c r="BT729" s="7"/>
      <c r="BU729" s="2" t="s">
        <v>4539</v>
      </c>
      <c r="BV729" s="2" t="s">
        <v>227</v>
      </c>
      <c r="BW729" s="2" t="s">
        <v>227</v>
      </c>
      <c r="BX729" s="2" t="s">
        <v>235</v>
      </c>
      <c r="BY729" s="2" t="s">
        <v>236</v>
      </c>
      <c r="BZ729" s="2" t="s">
        <v>224</v>
      </c>
      <c r="CA729" s="2" t="s">
        <v>1118</v>
      </c>
      <c r="CB729" s="2" t="s">
        <v>4540</v>
      </c>
      <c r="CC729" s="2" t="s">
        <v>239</v>
      </c>
      <c r="CD729" s="2" t="s">
        <v>227</v>
      </c>
      <c r="CE729" s="4">
        <v>261</v>
      </c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>
        <v>60</v>
      </c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/>
      <c r="ES729" s="4"/>
      <c r="ET729" s="4">
        <v>90</v>
      </c>
      <c r="EU729" s="4"/>
      <c r="EV729" s="4"/>
      <c r="EW729" s="4"/>
      <c r="EX729" s="4"/>
      <c r="EY729" s="4"/>
      <c r="EZ729" s="4"/>
      <c r="FA729" s="4"/>
      <c r="FB729" s="4"/>
      <c r="FC729" s="4"/>
      <c r="FD729" s="4"/>
      <c r="FE729" s="4"/>
      <c r="FF729" s="4"/>
      <c r="FG729" s="4"/>
      <c r="FH729" s="4"/>
      <c r="FI729" s="4"/>
      <c r="FJ729" s="4"/>
      <c r="FK729" s="4"/>
      <c r="FL729" s="4"/>
      <c r="FM729" s="4"/>
      <c r="FN729" s="4"/>
      <c r="FO729" s="4"/>
      <c r="FP729" s="4"/>
      <c r="FQ729" s="4"/>
      <c r="FR729" s="4"/>
      <c r="FS729" s="4"/>
      <c r="FT729" s="4"/>
      <c r="FU729" s="4"/>
      <c r="FV729" s="4"/>
      <c r="FW729" s="4"/>
      <c r="FX729" s="4"/>
      <c r="FY729" s="4"/>
      <c r="FZ729" s="4"/>
      <c r="GA729" s="4"/>
      <c r="GB729" s="4"/>
      <c r="GC729" s="4"/>
      <c r="GD729" s="4"/>
      <c r="GE729" s="4"/>
      <c r="GF729" s="4"/>
      <c r="GG729" s="4"/>
      <c r="GH729" s="4"/>
      <c r="GI729" s="4"/>
      <c r="GJ729" s="4"/>
      <c r="GK729" s="4"/>
      <c r="GL729" s="4"/>
      <c r="GM729" s="4"/>
      <c r="GN729" s="4"/>
      <c r="GO729" s="4"/>
      <c r="GP729" s="4"/>
      <c r="GQ729" s="4"/>
      <c r="GR729" s="4"/>
      <c r="GS729" s="4"/>
      <c r="GT729" s="4"/>
      <c r="GU729" s="4"/>
      <c r="GV729" s="4"/>
      <c r="GW729" s="4"/>
      <c r="GX729" s="4"/>
    </row>
    <row r="730">
      <c r="A730" s="2" t="s">
        <v>4541</v>
      </c>
      <c r="B730" s="2" t="s">
        <v>278</v>
      </c>
      <c r="C730" s="2" t="s">
        <v>2227</v>
      </c>
      <c r="D730" s="2" t="s">
        <v>280</v>
      </c>
      <c r="E730" s="2" t="s">
        <v>281</v>
      </c>
      <c r="F730" s="2" t="s">
        <v>4456</v>
      </c>
      <c r="G730" s="2" t="s">
        <v>4456</v>
      </c>
      <c r="H730" s="2" t="s">
        <v>4456</v>
      </c>
      <c r="I730" s="2" t="s">
        <v>283</v>
      </c>
      <c r="J730" s="2" t="s">
        <v>247</v>
      </c>
      <c r="K730" s="2" t="s">
        <v>2173</v>
      </c>
      <c r="L730" s="3">
        <v>28.2</v>
      </c>
      <c r="M730" s="3">
        <v>29.61</v>
      </c>
      <c r="N730" s="3">
        <v>59.99</v>
      </c>
      <c r="O730" s="2" t="s">
        <v>224</v>
      </c>
      <c r="P730" s="2" t="s">
        <v>225</v>
      </c>
      <c r="Q730" s="2" t="s">
        <v>226</v>
      </c>
      <c r="R730" s="2" t="s">
        <v>227</v>
      </c>
      <c r="S730" s="2" t="s">
        <v>4542</v>
      </c>
      <c r="T730" s="2" t="s">
        <v>2807</v>
      </c>
      <c r="U730" s="2" t="s">
        <v>287</v>
      </c>
      <c r="V730" s="2" t="s">
        <v>782</v>
      </c>
      <c r="W730" s="2" t="s">
        <v>231</v>
      </c>
      <c r="X730" s="2" t="s">
        <v>836</v>
      </c>
      <c r="Y730" s="2" t="s">
        <v>232</v>
      </c>
      <c r="Z730" s="4">
        <v>196</v>
      </c>
      <c r="AA730" s="4">
        <f>=ROUNDDOWN(21.7777777777778,0)</f>
      </c>
      <c r="AB730" s="5">
        <v>9</v>
      </c>
      <c r="AC730" s="2" t="s">
        <v>732</v>
      </c>
      <c r="AD730" s="4">
        <v>60</v>
      </c>
      <c r="AE730" s="4">
        <v>130</v>
      </c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227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227</v>
      </c>
      <c r="AW730" s="8" t="s">
        <v>227</v>
      </c>
      <c r="AX730" s="4" t="s">
        <v>227</v>
      </c>
      <c r="AY730" s="8" t="s">
        <v>227</v>
      </c>
      <c r="AZ730" s="7" t="s">
        <v>227</v>
      </c>
      <c r="BA730" s="7" t="s">
        <v>227</v>
      </c>
      <c r="BB730" s="7"/>
      <c r="BC730" s="4" t="s">
        <v>227</v>
      </c>
      <c r="BD730" s="8" t="s">
        <v>227</v>
      </c>
      <c r="BE730" s="4" t="s">
        <v>227</v>
      </c>
      <c r="BF730" s="8" t="s">
        <v>227</v>
      </c>
      <c r="BG730" s="7" t="s">
        <v>227</v>
      </c>
      <c r="BH730" s="7" t="s">
        <v>227</v>
      </c>
      <c r="BI730" s="7"/>
      <c r="BJ730" s="4">
        <v>21</v>
      </c>
      <c r="BK730" s="8">
        <v>641.55</v>
      </c>
      <c r="BL730" s="2" t="s">
        <v>2165</v>
      </c>
      <c r="BM730" s="7"/>
      <c r="BN730" s="7"/>
      <c r="BO730" s="4"/>
      <c r="BP730" s="8"/>
      <c r="BQ730" s="4"/>
      <c r="BR730" s="8"/>
      <c r="BS730" s="7"/>
      <c r="BT730" s="7"/>
      <c r="BU730" s="2" t="s">
        <v>4543</v>
      </c>
      <c r="BV730" s="2" t="s">
        <v>227</v>
      </c>
      <c r="BW730" s="2" t="s">
        <v>227</v>
      </c>
      <c r="BX730" s="2" t="s">
        <v>235</v>
      </c>
      <c r="BY730" s="2" t="s">
        <v>236</v>
      </c>
      <c r="BZ730" s="2" t="s">
        <v>224</v>
      </c>
      <c r="CA730" s="2" t="s">
        <v>1089</v>
      </c>
      <c r="CB730" s="2" t="s">
        <v>4544</v>
      </c>
      <c r="CC730" s="2" t="s">
        <v>239</v>
      </c>
      <c r="CD730" s="2" t="s">
        <v>227</v>
      </c>
      <c r="CE730" s="4">
        <v>196</v>
      </c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>
        <v>60</v>
      </c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>
        <v>70</v>
      </c>
      <c r="EU730" s="4"/>
      <c r="EV730" s="4"/>
      <c r="EW730" s="4"/>
      <c r="EX730" s="4"/>
      <c r="EY730" s="4"/>
      <c r="EZ730" s="4"/>
      <c r="FA730" s="4"/>
      <c r="FB730" s="4"/>
      <c r="FC730" s="4"/>
      <c r="FD730" s="4"/>
      <c r="FE730" s="4"/>
      <c r="FF730" s="4"/>
      <c r="FG730" s="4"/>
      <c r="FH730" s="4"/>
      <c r="FI730" s="4"/>
      <c r="FJ730" s="4"/>
      <c r="FK730" s="4"/>
      <c r="FL730" s="4"/>
      <c r="FM730" s="4"/>
      <c r="FN730" s="4"/>
      <c r="FO730" s="4"/>
      <c r="FP730" s="4"/>
      <c r="FQ730" s="4"/>
      <c r="FR730" s="4"/>
      <c r="FS730" s="4"/>
      <c r="FT730" s="4"/>
      <c r="FU730" s="4"/>
      <c r="FV730" s="4"/>
      <c r="FW730" s="4"/>
      <c r="FX730" s="4"/>
      <c r="FY730" s="4"/>
      <c r="FZ730" s="4"/>
      <c r="GA730" s="4"/>
      <c r="GB730" s="4"/>
      <c r="GC730" s="4"/>
      <c r="GD730" s="4"/>
      <c r="GE730" s="4"/>
      <c r="GF730" s="4"/>
      <c r="GG730" s="4"/>
      <c r="GH730" s="4"/>
      <c r="GI730" s="4"/>
      <c r="GJ730" s="4"/>
      <c r="GK730" s="4"/>
      <c r="GL730" s="4"/>
      <c r="GM730" s="4"/>
      <c r="GN730" s="4"/>
      <c r="GO730" s="4"/>
      <c r="GP730" s="4"/>
      <c r="GQ730" s="4"/>
      <c r="GR730" s="4"/>
      <c r="GS730" s="4"/>
      <c r="GT730" s="4"/>
      <c r="GU730" s="4"/>
      <c r="GV730" s="4"/>
      <c r="GW730" s="4"/>
      <c r="GX730" s="4"/>
    </row>
    <row r="731">
      <c r="A731" s="2" t="s">
        <v>4545</v>
      </c>
      <c r="B731" s="2" t="s">
        <v>278</v>
      </c>
      <c r="C731" s="2" t="s">
        <v>2227</v>
      </c>
      <c r="D731" s="2" t="s">
        <v>280</v>
      </c>
      <c r="E731" s="2" t="s">
        <v>281</v>
      </c>
      <c r="F731" s="2" t="s">
        <v>4456</v>
      </c>
      <c r="G731" s="2" t="s">
        <v>4456</v>
      </c>
      <c r="H731" s="2" t="s">
        <v>4456</v>
      </c>
      <c r="I731" s="2" t="s">
        <v>283</v>
      </c>
      <c r="J731" s="2" t="s">
        <v>252</v>
      </c>
      <c r="K731" s="2" t="s">
        <v>2173</v>
      </c>
      <c r="L731" s="3">
        <v>31.85</v>
      </c>
      <c r="M731" s="3">
        <v>33.44</v>
      </c>
      <c r="N731" s="3">
        <v>64.99</v>
      </c>
      <c r="O731" s="2" t="s">
        <v>224</v>
      </c>
      <c r="P731" s="2" t="s">
        <v>550</v>
      </c>
      <c r="Q731" s="2" t="s">
        <v>226</v>
      </c>
      <c r="R731" s="2" t="s">
        <v>227</v>
      </c>
      <c r="S731" s="2" t="s">
        <v>4542</v>
      </c>
      <c r="T731" s="2" t="s">
        <v>2807</v>
      </c>
      <c r="U731" s="2" t="s">
        <v>287</v>
      </c>
      <c r="V731" s="2" t="s">
        <v>782</v>
      </c>
      <c r="W731" s="2" t="s">
        <v>231</v>
      </c>
      <c r="X731" s="2" t="s">
        <v>836</v>
      </c>
      <c r="Y731" s="2" t="s">
        <v>232</v>
      </c>
      <c r="Z731" s="4">
        <v>682</v>
      </c>
      <c r="AA731" s="4">
        <f>=ROUNDDOWN(21.3125,0)</f>
      </c>
      <c r="AB731" s="5">
        <v>32</v>
      </c>
      <c r="AC731" s="2" t="s">
        <v>732</v>
      </c>
      <c r="AD731" s="4">
        <v>230</v>
      </c>
      <c r="AE731" s="4">
        <v>490</v>
      </c>
      <c r="AF731" s="6">
        <v>65</v>
      </c>
      <c r="AG731" s="6"/>
      <c r="AH731" s="7">
        <v>1</v>
      </c>
      <c r="AI731" s="4"/>
      <c r="AJ731" s="4">
        <f>=ROUNDDOWN({0},0)</f>
      </c>
      <c r="AK731" s="5"/>
      <c r="AL731" s="2" t="s">
        <v>227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227</v>
      </c>
      <c r="AW731" s="8" t="s">
        <v>227</v>
      </c>
      <c r="AX731" s="4" t="s">
        <v>227</v>
      </c>
      <c r="AY731" s="8" t="s">
        <v>227</v>
      </c>
      <c r="AZ731" s="7" t="s">
        <v>227</v>
      </c>
      <c r="BA731" s="7" t="s">
        <v>227</v>
      </c>
      <c r="BB731" s="7"/>
      <c r="BC731" s="4" t="s">
        <v>227</v>
      </c>
      <c r="BD731" s="8" t="s">
        <v>227</v>
      </c>
      <c r="BE731" s="4" t="s">
        <v>227</v>
      </c>
      <c r="BF731" s="8" t="s">
        <v>227</v>
      </c>
      <c r="BG731" s="7" t="s">
        <v>227</v>
      </c>
      <c r="BH731" s="7" t="s">
        <v>227</v>
      </c>
      <c r="BI731" s="7"/>
      <c r="BJ731" s="4">
        <v>54</v>
      </c>
      <c r="BK731" s="8">
        <v>1749.72</v>
      </c>
      <c r="BL731" s="2" t="s">
        <v>4477</v>
      </c>
      <c r="BM731" s="7"/>
      <c r="BN731" s="7"/>
      <c r="BO731" s="4"/>
      <c r="BP731" s="8"/>
      <c r="BQ731" s="4"/>
      <c r="BR731" s="8"/>
      <c r="BS731" s="7"/>
      <c r="BT731" s="7"/>
      <c r="BU731" s="2" t="s">
        <v>4546</v>
      </c>
      <c r="BV731" s="2" t="s">
        <v>227</v>
      </c>
      <c r="BW731" s="2" t="s">
        <v>227</v>
      </c>
      <c r="BX731" s="2" t="s">
        <v>235</v>
      </c>
      <c r="BY731" s="2" t="s">
        <v>236</v>
      </c>
      <c r="BZ731" s="2" t="s">
        <v>224</v>
      </c>
      <c r="CA731" s="2" t="s">
        <v>1089</v>
      </c>
      <c r="CB731" s="2" t="s">
        <v>685</v>
      </c>
      <c r="CC731" s="2" t="s">
        <v>239</v>
      </c>
      <c r="CD731" s="2" t="s">
        <v>227</v>
      </c>
      <c r="CE731" s="4">
        <v>682</v>
      </c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>
        <v>230</v>
      </c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/>
      <c r="ES731" s="4"/>
      <c r="ET731" s="4">
        <v>260</v>
      </c>
      <c r="EU731" s="4"/>
      <c r="EV731" s="4"/>
      <c r="EW731" s="4"/>
      <c r="EX731" s="4"/>
      <c r="EY731" s="4"/>
      <c r="EZ731" s="4"/>
      <c r="FA731" s="4"/>
      <c r="FB731" s="4"/>
      <c r="FC731" s="4"/>
      <c r="FD731" s="4"/>
      <c r="FE731" s="4"/>
      <c r="FF731" s="4"/>
      <c r="FG731" s="4"/>
      <c r="FH731" s="4"/>
      <c r="FI731" s="4"/>
      <c r="FJ731" s="4"/>
      <c r="FK731" s="4"/>
      <c r="FL731" s="4"/>
      <c r="FM731" s="4"/>
      <c r="FN731" s="4"/>
      <c r="FO731" s="4"/>
      <c r="FP731" s="4"/>
      <c r="FQ731" s="4"/>
      <c r="FR731" s="4"/>
      <c r="FS731" s="4"/>
      <c r="FT731" s="4"/>
      <c r="FU731" s="4"/>
      <c r="FV731" s="4"/>
      <c r="FW731" s="4"/>
      <c r="FX731" s="4"/>
      <c r="FY731" s="4"/>
      <c r="FZ731" s="4"/>
      <c r="GA731" s="4"/>
      <c r="GB731" s="4"/>
      <c r="GC731" s="4"/>
      <c r="GD731" s="4"/>
      <c r="GE731" s="4"/>
      <c r="GF731" s="4"/>
      <c r="GG731" s="4"/>
      <c r="GH731" s="4"/>
      <c r="GI731" s="4"/>
      <c r="GJ731" s="4"/>
      <c r="GK731" s="4"/>
      <c r="GL731" s="4"/>
      <c r="GM731" s="4"/>
      <c r="GN731" s="4"/>
      <c r="GO731" s="4"/>
      <c r="GP731" s="4"/>
      <c r="GQ731" s="4"/>
      <c r="GR731" s="4"/>
      <c r="GS731" s="4"/>
      <c r="GT731" s="4"/>
      <c r="GU731" s="4"/>
      <c r="GV731" s="4"/>
      <c r="GW731" s="4"/>
      <c r="GX731" s="4"/>
    </row>
    <row r="732">
      <c r="A732" s="2" t="s">
        <v>4547</v>
      </c>
      <c r="B732" s="2" t="s">
        <v>278</v>
      </c>
      <c r="C732" s="2" t="s">
        <v>2227</v>
      </c>
      <c r="D732" s="2" t="s">
        <v>280</v>
      </c>
      <c r="E732" s="2" t="s">
        <v>281</v>
      </c>
      <c r="F732" s="2" t="s">
        <v>4456</v>
      </c>
      <c r="G732" s="2" t="s">
        <v>4456</v>
      </c>
      <c r="H732" s="2" t="s">
        <v>4456</v>
      </c>
      <c r="I732" s="2" t="s">
        <v>283</v>
      </c>
      <c r="J732" s="2" t="s">
        <v>257</v>
      </c>
      <c r="K732" s="2" t="s">
        <v>2173</v>
      </c>
      <c r="L732" s="3">
        <v>34.5</v>
      </c>
      <c r="M732" s="3">
        <v>36.22</v>
      </c>
      <c r="N732" s="3">
        <v>74.99</v>
      </c>
      <c r="O732" s="2" t="s">
        <v>224</v>
      </c>
      <c r="P732" s="2" t="s">
        <v>485</v>
      </c>
      <c r="Q732" s="2" t="s">
        <v>226</v>
      </c>
      <c r="R732" s="2" t="s">
        <v>227</v>
      </c>
      <c r="S732" s="2" t="s">
        <v>4542</v>
      </c>
      <c r="T732" s="2" t="s">
        <v>2807</v>
      </c>
      <c r="U732" s="2" t="s">
        <v>287</v>
      </c>
      <c r="V732" s="2" t="s">
        <v>782</v>
      </c>
      <c r="W732" s="2" t="s">
        <v>231</v>
      </c>
      <c r="X732" s="2" t="s">
        <v>836</v>
      </c>
      <c r="Y732" s="2" t="s">
        <v>232</v>
      </c>
      <c r="Z732" s="4">
        <v>461</v>
      </c>
      <c r="AA732" s="4">
        <f>=ROUNDDOWN(19.2083333333333,0)</f>
      </c>
      <c r="AB732" s="5">
        <v>24</v>
      </c>
      <c r="AC732" s="2" t="s">
        <v>2082</v>
      </c>
      <c r="AD732" s="4">
        <v>130</v>
      </c>
      <c r="AE732" s="4">
        <v>310</v>
      </c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227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227</v>
      </c>
      <c r="AW732" s="8" t="s">
        <v>227</v>
      </c>
      <c r="AX732" s="4" t="s">
        <v>227</v>
      </c>
      <c r="AY732" s="8" t="s">
        <v>227</v>
      </c>
      <c r="AZ732" s="7" t="s">
        <v>227</v>
      </c>
      <c r="BA732" s="7" t="s">
        <v>227</v>
      </c>
      <c r="BB732" s="7"/>
      <c r="BC732" s="4" t="s">
        <v>227</v>
      </c>
      <c r="BD732" s="8" t="s">
        <v>227</v>
      </c>
      <c r="BE732" s="4" t="s">
        <v>227</v>
      </c>
      <c r="BF732" s="8" t="s">
        <v>227</v>
      </c>
      <c r="BG732" s="7" t="s">
        <v>227</v>
      </c>
      <c r="BH732" s="7" t="s">
        <v>227</v>
      </c>
      <c r="BI732" s="7"/>
      <c r="BJ732" s="4">
        <v>40</v>
      </c>
      <c r="BK732" s="8">
        <v>1492.92</v>
      </c>
      <c r="BL732" s="2" t="s">
        <v>2149</v>
      </c>
      <c r="BM732" s="7"/>
      <c r="BN732" s="7"/>
      <c r="BO732" s="4"/>
      <c r="BP732" s="8"/>
      <c r="BQ732" s="4"/>
      <c r="BR732" s="8"/>
      <c r="BS732" s="7"/>
      <c r="BT732" s="7"/>
      <c r="BU732" s="2" t="s">
        <v>4548</v>
      </c>
      <c r="BV732" s="2" t="s">
        <v>227</v>
      </c>
      <c r="BW732" s="2" t="s">
        <v>227</v>
      </c>
      <c r="BX732" s="2" t="s">
        <v>235</v>
      </c>
      <c r="BY732" s="2" t="s">
        <v>236</v>
      </c>
      <c r="BZ732" s="2" t="s">
        <v>224</v>
      </c>
      <c r="CA732" s="2" t="s">
        <v>1089</v>
      </c>
      <c r="CB732" s="2" t="s">
        <v>4549</v>
      </c>
      <c r="CC732" s="2" t="s">
        <v>239</v>
      </c>
      <c r="CD732" s="2" t="s">
        <v>227</v>
      </c>
      <c r="CE732" s="4">
        <v>437</v>
      </c>
      <c r="CF732" s="4"/>
      <c r="CG732" s="4"/>
      <c r="CH732" s="4"/>
      <c r="CI732" s="4"/>
      <c r="CJ732" s="4"/>
      <c r="CK732" s="4">
        <v>24</v>
      </c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>
        <v>130</v>
      </c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>
        <v>180</v>
      </c>
      <c r="EU732" s="4"/>
      <c r="EV732" s="4"/>
      <c r="EW732" s="4"/>
      <c r="EX732" s="4"/>
      <c r="EY732" s="4"/>
      <c r="EZ732" s="4"/>
      <c r="FA732" s="4"/>
      <c r="FB732" s="4"/>
      <c r="FC732" s="4"/>
      <c r="FD732" s="4"/>
      <c r="FE732" s="4"/>
      <c r="FF732" s="4"/>
      <c r="FG732" s="4"/>
      <c r="FH732" s="4"/>
      <c r="FI732" s="4"/>
      <c r="FJ732" s="4"/>
      <c r="FK732" s="4"/>
      <c r="FL732" s="4"/>
      <c r="FM732" s="4"/>
      <c r="FN732" s="4"/>
      <c r="FO732" s="4"/>
      <c r="FP732" s="4"/>
      <c r="FQ732" s="4"/>
      <c r="FR732" s="4"/>
      <c r="FS732" s="4"/>
      <c r="FT732" s="4"/>
      <c r="FU732" s="4"/>
      <c r="FV732" s="4"/>
      <c r="FW732" s="4"/>
      <c r="FX732" s="4"/>
      <c r="FY732" s="4"/>
      <c r="FZ732" s="4"/>
      <c r="GA732" s="4"/>
      <c r="GB732" s="4"/>
      <c r="GC732" s="4"/>
      <c r="GD732" s="4"/>
      <c r="GE732" s="4"/>
      <c r="GF732" s="4"/>
      <c r="GG732" s="4"/>
      <c r="GH732" s="4"/>
      <c r="GI732" s="4"/>
      <c r="GJ732" s="4"/>
      <c r="GK732" s="4"/>
      <c r="GL732" s="4"/>
      <c r="GM732" s="4"/>
      <c r="GN732" s="4"/>
      <c r="GO732" s="4"/>
      <c r="GP732" s="4"/>
      <c r="GQ732" s="4"/>
      <c r="GR732" s="4"/>
      <c r="GS732" s="4"/>
      <c r="GT732" s="4"/>
      <c r="GU732" s="4"/>
      <c r="GV732" s="4"/>
      <c r="GW732" s="4"/>
      <c r="GX732" s="4"/>
    </row>
    <row r="733">
      <c r="A733" s="2" t="s">
        <v>4550</v>
      </c>
      <c r="B733" s="2" t="s">
        <v>278</v>
      </c>
      <c r="C733" s="2" t="s">
        <v>2227</v>
      </c>
      <c r="D733" s="2" t="s">
        <v>280</v>
      </c>
      <c r="E733" s="2" t="s">
        <v>281</v>
      </c>
      <c r="F733" s="2" t="s">
        <v>4456</v>
      </c>
      <c r="G733" s="2" t="s">
        <v>4456</v>
      </c>
      <c r="H733" s="2" t="s">
        <v>4456</v>
      </c>
      <c r="I733" s="2" t="s">
        <v>283</v>
      </c>
      <c r="J733" s="2" t="s">
        <v>222</v>
      </c>
      <c r="K733" s="2" t="s">
        <v>4551</v>
      </c>
      <c r="L733" s="3">
        <v>24</v>
      </c>
      <c r="M733" s="3">
        <v>25.2</v>
      </c>
      <c r="N733" s="3">
        <v>49.99</v>
      </c>
      <c r="O733" s="2" t="s">
        <v>224</v>
      </c>
      <c r="P733" s="2" t="s">
        <v>225</v>
      </c>
      <c r="Q733" s="2" t="s">
        <v>226</v>
      </c>
      <c r="R733" s="2" t="s">
        <v>227</v>
      </c>
      <c r="S733" s="2" t="s">
        <v>4552</v>
      </c>
      <c r="T733" s="2" t="s">
        <v>2807</v>
      </c>
      <c r="U733" s="2" t="s">
        <v>674</v>
      </c>
      <c r="V733" s="2" t="s">
        <v>2101</v>
      </c>
      <c r="W733" s="2" t="s">
        <v>231</v>
      </c>
      <c r="X733" s="2" t="s">
        <v>836</v>
      </c>
      <c r="Y733" s="2" t="s">
        <v>1341</v>
      </c>
      <c r="Z733" s="4">
        <v>231</v>
      </c>
      <c r="AA733" s="4">
        <f>=ROUNDDOWN(23.1,0)</f>
      </c>
      <c r="AB733" s="5">
        <v>10</v>
      </c>
      <c r="AC733" s="2" t="s">
        <v>732</v>
      </c>
      <c r="AD733" s="4">
        <v>50</v>
      </c>
      <c r="AE733" s="4">
        <v>140</v>
      </c>
      <c r="AF733" s="6">
        <v>65</v>
      </c>
      <c r="AG733" s="6"/>
      <c r="AH733" s="7">
        <v>1</v>
      </c>
      <c r="AI733" s="4"/>
      <c r="AJ733" s="4">
        <f>=ROUNDDOWN({0},0)</f>
      </c>
      <c r="AK733" s="5"/>
      <c r="AL733" s="2" t="s">
        <v>227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227</v>
      </c>
      <c r="AW733" s="8" t="s">
        <v>227</v>
      </c>
      <c r="AX733" s="4" t="s">
        <v>227</v>
      </c>
      <c r="AY733" s="8" t="s">
        <v>227</v>
      </c>
      <c r="AZ733" s="7" t="s">
        <v>227</v>
      </c>
      <c r="BA733" s="7" t="s">
        <v>227</v>
      </c>
      <c r="BB733" s="7"/>
      <c r="BC733" s="4" t="s">
        <v>227</v>
      </c>
      <c r="BD733" s="8" t="s">
        <v>227</v>
      </c>
      <c r="BE733" s="4" t="s">
        <v>227</v>
      </c>
      <c r="BF733" s="8" t="s">
        <v>227</v>
      </c>
      <c r="BG733" s="7" t="s">
        <v>227</v>
      </c>
      <c r="BH733" s="7" t="s">
        <v>227</v>
      </c>
      <c r="BI733" s="7"/>
      <c r="BJ733" s="4">
        <v>1</v>
      </c>
      <c r="BK733" s="8">
        <v>23.78</v>
      </c>
      <c r="BL733" s="2" t="s">
        <v>1739</v>
      </c>
      <c r="BM733" s="7"/>
      <c r="BN733" s="7"/>
      <c r="BO733" s="4"/>
      <c r="BP733" s="8"/>
      <c r="BQ733" s="4"/>
      <c r="BR733" s="8"/>
      <c r="BS733" s="7"/>
      <c r="BT733" s="7"/>
      <c r="BU733" s="2" t="s">
        <v>4553</v>
      </c>
      <c r="BV733" s="2" t="s">
        <v>227</v>
      </c>
      <c r="BW733" s="2" t="s">
        <v>227</v>
      </c>
      <c r="BX733" s="2" t="s">
        <v>235</v>
      </c>
      <c r="BY733" s="2" t="s">
        <v>236</v>
      </c>
      <c r="BZ733" s="2" t="s">
        <v>224</v>
      </c>
      <c r="CA733" s="2" t="s">
        <v>1118</v>
      </c>
      <c r="CB733" s="2" t="s">
        <v>1919</v>
      </c>
      <c r="CC733" s="2" t="s">
        <v>239</v>
      </c>
      <c r="CD733" s="2" t="s">
        <v>227</v>
      </c>
      <c r="CE733" s="4">
        <v>231</v>
      </c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>
        <v>50</v>
      </c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>
        <v>90</v>
      </c>
      <c r="EU733" s="4"/>
      <c r="EV733" s="4"/>
      <c r="EW733" s="4"/>
      <c r="EX733" s="4"/>
      <c r="EY733" s="4"/>
      <c r="EZ733" s="4"/>
      <c r="FA733" s="4"/>
      <c r="FB733" s="4"/>
      <c r="FC733" s="4"/>
      <c r="FD733" s="4"/>
      <c r="FE733" s="4"/>
      <c r="FF733" s="4"/>
      <c r="FG733" s="4"/>
      <c r="FH733" s="4"/>
      <c r="FI733" s="4"/>
      <c r="FJ733" s="4"/>
      <c r="FK733" s="4"/>
      <c r="FL733" s="4"/>
      <c r="FM733" s="4"/>
      <c r="FN733" s="4"/>
      <c r="FO733" s="4"/>
      <c r="FP733" s="4"/>
      <c r="FQ733" s="4"/>
      <c r="FR733" s="4"/>
      <c r="FS733" s="4"/>
      <c r="FT733" s="4"/>
      <c r="FU733" s="4"/>
      <c r="FV733" s="4"/>
      <c r="FW733" s="4"/>
      <c r="FX733" s="4"/>
      <c r="FY733" s="4"/>
      <c r="FZ733" s="4"/>
      <c r="GA733" s="4"/>
      <c r="GB733" s="4"/>
      <c r="GC733" s="4"/>
      <c r="GD733" s="4"/>
      <c r="GE733" s="4"/>
      <c r="GF733" s="4"/>
      <c r="GG733" s="4"/>
      <c r="GH733" s="4"/>
      <c r="GI733" s="4"/>
      <c r="GJ733" s="4"/>
      <c r="GK733" s="4"/>
      <c r="GL733" s="4"/>
      <c r="GM733" s="4"/>
      <c r="GN733" s="4"/>
      <c r="GO733" s="4"/>
      <c r="GP733" s="4"/>
      <c r="GQ733" s="4"/>
      <c r="GR733" s="4"/>
      <c r="GS733" s="4"/>
      <c r="GT733" s="4"/>
      <c r="GU733" s="4"/>
      <c r="GV733" s="4"/>
      <c r="GW733" s="4"/>
      <c r="GX733" s="4"/>
    </row>
    <row r="734">
      <c r="A734" s="2" t="s">
        <v>4554</v>
      </c>
      <c r="B734" s="2" t="s">
        <v>278</v>
      </c>
      <c r="C734" s="2" t="s">
        <v>2227</v>
      </c>
      <c r="D734" s="2" t="s">
        <v>280</v>
      </c>
      <c r="E734" s="2" t="s">
        <v>281</v>
      </c>
      <c r="F734" s="2" t="s">
        <v>4456</v>
      </c>
      <c r="G734" s="2" t="s">
        <v>4456</v>
      </c>
      <c r="H734" s="2" t="s">
        <v>4456</v>
      </c>
      <c r="I734" s="2" t="s">
        <v>283</v>
      </c>
      <c r="J734" s="2" t="s">
        <v>247</v>
      </c>
      <c r="K734" s="2" t="s">
        <v>4551</v>
      </c>
      <c r="L734" s="3">
        <v>28.2</v>
      </c>
      <c r="M734" s="3">
        <v>29.61</v>
      </c>
      <c r="N734" s="3">
        <v>59.99</v>
      </c>
      <c r="O734" s="2" t="s">
        <v>224</v>
      </c>
      <c r="P734" s="2" t="s">
        <v>225</v>
      </c>
      <c r="Q734" s="2" t="s">
        <v>226</v>
      </c>
      <c r="R734" s="2" t="s">
        <v>227</v>
      </c>
      <c r="S734" s="2" t="s">
        <v>4552</v>
      </c>
      <c r="T734" s="2" t="s">
        <v>2807</v>
      </c>
      <c r="U734" s="2" t="s">
        <v>287</v>
      </c>
      <c r="V734" s="2" t="s">
        <v>2101</v>
      </c>
      <c r="W734" s="2" t="s">
        <v>231</v>
      </c>
      <c r="X734" s="2" t="s">
        <v>836</v>
      </c>
      <c r="Y734" s="2" t="s">
        <v>1341</v>
      </c>
      <c r="Z734" s="4">
        <v>257</v>
      </c>
      <c r="AA734" s="4">
        <f>=ROUNDDOWN(28.5555555555556,0)</f>
      </c>
      <c r="AB734" s="5">
        <v>9</v>
      </c>
      <c r="AC734" s="2" t="s">
        <v>732</v>
      </c>
      <c r="AD734" s="4">
        <v>60</v>
      </c>
      <c r="AE734" s="4">
        <v>140</v>
      </c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227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227</v>
      </c>
      <c r="AW734" s="8" t="s">
        <v>227</v>
      </c>
      <c r="AX734" s="4" t="s">
        <v>227</v>
      </c>
      <c r="AY734" s="8" t="s">
        <v>227</v>
      </c>
      <c r="AZ734" s="7" t="s">
        <v>227</v>
      </c>
      <c r="BA734" s="7" t="s">
        <v>227</v>
      </c>
      <c r="BB734" s="7"/>
      <c r="BC734" s="4" t="s">
        <v>227</v>
      </c>
      <c r="BD734" s="8" t="s">
        <v>227</v>
      </c>
      <c r="BE734" s="4" t="s">
        <v>227</v>
      </c>
      <c r="BF734" s="8" t="s">
        <v>227</v>
      </c>
      <c r="BG734" s="7" t="s">
        <v>227</v>
      </c>
      <c r="BH734" s="7" t="s">
        <v>227</v>
      </c>
      <c r="BI734" s="7"/>
      <c r="BJ734" s="4">
        <v>1</v>
      </c>
      <c r="BK734" s="8">
        <v>27.83</v>
      </c>
      <c r="BL734" s="2" t="s">
        <v>1739</v>
      </c>
      <c r="BM734" s="7"/>
      <c r="BN734" s="7"/>
      <c r="BO734" s="4"/>
      <c r="BP734" s="8"/>
      <c r="BQ734" s="4"/>
      <c r="BR734" s="8"/>
      <c r="BS734" s="7"/>
      <c r="BT734" s="7"/>
      <c r="BU734" s="2" t="s">
        <v>4555</v>
      </c>
      <c r="BV734" s="2" t="s">
        <v>227</v>
      </c>
      <c r="BW734" s="2" t="s">
        <v>227</v>
      </c>
      <c r="BX734" s="2" t="s">
        <v>235</v>
      </c>
      <c r="BY734" s="2" t="s">
        <v>236</v>
      </c>
      <c r="BZ734" s="2" t="s">
        <v>224</v>
      </c>
      <c r="CA734" s="2" t="s">
        <v>1118</v>
      </c>
      <c r="CB734" s="2" t="s">
        <v>4556</v>
      </c>
      <c r="CC734" s="2" t="s">
        <v>239</v>
      </c>
      <c r="CD734" s="2" t="s">
        <v>227</v>
      </c>
      <c r="CE734" s="4">
        <v>257</v>
      </c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>
        <v>60</v>
      </c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>
        <v>80</v>
      </c>
      <c r="EU734" s="4"/>
      <c r="EV734" s="4"/>
      <c r="EW734" s="4"/>
      <c r="EX734" s="4"/>
      <c r="EY734" s="4"/>
      <c r="EZ734" s="4"/>
      <c r="FA734" s="4"/>
      <c r="FB734" s="4"/>
      <c r="FC734" s="4"/>
      <c r="FD734" s="4"/>
      <c r="FE734" s="4"/>
      <c r="FF734" s="4"/>
      <c r="FG734" s="4"/>
      <c r="FH734" s="4"/>
      <c r="FI734" s="4"/>
      <c r="FJ734" s="4"/>
      <c r="FK734" s="4"/>
      <c r="FL734" s="4"/>
      <c r="FM734" s="4"/>
      <c r="FN734" s="4"/>
      <c r="FO734" s="4"/>
      <c r="FP734" s="4"/>
      <c r="FQ734" s="4"/>
      <c r="FR734" s="4"/>
      <c r="FS734" s="4"/>
      <c r="FT734" s="4"/>
      <c r="FU734" s="4"/>
      <c r="FV734" s="4"/>
      <c r="FW734" s="4"/>
      <c r="FX734" s="4"/>
      <c r="FY734" s="4"/>
      <c r="FZ734" s="4"/>
      <c r="GA734" s="4"/>
      <c r="GB734" s="4"/>
      <c r="GC734" s="4"/>
      <c r="GD734" s="4"/>
      <c r="GE734" s="4"/>
      <c r="GF734" s="4"/>
      <c r="GG734" s="4"/>
      <c r="GH734" s="4"/>
      <c r="GI734" s="4"/>
      <c r="GJ734" s="4"/>
      <c r="GK734" s="4"/>
      <c r="GL734" s="4"/>
      <c r="GM734" s="4"/>
      <c r="GN734" s="4"/>
      <c r="GO734" s="4"/>
      <c r="GP734" s="4"/>
      <c r="GQ734" s="4"/>
      <c r="GR734" s="4"/>
      <c r="GS734" s="4"/>
      <c r="GT734" s="4"/>
      <c r="GU734" s="4"/>
      <c r="GV734" s="4"/>
      <c r="GW734" s="4"/>
      <c r="GX734" s="4"/>
    </row>
    <row r="735">
      <c r="A735" s="2" t="s">
        <v>4557</v>
      </c>
      <c r="B735" s="2" t="s">
        <v>278</v>
      </c>
      <c r="C735" s="2" t="s">
        <v>2227</v>
      </c>
      <c r="D735" s="2" t="s">
        <v>280</v>
      </c>
      <c r="E735" s="2" t="s">
        <v>281</v>
      </c>
      <c r="F735" s="2" t="s">
        <v>4456</v>
      </c>
      <c r="G735" s="2" t="s">
        <v>4456</v>
      </c>
      <c r="H735" s="2" t="s">
        <v>4456</v>
      </c>
      <c r="I735" s="2" t="s">
        <v>283</v>
      </c>
      <c r="J735" s="2" t="s">
        <v>252</v>
      </c>
      <c r="K735" s="2" t="s">
        <v>4551</v>
      </c>
      <c r="L735" s="3">
        <v>31.85</v>
      </c>
      <c r="M735" s="3">
        <v>33.44</v>
      </c>
      <c r="N735" s="3">
        <v>64.99</v>
      </c>
      <c r="O735" s="2" t="s">
        <v>224</v>
      </c>
      <c r="P735" s="2" t="s">
        <v>225</v>
      </c>
      <c r="Q735" s="2" t="s">
        <v>226</v>
      </c>
      <c r="R735" s="2" t="s">
        <v>227</v>
      </c>
      <c r="S735" s="2" t="s">
        <v>4552</v>
      </c>
      <c r="T735" s="2" t="s">
        <v>2807</v>
      </c>
      <c r="U735" s="2" t="s">
        <v>287</v>
      </c>
      <c r="V735" s="2" t="s">
        <v>2101</v>
      </c>
      <c r="W735" s="2" t="s">
        <v>231</v>
      </c>
      <c r="X735" s="2" t="s">
        <v>836</v>
      </c>
      <c r="Y735" s="2" t="s">
        <v>1341</v>
      </c>
      <c r="Z735" s="4">
        <v>484</v>
      </c>
      <c r="AA735" s="4">
        <f>=ROUNDDOWN(19.36,0)</f>
      </c>
      <c r="AB735" s="5">
        <v>25</v>
      </c>
      <c r="AC735" s="2" t="s">
        <v>2082</v>
      </c>
      <c r="AD735" s="4">
        <v>220</v>
      </c>
      <c r="AE735" s="4">
        <v>480</v>
      </c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227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227</v>
      </c>
      <c r="AW735" s="8" t="s">
        <v>227</v>
      </c>
      <c r="AX735" s="4" t="s">
        <v>227</v>
      </c>
      <c r="AY735" s="8" t="s">
        <v>227</v>
      </c>
      <c r="AZ735" s="7" t="s">
        <v>227</v>
      </c>
      <c r="BA735" s="7" t="s">
        <v>227</v>
      </c>
      <c r="BB735" s="7"/>
      <c r="BC735" s="4" t="s">
        <v>227</v>
      </c>
      <c r="BD735" s="8" t="s">
        <v>227</v>
      </c>
      <c r="BE735" s="4" t="s">
        <v>227</v>
      </c>
      <c r="BF735" s="8" t="s">
        <v>227</v>
      </c>
      <c r="BG735" s="7" t="s">
        <v>227</v>
      </c>
      <c r="BH735" s="7" t="s">
        <v>227</v>
      </c>
      <c r="BI735" s="7"/>
      <c r="BJ735" s="4">
        <v>25</v>
      </c>
      <c r="BK735" s="8">
        <v>892.84</v>
      </c>
      <c r="BL735" s="2" t="s">
        <v>1731</v>
      </c>
      <c r="BM735" s="7"/>
      <c r="BN735" s="7"/>
      <c r="BO735" s="4"/>
      <c r="BP735" s="8"/>
      <c r="BQ735" s="4"/>
      <c r="BR735" s="8"/>
      <c r="BS735" s="7"/>
      <c r="BT735" s="7"/>
      <c r="BU735" s="2" t="s">
        <v>4558</v>
      </c>
      <c r="BV735" s="2" t="s">
        <v>227</v>
      </c>
      <c r="BW735" s="2" t="s">
        <v>227</v>
      </c>
      <c r="BX735" s="2" t="s">
        <v>235</v>
      </c>
      <c r="BY735" s="2" t="s">
        <v>236</v>
      </c>
      <c r="BZ735" s="2" t="s">
        <v>224</v>
      </c>
      <c r="CA735" s="2" t="s">
        <v>1118</v>
      </c>
      <c r="CB735" s="2" t="s">
        <v>314</v>
      </c>
      <c r="CC735" s="2" t="s">
        <v>239</v>
      </c>
      <c r="CD735" s="2" t="s">
        <v>227</v>
      </c>
      <c r="CE735" s="4">
        <v>483</v>
      </c>
      <c r="CF735" s="4"/>
      <c r="CG735" s="4"/>
      <c r="CH735" s="4"/>
      <c r="CI735" s="4"/>
      <c r="CJ735" s="4"/>
      <c r="CK735" s="4">
        <v>1</v>
      </c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>
        <v>220</v>
      </c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>
        <v>260</v>
      </c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/>
      <c r="FG735" s="4"/>
      <c r="FH735" s="4"/>
      <c r="FI735" s="4"/>
      <c r="FJ735" s="4"/>
      <c r="FK735" s="4"/>
      <c r="FL735" s="4"/>
      <c r="FM735" s="4"/>
      <c r="FN735" s="4"/>
      <c r="FO735" s="4"/>
      <c r="FP735" s="4"/>
      <c r="FQ735" s="4"/>
      <c r="FR735" s="4"/>
      <c r="FS735" s="4"/>
      <c r="FT735" s="4"/>
      <c r="FU735" s="4"/>
      <c r="FV735" s="4"/>
      <c r="FW735" s="4"/>
      <c r="FX735" s="4"/>
      <c r="FY735" s="4"/>
      <c r="FZ735" s="4"/>
      <c r="GA735" s="4"/>
      <c r="GB735" s="4"/>
      <c r="GC735" s="4"/>
      <c r="GD735" s="4"/>
      <c r="GE735" s="4"/>
      <c r="GF735" s="4"/>
      <c r="GG735" s="4"/>
      <c r="GH735" s="4"/>
      <c r="GI735" s="4"/>
      <c r="GJ735" s="4"/>
      <c r="GK735" s="4"/>
      <c r="GL735" s="4"/>
      <c r="GM735" s="4"/>
      <c r="GN735" s="4"/>
      <c r="GO735" s="4"/>
      <c r="GP735" s="4"/>
      <c r="GQ735" s="4"/>
      <c r="GR735" s="4"/>
      <c r="GS735" s="4"/>
      <c r="GT735" s="4"/>
      <c r="GU735" s="4"/>
      <c r="GV735" s="4"/>
      <c r="GW735" s="4"/>
      <c r="GX735" s="4"/>
    </row>
    <row r="736">
      <c r="A736" s="2" t="s">
        <v>4559</v>
      </c>
      <c r="B736" s="2" t="s">
        <v>278</v>
      </c>
      <c r="C736" s="2" t="s">
        <v>2227</v>
      </c>
      <c r="D736" s="2" t="s">
        <v>280</v>
      </c>
      <c r="E736" s="2" t="s">
        <v>281</v>
      </c>
      <c r="F736" s="2" t="s">
        <v>4456</v>
      </c>
      <c r="G736" s="2" t="s">
        <v>4456</v>
      </c>
      <c r="H736" s="2" t="s">
        <v>4456</v>
      </c>
      <c r="I736" s="2" t="s">
        <v>283</v>
      </c>
      <c r="J736" s="2" t="s">
        <v>257</v>
      </c>
      <c r="K736" s="2" t="s">
        <v>4551</v>
      </c>
      <c r="L736" s="3">
        <v>34.5</v>
      </c>
      <c r="M736" s="3">
        <v>36.23</v>
      </c>
      <c r="N736" s="3">
        <v>74.99</v>
      </c>
      <c r="O736" s="2" t="s">
        <v>224</v>
      </c>
      <c r="P736" s="2" t="s">
        <v>225</v>
      </c>
      <c r="Q736" s="2" t="s">
        <v>226</v>
      </c>
      <c r="R736" s="2" t="s">
        <v>227</v>
      </c>
      <c r="S736" s="2" t="s">
        <v>4552</v>
      </c>
      <c r="T736" s="2" t="s">
        <v>2807</v>
      </c>
      <c r="U736" s="2" t="s">
        <v>287</v>
      </c>
      <c r="V736" s="2" t="s">
        <v>2101</v>
      </c>
      <c r="W736" s="2" t="s">
        <v>231</v>
      </c>
      <c r="X736" s="2" t="s">
        <v>836</v>
      </c>
      <c r="Y736" s="2" t="s">
        <v>1341</v>
      </c>
      <c r="Z736" s="4">
        <v>189</v>
      </c>
      <c r="AA736" s="4">
        <f>=ROUNDDOWN(12.6,0)</f>
      </c>
      <c r="AB736" s="5">
        <v>15</v>
      </c>
      <c r="AC736" s="2" t="s">
        <v>732</v>
      </c>
      <c r="AD736" s="4">
        <v>100</v>
      </c>
      <c r="AE736" s="4">
        <v>260</v>
      </c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227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227</v>
      </c>
      <c r="AW736" s="8" t="s">
        <v>227</v>
      </c>
      <c r="AX736" s="4" t="s">
        <v>227</v>
      </c>
      <c r="AY736" s="8" t="s">
        <v>227</v>
      </c>
      <c r="AZ736" s="7" t="s">
        <v>227</v>
      </c>
      <c r="BA736" s="7" t="s">
        <v>227</v>
      </c>
      <c r="BB736" s="7"/>
      <c r="BC736" s="4" t="s">
        <v>227</v>
      </c>
      <c r="BD736" s="8" t="s">
        <v>227</v>
      </c>
      <c r="BE736" s="4" t="s">
        <v>227</v>
      </c>
      <c r="BF736" s="8" t="s">
        <v>227</v>
      </c>
      <c r="BG736" s="7" t="s">
        <v>227</v>
      </c>
      <c r="BH736" s="7" t="s">
        <v>227</v>
      </c>
      <c r="BI736" s="7"/>
      <c r="BJ736" s="4">
        <v>4</v>
      </c>
      <c r="BK736" s="8">
        <v>153.36</v>
      </c>
      <c r="BL736" s="2" t="s">
        <v>1757</v>
      </c>
      <c r="BM736" s="7"/>
      <c r="BN736" s="7"/>
      <c r="BO736" s="4"/>
      <c r="BP736" s="8"/>
      <c r="BQ736" s="4"/>
      <c r="BR736" s="8"/>
      <c r="BS736" s="7"/>
      <c r="BT736" s="7"/>
      <c r="BU736" s="2" t="s">
        <v>4560</v>
      </c>
      <c r="BV736" s="2" t="s">
        <v>227</v>
      </c>
      <c r="BW736" s="2" t="s">
        <v>227</v>
      </c>
      <c r="BX736" s="2" t="s">
        <v>235</v>
      </c>
      <c r="BY736" s="2" t="s">
        <v>236</v>
      </c>
      <c r="BZ736" s="2" t="s">
        <v>224</v>
      </c>
      <c r="CA736" s="2" t="s">
        <v>1118</v>
      </c>
      <c r="CB736" s="2" t="s">
        <v>4561</v>
      </c>
      <c r="CC736" s="2" t="s">
        <v>239</v>
      </c>
      <c r="CD736" s="2" t="s">
        <v>227</v>
      </c>
      <c r="CE736" s="4">
        <v>189</v>
      </c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>
        <v>100</v>
      </c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>
        <v>160</v>
      </c>
      <c r="EU736" s="4"/>
      <c r="EV736" s="4"/>
      <c r="EW736" s="4"/>
      <c r="EX736" s="4"/>
      <c r="EY736" s="4"/>
      <c r="EZ736" s="4"/>
      <c r="FA736" s="4"/>
      <c r="FB736" s="4"/>
      <c r="FC736" s="4"/>
      <c r="FD736" s="4"/>
      <c r="FE736" s="4"/>
      <c r="FF736" s="4"/>
      <c r="FG736" s="4"/>
      <c r="FH736" s="4"/>
      <c r="FI736" s="4"/>
      <c r="FJ736" s="4"/>
      <c r="FK736" s="4"/>
      <c r="FL736" s="4"/>
      <c r="FM736" s="4"/>
      <c r="FN736" s="4"/>
      <c r="FO736" s="4"/>
      <c r="FP736" s="4"/>
      <c r="FQ736" s="4"/>
      <c r="FR736" s="4"/>
      <c r="FS736" s="4"/>
      <c r="FT736" s="4"/>
      <c r="FU736" s="4"/>
      <c r="FV736" s="4"/>
      <c r="FW736" s="4"/>
      <c r="FX736" s="4"/>
      <c r="FY736" s="4"/>
      <c r="FZ736" s="4"/>
      <c r="GA736" s="4"/>
      <c r="GB736" s="4"/>
      <c r="GC736" s="4"/>
      <c r="GD736" s="4"/>
      <c r="GE736" s="4"/>
      <c r="GF736" s="4"/>
      <c r="GG736" s="4"/>
      <c r="GH736" s="4"/>
      <c r="GI736" s="4"/>
      <c r="GJ736" s="4"/>
      <c r="GK736" s="4"/>
      <c r="GL736" s="4"/>
      <c r="GM736" s="4"/>
      <c r="GN736" s="4"/>
      <c r="GO736" s="4"/>
      <c r="GP736" s="4"/>
      <c r="GQ736" s="4"/>
      <c r="GR736" s="4"/>
      <c r="GS736" s="4"/>
      <c r="GT736" s="4"/>
      <c r="GU736" s="4"/>
      <c r="GV736" s="4"/>
      <c r="GW736" s="4"/>
      <c r="GX736" s="4"/>
    </row>
    <row r="737">
      <c r="A737" s="2" t="s">
        <v>4562</v>
      </c>
      <c r="B737" s="2" t="s">
        <v>278</v>
      </c>
      <c r="C737" s="2" t="s">
        <v>2227</v>
      </c>
      <c r="D737" s="2" t="s">
        <v>280</v>
      </c>
      <c r="E737" s="2" t="s">
        <v>281</v>
      </c>
      <c r="F737" s="2" t="s">
        <v>4456</v>
      </c>
      <c r="G737" s="2" t="s">
        <v>4456</v>
      </c>
      <c r="H737" s="2" t="s">
        <v>4456</v>
      </c>
      <c r="I737" s="2" t="s">
        <v>283</v>
      </c>
      <c r="J737" s="2" t="s">
        <v>241</v>
      </c>
      <c r="K737" s="2" t="s">
        <v>363</v>
      </c>
      <c r="L737" s="3">
        <v>23.04</v>
      </c>
      <c r="M737" s="3">
        <v>24.19</v>
      </c>
      <c r="N737" s="3">
        <v>47.99</v>
      </c>
      <c r="O737" s="2" t="s">
        <v>224</v>
      </c>
      <c r="P737" s="2" t="s">
        <v>225</v>
      </c>
      <c r="Q737" s="2" t="s">
        <v>226</v>
      </c>
      <c r="R737" s="2" t="s">
        <v>227</v>
      </c>
      <c r="S737" s="2" t="s">
        <v>4563</v>
      </c>
      <c r="T737" s="2" t="s">
        <v>2807</v>
      </c>
      <c r="U737" s="2" t="s">
        <v>674</v>
      </c>
      <c r="V737" s="2" t="s">
        <v>230</v>
      </c>
      <c r="W737" s="2" t="s">
        <v>231</v>
      </c>
      <c r="X737" s="2" t="s">
        <v>836</v>
      </c>
      <c r="Y737" s="2" t="s">
        <v>232</v>
      </c>
      <c r="Z737" s="4">
        <v>141</v>
      </c>
      <c r="AA737" s="4">
        <f>=ROUNDDOWN(20.1428571428571,0)</f>
      </c>
      <c r="AB737" s="5">
        <v>7</v>
      </c>
      <c r="AC737" s="2" t="s">
        <v>732</v>
      </c>
      <c r="AD737" s="4">
        <v>40</v>
      </c>
      <c r="AE737" s="4">
        <v>90</v>
      </c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227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227</v>
      </c>
      <c r="AW737" s="8" t="s">
        <v>227</v>
      </c>
      <c r="AX737" s="4" t="s">
        <v>227</v>
      </c>
      <c r="AY737" s="8" t="s">
        <v>227</v>
      </c>
      <c r="AZ737" s="7" t="s">
        <v>227</v>
      </c>
      <c r="BA737" s="7" t="s">
        <v>227</v>
      </c>
      <c r="BB737" s="7"/>
      <c r="BC737" s="4" t="s">
        <v>227</v>
      </c>
      <c r="BD737" s="8" t="s">
        <v>227</v>
      </c>
      <c r="BE737" s="4" t="s">
        <v>227</v>
      </c>
      <c r="BF737" s="8" t="s">
        <v>227</v>
      </c>
      <c r="BG737" s="7" t="s">
        <v>227</v>
      </c>
      <c r="BH737" s="7" t="s">
        <v>227</v>
      </c>
      <c r="BI737" s="7"/>
      <c r="BJ737" s="4">
        <v>19</v>
      </c>
      <c r="BK737" s="8">
        <v>468.42</v>
      </c>
      <c r="BL737" s="2" t="s">
        <v>4564</v>
      </c>
      <c r="BM737" s="7"/>
      <c r="BN737" s="7"/>
      <c r="BO737" s="4"/>
      <c r="BP737" s="8"/>
      <c r="BQ737" s="4"/>
      <c r="BR737" s="8"/>
      <c r="BS737" s="7"/>
      <c r="BT737" s="7"/>
      <c r="BU737" s="2" t="s">
        <v>4565</v>
      </c>
      <c r="BV737" s="2" t="s">
        <v>227</v>
      </c>
      <c r="BW737" s="2" t="s">
        <v>227</v>
      </c>
      <c r="BX737" s="2" t="s">
        <v>235</v>
      </c>
      <c r="BY737" s="2" t="s">
        <v>236</v>
      </c>
      <c r="BZ737" s="2" t="s">
        <v>224</v>
      </c>
      <c r="CA737" s="2" t="s">
        <v>237</v>
      </c>
      <c r="CB737" s="2" t="s">
        <v>4566</v>
      </c>
      <c r="CC737" s="2" t="s">
        <v>239</v>
      </c>
      <c r="CD737" s="2" t="s">
        <v>227</v>
      </c>
      <c r="CE737" s="4">
        <v>141</v>
      </c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>
        <v>40</v>
      </c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>
        <v>50</v>
      </c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/>
      <c r="FG737" s="4"/>
      <c r="FH737" s="4"/>
      <c r="FI737" s="4"/>
      <c r="FJ737" s="4"/>
      <c r="FK737" s="4"/>
      <c r="FL737" s="4"/>
      <c r="FM737" s="4"/>
      <c r="FN737" s="4"/>
      <c r="FO737" s="4"/>
      <c r="FP737" s="4"/>
      <c r="FQ737" s="4"/>
      <c r="FR737" s="4"/>
      <c r="FS737" s="4"/>
      <c r="FT737" s="4"/>
      <c r="FU737" s="4"/>
      <c r="FV737" s="4"/>
      <c r="FW737" s="4"/>
      <c r="FX737" s="4"/>
      <c r="FY737" s="4"/>
      <c r="FZ737" s="4"/>
      <c r="GA737" s="4"/>
      <c r="GB737" s="4"/>
      <c r="GC737" s="4"/>
      <c r="GD737" s="4"/>
      <c r="GE737" s="4"/>
      <c r="GF737" s="4"/>
      <c r="GG737" s="4"/>
      <c r="GH737" s="4"/>
      <c r="GI737" s="4"/>
      <c r="GJ737" s="4"/>
      <c r="GK737" s="4"/>
      <c r="GL737" s="4"/>
      <c r="GM737" s="4"/>
      <c r="GN737" s="4"/>
      <c r="GO737" s="4"/>
      <c r="GP737" s="4"/>
      <c r="GQ737" s="4"/>
      <c r="GR737" s="4"/>
      <c r="GS737" s="4"/>
      <c r="GT737" s="4"/>
      <c r="GU737" s="4"/>
      <c r="GV737" s="4"/>
      <c r="GW737" s="4"/>
      <c r="GX737" s="4"/>
    </row>
    <row r="738">
      <c r="A738" s="2" t="s">
        <v>4567</v>
      </c>
      <c r="B738" s="2" t="s">
        <v>278</v>
      </c>
      <c r="C738" s="2" t="s">
        <v>2227</v>
      </c>
      <c r="D738" s="2" t="s">
        <v>280</v>
      </c>
      <c r="E738" s="2" t="s">
        <v>281</v>
      </c>
      <c r="F738" s="2" t="s">
        <v>4456</v>
      </c>
      <c r="G738" s="2" t="s">
        <v>4456</v>
      </c>
      <c r="H738" s="2" t="s">
        <v>4456</v>
      </c>
      <c r="I738" s="2" t="s">
        <v>283</v>
      </c>
      <c r="J738" s="2" t="s">
        <v>247</v>
      </c>
      <c r="K738" s="2" t="s">
        <v>363</v>
      </c>
      <c r="L738" s="3">
        <v>25.3</v>
      </c>
      <c r="M738" s="3">
        <v>26.56</v>
      </c>
      <c r="N738" s="3">
        <v>54.99</v>
      </c>
      <c r="O738" s="2" t="s">
        <v>224</v>
      </c>
      <c r="P738" s="2" t="s">
        <v>225</v>
      </c>
      <c r="Q738" s="2" t="s">
        <v>226</v>
      </c>
      <c r="R738" s="2" t="s">
        <v>227</v>
      </c>
      <c r="S738" s="2" t="s">
        <v>4563</v>
      </c>
      <c r="T738" s="2" t="s">
        <v>2807</v>
      </c>
      <c r="U738" s="2" t="s">
        <v>287</v>
      </c>
      <c r="V738" s="2" t="s">
        <v>230</v>
      </c>
      <c r="W738" s="2" t="s">
        <v>231</v>
      </c>
      <c r="X738" s="2" t="s">
        <v>836</v>
      </c>
      <c r="Y738" s="2" t="s">
        <v>232</v>
      </c>
      <c r="Z738" s="4">
        <v>269</v>
      </c>
      <c r="AA738" s="4">
        <f>=ROUNDDOWN(22.4166666666667,0)</f>
      </c>
      <c r="AB738" s="5">
        <v>12</v>
      </c>
      <c r="AC738" s="2" t="s">
        <v>732</v>
      </c>
      <c r="AD738" s="4">
        <v>70</v>
      </c>
      <c r="AE738" s="4">
        <v>170</v>
      </c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227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227</v>
      </c>
      <c r="AW738" s="8" t="s">
        <v>227</v>
      </c>
      <c r="AX738" s="4" t="s">
        <v>227</v>
      </c>
      <c r="AY738" s="8" t="s">
        <v>227</v>
      </c>
      <c r="AZ738" s="7" t="s">
        <v>227</v>
      </c>
      <c r="BA738" s="7" t="s">
        <v>227</v>
      </c>
      <c r="BB738" s="7"/>
      <c r="BC738" s="4" t="s">
        <v>227</v>
      </c>
      <c r="BD738" s="8" t="s">
        <v>227</v>
      </c>
      <c r="BE738" s="4" t="s">
        <v>227</v>
      </c>
      <c r="BF738" s="8" t="s">
        <v>227</v>
      </c>
      <c r="BG738" s="7" t="s">
        <v>227</v>
      </c>
      <c r="BH738" s="7" t="s">
        <v>227</v>
      </c>
      <c r="BI738" s="7"/>
      <c r="BJ738" s="4">
        <v>18</v>
      </c>
      <c r="BK738" s="8">
        <v>500.55</v>
      </c>
      <c r="BL738" s="2" t="s">
        <v>4568</v>
      </c>
      <c r="BM738" s="7"/>
      <c r="BN738" s="7"/>
      <c r="BO738" s="4"/>
      <c r="BP738" s="8"/>
      <c r="BQ738" s="4"/>
      <c r="BR738" s="8"/>
      <c r="BS738" s="7"/>
      <c r="BT738" s="7"/>
      <c r="BU738" s="2" t="s">
        <v>4569</v>
      </c>
      <c r="BV738" s="2" t="s">
        <v>227</v>
      </c>
      <c r="BW738" s="2" t="s">
        <v>227</v>
      </c>
      <c r="BX738" s="2" t="s">
        <v>235</v>
      </c>
      <c r="BY738" s="2" t="s">
        <v>236</v>
      </c>
      <c r="BZ738" s="2" t="s">
        <v>224</v>
      </c>
      <c r="CA738" s="2" t="s">
        <v>237</v>
      </c>
      <c r="CB738" s="2" t="s">
        <v>443</v>
      </c>
      <c r="CC738" s="2" t="s">
        <v>239</v>
      </c>
      <c r="CD738" s="2" t="s">
        <v>227</v>
      </c>
      <c r="CE738" s="4">
        <v>269</v>
      </c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>
        <v>70</v>
      </c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>
        <v>100</v>
      </c>
      <c r="EU738" s="4"/>
      <c r="EV738" s="4"/>
      <c r="EW738" s="4"/>
      <c r="EX738" s="4"/>
      <c r="EY738" s="4"/>
      <c r="EZ738" s="4"/>
      <c r="FA738" s="4"/>
      <c r="FB738" s="4"/>
      <c r="FC738" s="4"/>
      <c r="FD738" s="4"/>
      <c r="FE738" s="4"/>
      <c r="FF738" s="4"/>
      <c r="FG738" s="4"/>
      <c r="FH738" s="4"/>
      <c r="FI738" s="4"/>
      <c r="FJ738" s="4"/>
      <c r="FK738" s="4"/>
      <c r="FL738" s="4"/>
      <c r="FM738" s="4"/>
      <c r="FN738" s="4"/>
      <c r="FO738" s="4"/>
      <c r="FP738" s="4"/>
      <c r="FQ738" s="4"/>
      <c r="FR738" s="4"/>
      <c r="FS738" s="4"/>
      <c r="FT738" s="4"/>
      <c r="FU738" s="4"/>
      <c r="FV738" s="4"/>
      <c r="FW738" s="4"/>
      <c r="FX738" s="4"/>
      <c r="FY738" s="4"/>
      <c r="FZ738" s="4"/>
      <c r="GA738" s="4"/>
      <c r="GB738" s="4"/>
      <c r="GC738" s="4"/>
      <c r="GD738" s="4"/>
      <c r="GE738" s="4"/>
      <c r="GF738" s="4"/>
      <c r="GG738" s="4"/>
      <c r="GH738" s="4"/>
      <c r="GI738" s="4"/>
      <c r="GJ738" s="4"/>
      <c r="GK738" s="4"/>
      <c r="GL738" s="4"/>
      <c r="GM738" s="4"/>
      <c r="GN738" s="4"/>
      <c r="GO738" s="4"/>
      <c r="GP738" s="4"/>
      <c r="GQ738" s="4"/>
      <c r="GR738" s="4"/>
      <c r="GS738" s="4"/>
      <c r="GT738" s="4"/>
      <c r="GU738" s="4"/>
      <c r="GV738" s="4"/>
      <c r="GW738" s="4"/>
      <c r="GX738" s="4"/>
    </row>
    <row r="739">
      <c r="A739" s="2" t="s">
        <v>4570</v>
      </c>
      <c r="B739" s="2" t="s">
        <v>278</v>
      </c>
      <c r="C739" s="2" t="s">
        <v>2227</v>
      </c>
      <c r="D739" s="2" t="s">
        <v>280</v>
      </c>
      <c r="E739" s="2" t="s">
        <v>281</v>
      </c>
      <c r="F739" s="2" t="s">
        <v>4456</v>
      </c>
      <c r="G739" s="2" t="s">
        <v>4456</v>
      </c>
      <c r="H739" s="2" t="s">
        <v>4456</v>
      </c>
      <c r="I739" s="2" t="s">
        <v>283</v>
      </c>
      <c r="J739" s="2" t="s">
        <v>384</v>
      </c>
      <c r="K739" s="2" t="s">
        <v>363</v>
      </c>
      <c r="L739" s="3">
        <v>31.85</v>
      </c>
      <c r="M739" s="3">
        <v>33.44</v>
      </c>
      <c r="N739" s="3">
        <v>64.99</v>
      </c>
      <c r="O739" s="2" t="s">
        <v>224</v>
      </c>
      <c r="P739" s="2" t="s">
        <v>225</v>
      </c>
      <c r="Q739" s="2" t="s">
        <v>226</v>
      </c>
      <c r="R739" s="2" t="s">
        <v>227</v>
      </c>
      <c r="S739" s="2" t="s">
        <v>4563</v>
      </c>
      <c r="T739" s="2" t="s">
        <v>2807</v>
      </c>
      <c r="U739" s="2" t="s">
        <v>287</v>
      </c>
      <c r="V739" s="2" t="s">
        <v>230</v>
      </c>
      <c r="W739" s="2" t="s">
        <v>231</v>
      </c>
      <c r="X739" s="2" t="s">
        <v>836</v>
      </c>
      <c r="Y739" s="2" t="s">
        <v>232</v>
      </c>
      <c r="Z739" s="4">
        <v>184</v>
      </c>
      <c r="AA739" s="4">
        <f>=ROUNDDOWN(16.7272727272727,0)</f>
      </c>
      <c r="AB739" s="5">
        <v>11</v>
      </c>
      <c r="AC739" s="2" t="s">
        <v>732</v>
      </c>
      <c r="AD739" s="4">
        <v>60</v>
      </c>
      <c r="AE739" s="4">
        <v>140</v>
      </c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227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227</v>
      </c>
      <c r="AW739" s="8" t="s">
        <v>227</v>
      </c>
      <c r="AX739" s="4" t="s">
        <v>227</v>
      </c>
      <c r="AY739" s="8" t="s">
        <v>227</v>
      </c>
      <c r="AZ739" s="7" t="s">
        <v>227</v>
      </c>
      <c r="BA739" s="7" t="s">
        <v>227</v>
      </c>
      <c r="BB739" s="7"/>
      <c r="BC739" s="4" t="s">
        <v>227</v>
      </c>
      <c r="BD739" s="8" t="s">
        <v>227</v>
      </c>
      <c r="BE739" s="4" t="s">
        <v>227</v>
      </c>
      <c r="BF739" s="8" t="s">
        <v>227</v>
      </c>
      <c r="BG739" s="7" t="s">
        <v>227</v>
      </c>
      <c r="BH739" s="7" t="s">
        <v>227</v>
      </c>
      <c r="BI739" s="7"/>
      <c r="BJ739" s="4">
        <v>5</v>
      </c>
      <c r="BK739" s="8">
        <v>172.82</v>
      </c>
      <c r="BL739" s="2" t="s">
        <v>2165</v>
      </c>
      <c r="BM739" s="7"/>
      <c r="BN739" s="7"/>
      <c r="BO739" s="4"/>
      <c r="BP739" s="8"/>
      <c r="BQ739" s="4"/>
      <c r="BR739" s="8"/>
      <c r="BS739" s="7"/>
      <c r="BT739" s="7"/>
      <c r="BU739" s="2" t="s">
        <v>4571</v>
      </c>
      <c r="BV739" s="2" t="s">
        <v>227</v>
      </c>
      <c r="BW739" s="2" t="s">
        <v>227</v>
      </c>
      <c r="BX739" s="2" t="s">
        <v>235</v>
      </c>
      <c r="BY739" s="2" t="s">
        <v>236</v>
      </c>
      <c r="BZ739" s="2" t="s">
        <v>224</v>
      </c>
      <c r="CA739" s="2" t="s">
        <v>237</v>
      </c>
      <c r="CB739" s="2" t="s">
        <v>4572</v>
      </c>
      <c r="CC739" s="2" t="s">
        <v>239</v>
      </c>
      <c r="CD739" s="2" t="s">
        <v>227</v>
      </c>
      <c r="CE739" s="4">
        <v>184</v>
      </c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>
        <v>60</v>
      </c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>
        <v>80</v>
      </c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/>
      <c r="FG739" s="4"/>
      <c r="FH739" s="4"/>
      <c r="FI739" s="4"/>
      <c r="FJ739" s="4"/>
      <c r="FK739" s="4"/>
      <c r="FL739" s="4"/>
      <c r="FM739" s="4"/>
      <c r="FN739" s="4"/>
      <c r="FO739" s="4"/>
      <c r="FP739" s="4"/>
      <c r="FQ739" s="4"/>
      <c r="FR739" s="4"/>
      <c r="FS739" s="4"/>
      <c r="FT739" s="4"/>
      <c r="FU739" s="4"/>
      <c r="FV739" s="4"/>
      <c r="FW739" s="4"/>
      <c r="FX739" s="4"/>
      <c r="FY739" s="4"/>
      <c r="FZ739" s="4"/>
      <c r="GA739" s="4"/>
      <c r="GB739" s="4"/>
      <c r="GC739" s="4"/>
      <c r="GD739" s="4"/>
      <c r="GE739" s="4"/>
      <c r="GF739" s="4"/>
      <c r="GG739" s="4"/>
      <c r="GH739" s="4"/>
      <c r="GI739" s="4"/>
      <c r="GJ739" s="4"/>
      <c r="GK739" s="4"/>
      <c r="GL739" s="4"/>
      <c r="GM739" s="4"/>
      <c r="GN739" s="4"/>
      <c r="GO739" s="4"/>
      <c r="GP739" s="4"/>
      <c r="GQ739" s="4"/>
      <c r="GR739" s="4"/>
      <c r="GS739" s="4"/>
      <c r="GT739" s="4"/>
      <c r="GU739" s="4"/>
      <c r="GV739" s="4"/>
      <c r="GW739" s="4"/>
      <c r="GX739" s="4"/>
    </row>
    <row r="740">
      <c r="A740" s="2" t="s">
        <v>4573</v>
      </c>
      <c r="B740" s="2" t="s">
        <v>278</v>
      </c>
      <c r="C740" s="2" t="s">
        <v>2227</v>
      </c>
      <c r="D740" s="2" t="s">
        <v>280</v>
      </c>
      <c r="E740" s="2" t="s">
        <v>281</v>
      </c>
      <c r="F740" s="2" t="s">
        <v>4456</v>
      </c>
      <c r="G740" s="2" t="s">
        <v>4456</v>
      </c>
      <c r="H740" s="2" t="s">
        <v>4456</v>
      </c>
      <c r="I740" s="2" t="s">
        <v>283</v>
      </c>
      <c r="J740" s="2" t="s">
        <v>222</v>
      </c>
      <c r="K740" s="2" t="s">
        <v>432</v>
      </c>
      <c r="L740" s="3">
        <v>21.62</v>
      </c>
      <c r="M740" s="3">
        <v>22.7</v>
      </c>
      <c r="N740" s="3">
        <v>46.99</v>
      </c>
      <c r="O740" s="2" t="s">
        <v>224</v>
      </c>
      <c r="P740" s="2" t="s">
        <v>225</v>
      </c>
      <c r="Q740" s="2" t="s">
        <v>226</v>
      </c>
      <c r="R740" s="2" t="s">
        <v>227</v>
      </c>
      <c r="S740" s="2" t="s">
        <v>4574</v>
      </c>
      <c r="T740" s="2" t="s">
        <v>2807</v>
      </c>
      <c r="U740" s="2" t="s">
        <v>674</v>
      </c>
      <c r="V740" s="2" t="s">
        <v>230</v>
      </c>
      <c r="W740" s="2" t="s">
        <v>231</v>
      </c>
      <c r="X740" s="2" t="s">
        <v>836</v>
      </c>
      <c r="Y740" s="2" t="s">
        <v>232</v>
      </c>
      <c r="Z740" s="4">
        <v>135</v>
      </c>
      <c r="AA740" s="4">
        <f>=ROUNDDOWN(19.2857142857143,0)</f>
      </c>
      <c r="AB740" s="5">
        <v>7</v>
      </c>
      <c r="AC740" s="2" t="s">
        <v>732</v>
      </c>
      <c r="AD740" s="4">
        <v>30</v>
      </c>
      <c r="AE740" s="4">
        <v>80</v>
      </c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227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227</v>
      </c>
      <c r="AW740" s="8" t="s">
        <v>227</v>
      </c>
      <c r="AX740" s="4" t="s">
        <v>227</v>
      </c>
      <c r="AY740" s="8" t="s">
        <v>227</v>
      </c>
      <c r="AZ740" s="7" t="s">
        <v>227</v>
      </c>
      <c r="BA740" s="7" t="s">
        <v>227</v>
      </c>
      <c r="BB740" s="7"/>
      <c r="BC740" s="4" t="s">
        <v>227</v>
      </c>
      <c r="BD740" s="8" t="s">
        <v>227</v>
      </c>
      <c r="BE740" s="4" t="s">
        <v>227</v>
      </c>
      <c r="BF740" s="8" t="s">
        <v>227</v>
      </c>
      <c r="BG740" s="7" t="s">
        <v>227</v>
      </c>
      <c r="BH740" s="7" t="s">
        <v>227</v>
      </c>
      <c r="BI740" s="7"/>
      <c r="BJ740" s="4">
        <v>13</v>
      </c>
      <c r="BK740" s="8">
        <v>306.61</v>
      </c>
      <c r="BL740" s="2" t="s">
        <v>2339</v>
      </c>
      <c r="BM740" s="7"/>
      <c r="BN740" s="7"/>
      <c r="BO740" s="4"/>
      <c r="BP740" s="8"/>
      <c r="BQ740" s="4"/>
      <c r="BR740" s="8"/>
      <c r="BS740" s="7"/>
      <c r="BT740" s="7"/>
      <c r="BU740" s="2" t="s">
        <v>4575</v>
      </c>
      <c r="BV740" s="2" t="s">
        <v>227</v>
      </c>
      <c r="BW740" s="2" t="s">
        <v>227</v>
      </c>
      <c r="BX740" s="2" t="s">
        <v>235</v>
      </c>
      <c r="BY740" s="2" t="s">
        <v>236</v>
      </c>
      <c r="BZ740" s="2" t="s">
        <v>224</v>
      </c>
      <c r="CA740" s="2" t="s">
        <v>237</v>
      </c>
      <c r="CB740" s="2" t="s">
        <v>4576</v>
      </c>
      <c r="CC740" s="2" t="s">
        <v>239</v>
      </c>
      <c r="CD740" s="2" t="s">
        <v>227</v>
      </c>
      <c r="CE740" s="4">
        <v>135</v>
      </c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>
        <v>30</v>
      </c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>
        <v>50</v>
      </c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/>
      <c r="FI740" s="4"/>
      <c r="FJ740" s="4"/>
      <c r="FK740" s="4"/>
      <c r="FL740" s="4"/>
      <c r="FM740" s="4"/>
      <c r="FN740" s="4"/>
      <c r="FO740" s="4"/>
      <c r="FP740" s="4"/>
      <c r="FQ740" s="4"/>
      <c r="FR740" s="4"/>
      <c r="FS740" s="4"/>
      <c r="FT740" s="4"/>
      <c r="FU740" s="4"/>
      <c r="FV740" s="4"/>
      <c r="FW740" s="4"/>
      <c r="FX740" s="4"/>
      <c r="FY740" s="4"/>
      <c r="FZ740" s="4"/>
      <c r="GA740" s="4"/>
      <c r="GB740" s="4"/>
      <c r="GC740" s="4"/>
      <c r="GD740" s="4"/>
      <c r="GE740" s="4"/>
      <c r="GF740" s="4"/>
      <c r="GG740" s="4"/>
      <c r="GH740" s="4"/>
      <c r="GI740" s="4"/>
      <c r="GJ740" s="4"/>
      <c r="GK740" s="4"/>
      <c r="GL740" s="4"/>
      <c r="GM740" s="4"/>
      <c r="GN740" s="4"/>
      <c r="GO740" s="4"/>
      <c r="GP740" s="4"/>
      <c r="GQ740" s="4"/>
      <c r="GR740" s="4"/>
      <c r="GS740" s="4"/>
      <c r="GT740" s="4"/>
      <c r="GU740" s="4"/>
      <c r="GV740" s="4"/>
      <c r="GW740" s="4"/>
      <c r="GX740" s="4"/>
    </row>
    <row r="741">
      <c r="A741" s="2" t="s">
        <v>4577</v>
      </c>
      <c r="B741" s="2" t="s">
        <v>278</v>
      </c>
      <c r="C741" s="2" t="s">
        <v>2227</v>
      </c>
      <c r="D741" s="2" t="s">
        <v>280</v>
      </c>
      <c r="E741" s="2" t="s">
        <v>281</v>
      </c>
      <c r="F741" s="2" t="s">
        <v>4456</v>
      </c>
      <c r="G741" s="2" t="s">
        <v>4456</v>
      </c>
      <c r="H741" s="2" t="s">
        <v>4456</v>
      </c>
      <c r="I741" s="2" t="s">
        <v>283</v>
      </c>
      <c r="J741" s="2" t="s">
        <v>247</v>
      </c>
      <c r="K741" s="2" t="s">
        <v>432</v>
      </c>
      <c r="L741" s="3">
        <v>25.3</v>
      </c>
      <c r="M741" s="3">
        <v>26.56</v>
      </c>
      <c r="N741" s="3">
        <v>54.99</v>
      </c>
      <c r="O741" s="2" t="s">
        <v>224</v>
      </c>
      <c r="P741" s="2" t="s">
        <v>225</v>
      </c>
      <c r="Q741" s="2" t="s">
        <v>226</v>
      </c>
      <c r="R741" s="2" t="s">
        <v>227</v>
      </c>
      <c r="S741" s="2" t="s">
        <v>4574</v>
      </c>
      <c r="T741" s="2" t="s">
        <v>2807</v>
      </c>
      <c r="U741" s="2" t="s">
        <v>287</v>
      </c>
      <c r="V741" s="2" t="s">
        <v>230</v>
      </c>
      <c r="W741" s="2" t="s">
        <v>231</v>
      </c>
      <c r="X741" s="2" t="s">
        <v>836</v>
      </c>
      <c r="Y741" s="2" t="s">
        <v>232</v>
      </c>
      <c r="Z741" s="4">
        <v>174</v>
      </c>
      <c r="AA741" s="4">
        <f>=ROUNDDOWN({0},0)</f>
      </c>
      <c r="AB741" s="5">
        <v>8</v>
      </c>
      <c r="AC741" s="2" t="s">
        <v>732</v>
      </c>
      <c r="AD741" s="4">
        <v>50</v>
      </c>
      <c r="AE741" s="4">
        <v>120</v>
      </c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227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227</v>
      </c>
      <c r="AW741" s="8" t="s">
        <v>227</v>
      </c>
      <c r="AX741" s="4" t="s">
        <v>227</v>
      </c>
      <c r="AY741" s="8" t="s">
        <v>227</v>
      </c>
      <c r="AZ741" s="7" t="s">
        <v>227</v>
      </c>
      <c r="BA741" s="7" t="s">
        <v>227</v>
      </c>
      <c r="BB741" s="7"/>
      <c r="BC741" s="4" t="s">
        <v>227</v>
      </c>
      <c r="BD741" s="8" t="s">
        <v>227</v>
      </c>
      <c r="BE741" s="4" t="s">
        <v>227</v>
      </c>
      <c r="BF741" s="8" t="s">
        <v>227</v>
      </c>
      <c r="BG741" s="7" t="s">
        <v>227</v>
      </c>
      <c r="BH741" s="7" t="s">
        <v>227</v>
      </c>
      <c r="BI741" s="7"/>
      <c r="BJ741" s="4">
        <v>19</v>
      </c>
      <c r="BK741" s="8">
        <v>525.68</v>
      </c>
      <c r="BL741" s="2" t="s">
        <v>1580</v>
      </c>
      <c r="BM741" s="7"/>
      <c r="BN741" s="7"/>
      <c r="BO741" s="4"/>
      <c r="BP741" s="8"/>
      <c r="BQ741" s="4"/>
      <c r="BR741" s="8"/>
      <c r="BS741" s="7"/>
      <c r="BT741" s="7"/>
      <c r="BU741" s="2" t="s">
        <v>4578</v>
      </c>
      <c r="BV741" s="2" t="s">
        <v>227</v>
      </c>
      <c r="BW741" s="2" t="s">
        <v>227</v>
      </c>
      <c r="BX741" s="2" t="s">
        <v>235</v>
      </c>
      <c r="BY741" s="2" t="s">
        <v>236</v>
      </c>
      <c r="BZ741" s="2" t="s">
        <v>224</v>
      </c>
      <c r="CA741" s="2" t="s">
        <v>237</v>
      </c>
      <c r="CB741" s="2" t="s">
        <v>4579</v>
      </c>
      <c r="CC741" s="2" t="s">
        <v>239</v>
      </c>
      <c r="CD741" s="2" t="s">
        <v>227</v>
      </c>
      <c r="CE741" s="4">
        <v>174</v>
      </c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>
        <v>50</v>
      </c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/>
      <c r="ES741" s="4"/>
      <c r="ET741" s="4">
        <v>70</v>
      </c>
      <c r="EU741" s="4"/>
      <c r="EV741" s="4"/>
      <c r="EW741" s="4"/>
      <c r="EX741" s="4"/>
      <c r="EY741" s="4"/>
      <c r="EZ741" s="4"/>
      <c r="FA741" s="4"/>
      <c r="FB741" s="4"/>
      <c r="FC741" s="4"/>
      <c r="FD741" s="4"/>
      <c r="FE741" s="4"/>
      <c r="FF741" s="4"/>
      <c r="FG741" s="4"/>
      <c r="FH741" s="4"/>
      <c r="FI741" s="4"/>
      <c r="FJ741" s="4"/>
      <c r="FK741" s="4"/>
      <c r="FL741" s="4"/>
      <c r="FM741" s="4"/>
      <c r="FN741" s="4"/>
      <c r="FO741" s="4"/>
      <c r="FP741" s="4"/>
      <c r="FQ741" s="4"/>
      <c r="FR741" s="4"/>
      <c r="FS741" s="4"/>
      <c r="FT741" s="4"/>
      <c r="FU741" s="4"/>
      <c r="FV741" s="4"/>
      <c r="FW741" s="4"/>
      <c r="FX741" s="4"/>
      <c r="FY741" s="4"/>
      <c r="FZ741" s="4"/>
      <c r="GA741" s="4"/>
      <c r="GB741" s="4"/>
      <c r="GC741" s="4"/>
      <c r="GD741" s="4"/>
      <c r="GE741" s="4"/>
      <c r="GF741" s="4"/>
      <c r="GG741" s="4"/>
      <c r="GH741" s="4"/>
      <c r="GI741" s="4"/>
      <c r="GJ741" s="4"/>
      <c r="GK741" s="4"/>
      <c r="GL741" s="4"/>
      <c r="GM741" s="4"/>
      <c r="GN741" s="4"/>
      <c r="GO741" s="4"/>
      <c r="GP741" s="4"/>
      <c r="GQ741" s="4"/>
      <c r="GR741" s="4"/>
      <c r="GS741" s="4"/>
      <c r="GT741" s="4"/>
      <c r="GU741" s="4"/>
      <c r="GV741" s="4"/>
      <c r="GW741" s="4"/>
      <c r="GX741" s="4"/>
    </row>
    <row r="742">
      <c r="A742" s="2" t="s">
        <v>4580</v>
      </c>
      <c r="B742" s="2" t="s">
        <v>278</v>
      </c>
      <c r="C742" s="2" t="s">
        <v>2227</v>
      </c>
      <c r="D742" s="2" t="s">
        <v>280</v>
      </c>
      <c r="E742" s="2" t="s">
        <v>281</v>
      </c>
      <c r="F742" s="2" t="s">
        <v>4456</v>
      </c>
      <c r="G742" s="2" t="s">
        <v>4456</v>
      </c>
      <c r="H742" s="2" t="s">
        <v>4456</v>
      </c>
      <c r="I742" s="2" t="s">
        <v>283</v>
      </c>
      <c r="J742" s="2" t="s">
        <v>252</v>
      </c>
      <c r="K742" s="2" t="s">
        <v>432</v>
      </c>
      <c r="L742" s="3">
        <v>28.2</v>
      </c>
      <c r="M742" s="3">
        <v>29.61</v>
      </c>
      <c r="N742" s="3">
        <v>59.99</v>
      </c>
      <c r="O742" s="2" t="s">
        <v>224</v>
      </c>
      <c r="P742" s="2" t="s">
        <v>550</v>
      </c>
      <c r="Q742" s="2" t="s">
        <v>226</v>
      </c>
      <c r="R742" s="2" t="s">
        <v>227</v>
      </c>
      <c r="S742" s="2" t="s">
        <v>4574</v>
      </c>
      <c r="T742" s="2" t="s">
        <v>2807</v>
      </c>
      <c r="U742" s="2" t="s">
        <v>287</v>
      </c>
      <c r="V742" s="2" t="s">
        <v>230</v>
      </c>
      <c r="W742" s="2" t="s">
        <v>231</v>
      </c>
      <c r="X742" s="2" t="s">
        <v>836</v>
      </c>
      <c r="Y742" s="2" t="s">
        <v>232</v>
      </c>
      <c r="Z742" s="4">
        <v>558</v>
      </c>
      <c r="AA742" s="4">
        <f>=ROUNDDOWN(20.6666666666667,0)</f>
      </c>
      <c r="AB742" s="5">
        <v>27</v>
      </c>
      <c r="AC742" s="2" t="s">
        <v>732</v>
      </c>
      <c r="AD742" s="4">
        <v>220</v>
      </c>
      <c r="AE742" s="4">
        <v>460</v>
      </c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227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227</v>
      </c>
      <c r="AW742" s="8" t="s">
        <v>227</v>
      </c>
      <c r="AX742" s="4" t="s">
        <v>227</v>
      </c>
      <c r="AY742" s="8" t="s">
        <v>227</v>
      </c>
      <c r="AZ742" s="7" t="s">
        <v>227</v>
      </c>
      <c r="BA742" s="7" t="s">
        <v>227</v>
      </c>
      <c r="BB742" s="7"/>
      <c r="BC742" s="4" t="s">
        <v>227</v>
      </c>
      <c r="BD742" s="8" t="s">
        <v>227</v>
      </c>
      <c r="BE742" s="4" t="s">
        <v>227</v>
      </c>
      <c r="BF742" s="8" t="s">
        <v>227</v>
      </c>
      <c r="BG742" s="7" t="s">
        <v>227</v>
      </c>
      <c r="BH742" s="7" t="s">
        <v>227</v>
      </c>
      <c r="BI742" s="7"/>
      <c r="BJ742" s="4">
        <v>33</v>
      </c>
      <c r="BK742" s="8">
        <v>1014.38</v>
      </c>
      <c r="BL742" s="2" t="s">
        <v>4581</v>
      </c>
      <c r="BM742" s="7"/>
      <c r="BN742" s="7"/>
      <c r="BO742" s="4"/>
      <c r="BP742" s="8"/>
      <c r="BQ742" s="4"/>
      <c r="BR742" s="8"/>
      <c r="BS742" s="7"/>
      <c r="BT742" s="7"/>
      <c r="BU742" s="2" t="s">
        <v>4582</v>
      </c>
      <c r="BV742" s="2" t="s">
        <v>227</v>
      </c>
      <c r="BW742" s="2" t="s">
        <v>227</v>
      </c>
      <c r="BX742" s="2" t="s">
        <v>235</v>
      </c>
      <c r="BY742" s="2" t="s">
        <v>236</v>
      </c>
      <c r="BZ742" s="2" t="s">
        <v>224</v>
      </c>
      <c r="CA742" s="2" t="s">
        <v>237</v>
      </c>
      <c r="CB742" s="2" t="s">
        <v>4583</v>
      </c>
      <c r="CC742" s="2" t="s">
        <v>239</v>
      </c>
      <c r="CD742" s="2" t="s">
        <v>227</v>
      </c>
      <c r="CE742" s="4">
        <v>462</v>
      </c>
      <c r="CF742" s="4"/>
      <c r="CG742" s="4"/>
      <c r="CH742" s="4"/>
      <c r="CI742" s="4"/>
      <c r="CJ742" s="4"/>
      <c r="CK742" s="4">
        <v>96</v>
      </c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>
        <v>220</v>
      </c>
      <c r="EG742" s="4"/>
      <c r="EH742" s="4"/>
      <c r="EI742" s="4"/>
      <c r="EJ742" s="4"/>
      <c r="EK742" s="4"/>
      <c r="EL742" s="4"/>
      <c r="EM742" s="4"/>
      <c r="EN742" s="4"/>
      <c r="EO742" s="4"/>
      <c r="EP742" s="4"/>
      <c r="EQ742" s="4"/>
      <c r="ER742" s="4"/>
      <c r="ES742" s="4"/>
      <c r="ET742" s="4">
        <v>240</v>
      </c>
      <c r="EU742" s="4"/>
      <c r="EV742" s="4"/>
      <c r="EW742" s="4"/>
      <c r="EX742" s="4"/>
      <c r="EY742" s="4"/>
      <c r="EZ742" s="4"/>
      <c r="FA742" s="4"/>
      <c r="FB742" s="4"/>
      <c r="FC742" s="4"/>
      <c r="FD742" s="4"/>
      <c r="FE742" s="4"/>
      <c r="FF742" s="4"/>
      <c r="FG742" s="4"/>
      <c r="FH742" s="4"/>
      <c r="FI742" s="4"/>
      <c r="FJ742" s="4"/>
      <c r="FK742" s="4"/>
      <c r="FL742" s="4"/>
      <c r="FM742" s="4"/>
      <c r="FN742" s="4"/>
      <c r="FO742" s="4"/>
      <c r="FP742" s="4"/>
      <c r="FQ742" s="4"/>
      <c r="FR742" s="4"/>
      <c r="FS742" s="4"/>
      <c r="FT742" s="4"/>
      <c r="FU742" s="4"/>
      <c r="FV742" s="4"/>
      <c r="FW742" s="4"/>
      <c r="FX742" s="4"/>
      <c r="FY742" s="4"/>
      <c r="FZ742" s="4"/>
      <c r="GA742" s="4"/>
      <c r="GB742" s="4"/>
      <c r="GC742" s="4"/>
      <c r="GD742" s="4"/>
      <c r="GE742" s="4"/>
      <c r="GF742" s="4"/>
      <c r="GG742" s="4"/>
      <c r="GH742" s="4"/>
      <c r="GI742" s="4"/>
      <c r="GJ742" s="4"/>
      <c r="GK742" s="4"/>
      <c r="GL742" s="4"/>
      <c r="GM742" s="4"/>
      <c r="GN742" s="4"/>
      <c r="GO742" s="4"/>
      <c r="GP742" s="4"/>
      <c r="GQ742" s="4"/>
      <c r="GR742" s="4"/>
      <c r="GS742" s="4"/>
      <c r="GT742" s="4"/>
      <c r="GU742" s="4"/>
      <c r="GV742" s="4"/>
      <c r="GW742" s="4"/>
      <c r="GX742" s="4"/>
    </row>
    <row r="743">
      <c r="A743" s="2" t="s">
        <v>4584</v>
      </c>
      <c r="B743" s="2" t="s">
        <v>278</v>
      </c>
      <c r="C743" s="2" t="s">
        <v>2227</v>
      </c>
      <c r="D743" s="2" t="s">
        <v>280</v>
      </c>
      <c r="E743" s="2" t="s">
        <v>281</v>
      </c>
      <c r="F743" s="2" t="s">
        <v>4456</v>
      </c>
      <c r="G743" s="2" t="s">
        <v>4456</v>
      </c>
      <c r="H743" s="2" t="s">
        <v>4456</v>
      </c>
      <c r="I743" s="2" t="s">
        <v>283</v>
      </c>
      <c r="J743" s="2" t="s">
        <v>257</v>
      </c>
      <c r="K743" s="2" t="s">
        <v>432</v>
      </c>
      <c r="L743" s="3">
        <v>31.2</v>
      </c>
      <c r="M743" s="3">
        <v>32.76</v>
      </c>
      <c r="N743" s="3">
        <v>64.99</v>
      </c>
      <c r="O743" s="2" t="s">
        <v>224</v>
      </c>
      <c r="P743" s="2" t="s">
        <v>485</v>
      </c>
      <c r="Q743" s="2" t="s">
        <v>226</v>
      </c>
      <c r="R743" s="2" t="s">
        <v>227</v>
      </c>
      <c r="S743" s="2" t="s">
        <v>4574</v>
      </c>
      <c r="T743" s="2" t="s">
        <v>2807</v>
      </c>
      <c r="U743" s="2" t="s">
        <v>287</v>
      </c>
      <c r="V743" s="2" t="s">
        <v>230</v>
      </c>
      <c r="W743" s="2" t="s">
        <v>231</v>
      </c>
      <c r="X743" s="2" t="s">
        <v>836</v>
      </c>
      <c r="Y743" s="2" t="s">
        <v>232</v>
      </c>
      <c r="Z743" s="4">
        <v>364</v>
      </c>
      <c r="AA743" s="4">
        <f>=ROUNDDOWN(18.2,0)</f>
      </c>
      <c r="AB743" s="5">
        <v>20</v>
      </c>
      <c r="AC743" s="2" t="s">
        <v>732</v>
      </c>
      <c r="AD743" s="4">
        <v>120</v>
      </c>
      <c r="AE743" s="4">
        <v>290</v>
      </c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227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227</v>
      </c>
      <c r="AW743" s="8" t="s">
        <v>227</v>
      </c>
      <c r="AX743" s="4" t="s">
        <v>227</v>
      </c>
      <c r="AY743" s="8" t="s">
        <v>227</v>
      </c>
      <c r="AZ743" s="7" t="s">
        <v>227</v>
      </c>
      <c r="BA743" s="7" t="s">
        <v>227</v>
      </c>
      <c r="BB743" s="7"/>
      <c r="BC743" s="4" t="s">
        <v>227</v>
      </c>
      <c r="BD743" s="8" t="s">
        <v>227</v>
      </c>
      <c r="BE743" s="4" t="s">
        <v>227</v>
      </c>
      <c r="BF743" s="8" t="s">
        <v>227</v>
      </c>
      <c r="BG743" s="7" t="s">
        <v>227</v>
      </c>
      <c r="BH743" s="7" t="s">
        <v>227</v>
      </c>
      <c r="BI743" s="7"/>
      <c r="BJ743" s="4">
        <v>48</v>
      </c>
      <c r="BK743" s="8">
        <v>1618.61</v>
      </c>
      <c r="BL743" s="2" t="s">
        <v>2107</v>
      </c>
      <c r="BM743" s="7"/>
      <c r="BN743" s="7"/>
      <c r="BO743" s="4"/>
      <c r="BP743" s="8"/>
      <c r="BQ743" s="4"/>
      <c r="BR743" s="8"/>
      <c r="BS743" s="7"/>
      <c r="BT743" s="7"/>
      <c r="BU743" s="2" t="s">
        <v>4585</v>
      </c>
      <c r="BV743" s="2" t="s">
        <v>227</v>
      </c>
      <c r="BW743" s="2" t="s">
        <v>227</v>
      </c>
      <c r="BX743" s="2" t="s">
        <v>235</v>
      </c>
      <c r="BY743" s="2" t="s">
        <v>236</v>
      </c>
      <c r="BZ743" s="2" t="s">
        <v>224</v>
      </c>
      <c r="CA743" s="2" t="s">
        <v>237</v>
      </c>
      <c r="CB743" s="2" t="s">
        <v>4586</v>
      </c>
      <c r="CC743" s="2" t="s">
        <v>239</v>
      </c>
      <c r="CD743" s="2" t="s">
        <v>227</v>
      </c>
      <c r="CE743" s="4">
        <v>364</v>
      </c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>
        <v>120</v>
      </c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/>
      <c r="ES743" s="4"/>
      <c r="ET743" s="4">
        <v>170</v>
      </c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/>
      <c r="FG743" s="4"/>
      <c r="FH743" s="4"/>
      <c r="FI743" s="4"/>
      <c r="FJ743" s="4"/>
      <c r="FK743" s="4"/>
      <c r="FL743" s="4"/>
      <c r="FM743" s="4"/>
      <c r="FN743" s="4"/>
      <c r="FO743" s="4"/>
      <c r="FP743" s="4"/>
      <c r="FQ743" s="4"/>
      <c r="FR743" s="4"/>
      <c r="FS743" s="4"/>
      <c r="FT743" s="4"/>
      <c r="FU743" s="4"/>
      <c r="FV743" s="4"/>
      <c r="FW743" s="4"/>
      <c r="FX743" s="4"/>
      <c r="FY743" s="4"/>
      <c r="FZ743" s="4"/>
      <c r="GA743" s="4"/>
      <c r="GB743" s="4"/>
      <c r="GC743" s="4"/>
      <c r="GD743" s="4"/>
      <c r="GE743" s="4"/>
      <c r="GF743" s="4"/>
      <c r="GG743" s="4"/>
      <c r="GH743" s="4"/>
      <c r="GI743" s="4"/>
      <c r="GJ743" s="4"/>
      <c r="GK743" s="4"/>
      <c r="GL743" s="4"/>
      <c r="GM743" s="4"/>
      <c r="GN743" s="4"/>
      <c r="GO743" s="4"/>
      <c r="GP743" s="4"/>
      <c r="GQ743" s="4"/>
      <c r="GR743" s="4"/>
      <c r="GS743" s="4"/>
      <c r="GT743" s="4"/>
      <c r="GU743" s="4"/>
      <c r="GV743" s="4"/>
      <c r="GW743" s="4"/>
      <c r="GX743" s="4"/>
    </row>
    <row r="744">
      <c r="A744" s="2" t="s">
        <v>4587</v>
      </c>
      <c r="B744" s="2" t="s">
        <v>278</v>
      </c>
      <c r="C744" s="2" t="s">
        <v>2227</v>
      </c>
      <c r="D744" s="2" t="s">
        <v>280</v>
      </c>
      <c r="E744" s="2" t="s">
        <v>281</v>
      </c>
      <c r="F744" s="2" t="s">
        <v>4456</v>
      </c>
      <c r="G744" s="2" t="s">
        <v>4456</v>
      </c>
      <c r="H744" s="2" t="s">
        <v>4456</v>
      </c>
      <c r="I744" s="2" t="s">
        <v>283</v>
      </c>
      <c r="J744" s="2" t="s">
        <v>384</v>
      </c>
      <c r="K744" s="2" t="s">
        <v>432</v>
      </c>
      <c r="L744" s="3">
        <v>31.85</v>
      </c>
      <c r="M744" s="3">
        <v>33.44</v>
      </c>
      <c r="N744" s="3">
        <v>64.99</v>
      </c>
      <c r="O744" s="2" t="s">
        <v>224</v>
      </c>
      <c r="P744" s="2" t="s">
        <v>225</v>
      </c>
      <c r="Q744" s="2" t="s">
        <v>226</v>
      </c>
      <c r="R744" s="2" t="s">
        <v>227</v>
      </c>
      <c r="S744" s="2" t="s">
        <v>4574</v>
      </c>
      <c r="T744" s="2" t="s">
        <v>2807</v>
      </c>
      <c r="U744" s="2" t="s">
        <v>287</v>
      </c>
      <c r="V744" s="2" t="s">
        <v>230</v>
      </c>
      <c r="W744" s="2" t="s">
        <v>231</v>
      </c>
      <c r="X744" s="2" t="s">
        <v>836</v>
      </c>
      <c r="Y744" s="2" t="s">
        <v>232</v>
      </c>
      <c r="Z744" s="4">
        <v>174</v>
      </c>
      <c r="AA744" s="4">
        <f>=ROUNDDOWN(19.3333333333333,0)</f>
      </c>
      <c r="AB744" s="5">
        <v>9</v>
      </c>
      <c r="AC744" s="2" t="s">
        <v>732</v>
      </c>
      <c r="AD744" s="4">
        <v>60</v>
      </c>
      <c r="AE744" s="4">
        <v>120</v>
      </c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227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227</v>
      </c>
      <c r="AW744" s="8" t="s">
        <v>227</v>
      </c>
      <c r="AX744" s="4" t="s">
        <v>227</v>
      </c>
      <c r="AY744" s="8" t="s">
        <v>227</v>
      </c>
      <c r="AZ744" s="7" t="s">
        <v>227</v>
      </c>
      <c r="BA744" s="7" t="s">
        <v>227</v>
      </c>
      <c r="BB744" s="7"/>
      <c r="BC744" s="4" t="s">
        <v>227</v>
      </c>
      <c r="BD744" s="8" t="s">
        <v>227</v>
      </c>
      <c r="BE744" s="4" t="s">
        <v>227</v>
      </c>
      <c r="BF744" s="8" t="s">
        <v>227</v>
      </c>
      <c r="BG744" s="7" t="s">
        <v>227</v>
      </c>
      <c r="BH744" s="7" t="s">
        <v>227</v>
      </c>
      <c r="BI744" s="7"/>
      <c r="BJ744" s="4">
        <v>15</v>
      </c>
      <c r="BK744" s="8">
        <v>507.5</v>
      </c>
      <c r="BL744" s="2" t="s">
        <v>4510</v>
      </c>
      <c r="BM744" s="7"/>
      <c r="BN744" s="7"/>
      <c r="BO744" s="4"/>
      <c r="BP744" s="8"/>
      <c r="BQ744" s="4"/>
      <c r="BR744" s="8"/>
      <c r="BS744" s="7"/>
      <c r="BT744" s="7"/>
      <c r="BU744" s="2" t="s">
        <v>4588</v>
      </c>
      <c r="BV744" s="2" t="s">
        <v>227</v>
      </c>
      <c r="BW744" s="2" t="s">
        <v>227</v>
      </c>
      <c r="BX744" s="2" t="s">
        <v>235</v>
      </c>
      <c r="BY744" s="2" t="s">
        <v>236</v>
      </c>
      <c r="BZ744" s="2" t="s">
        <v>224</v>
      </c>
      <c r="CA744" s="2" t="s">
        <v>237</v>
      </c>
      <c r="CB744" s="2" t="s">
        <v>4589</v>
      </c>
      <c r="CC744" s="2" t="s">
        <v>239</v>
      </c>
      <c r="CD744" s="2" t="s">
        <v>227</v>
      </c>
      <c r="CE744" s="4">
        <v>174</v>
      </c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>
        <v>60</v>
      </c>
      <c r="EG744" s="4"/>
      <c r="EH744" s="4"/>
      <c r="EI744" s="4"/>
      <c r="EJ744" s="4"/>
      <c r="EK744" s="4"/>
      <c r="EL744" s="4"/>
      <c r="EM744" s="4"/>
      <c r="EN744" s="4"/>
      <c r="EO744" s="4"/>
      <c r="EP744" s="4"/>
      <c r="EQ744" s="4"/>
      <c r="ER744" s="4"/>
      <c r="ES744" s="4"/>
      <c r="ET744" s="4">
        <v>60</v>
      </c>
      <c r="EU744" s="4"/>
      <c r="EV744" s="4"/>
      <c r="EW744" s="4"/>
      <c r="EX744" s="4"/>
      <c r="EY744" s="4"/>
      <c r="EZ744" s="4"/>
      <c r="FA744" s="4"/>
      <c r="FB744" s="4"/>
      <c r="FC744" s="4"/>
      <c r="FD744" s="4"/>
      <c r="FE744" s="4"/>
      <c r="FF744" s="4"/>
      <c r="FG744" s="4"/>
      <c r="FH744" s="4"/>
      <c r="FI744" s="4"/>
      <c r="FJ744" s="4"/>
      <c r="FK744" s="4"/>
      <c r="FL744" s="4"/>
      <c r="FM744" s="4"/>
      <c r="FN744" s="4"/>
      <c r="FO744" s="4"/>
      <c r="FP744" s="4"/>
      <c r="FQ744" s="4"/>
      <c r="FR744" s="4"/>
      <c r="FS744" s="4"/>
      <c r="FT744" s="4"/>
      <c r="FU744" s="4"/>
      <c r="FV744" s="4"/>
      <c r="FW744" s="4"/>
      <c r="FX744" s="4"/>
      <c r="FY744" s="4"/>
      <c r="FZ744" s="4"/>
      <c r="GA744" s="4"/>
      <c r="GB744" s="4"/>
      <c r="GC744" s="4"/>
      <c r="GD744" s="4"/>
      <c r="GE744" s="4"/>
      <c r="GF744" s="4"/>
      <c r="GG744" s="4"/>
      <c r="GH744" s="4"/>
      <c r="GI744" s="4"/>
      <c r="GJ744" s="4"/>
      <c r="GK744" s="4"/>
      <c r="GL744" s="4"/>
      <c r="GM744" s="4"/>
      <c r="GN744" s="4"/>
      <c r="GO744" s="4"/>
      <c r="GP744" s="4"/>
      <c r="GQ744" s="4"/>
      <c r="GR744" s="4"/>
      <c r="GS744" s="4"/>
      <c r="GT744" s="4"/>
      <c r="GU744" s="4"/>
      <c r="GV744" s="4"/>
      <c r="GW744" s="4"/>
      <c r="GX744" s="4"/>
    </row>
    <row r="745">
      <c r="A745" s="2" t="s">
        <v>4590</v>
      </c>
      <c r="B745" s="2" t="s">
        <v>278</v>
      </c>
      <c r="C745" s="2" t="s">
        <v>2227</v>
      </c>
      <c r="D745" s="2" t="s">
        <v>280</v>
      </c>
      <c r="E745" s="2" t="s">
        <v>281</v>
      </c>
      <c r="F745" s="2" t="s">
        <v>4456</v>
      </c>
      <c r="G745" s="2" t="s">
        <v>4456</v>
      </c>
      <c r="H745" s="2" t="s">
        <v>4456</v>
      </c>
      <c r="I745" s="2" t="s">
        <v>283</v>
      </c>
      <c r="J745" s="2" t="s">
        <v>222</v>
      </c>
      <c r="K745" s="2" t="s">
        <v>657</v>
      </c>
      <c r="L745" s="3">
        <v>21.62</v>
      </c>
      <c r="M745" s="3">
        <v>22.7</v>
      </c>
      <c r="N745" s="3">
        <v>46.99</v>
      </c>
      <c r="O745" s="2" t="s">
        <v>224</v>
      </c>
      <c r="P745" s="2" t="s">
        <v>225</v>
      </c>
      <c r="Q745" s="2" t="s">
        <v>226</v>
      </c>
      <c r="R745" s="2" t="s">
        <v>227</v>
      </c>
      <c r="S745" s="2" t="s">
        <v>4591</v>
      </c>
      <c r="T745" s="2" t="s">
        <v>2807</v>
      </c>
      <c r="U745" s="2" t="s">
        <v>674</v>
      </c>
      <c r="V745" s="2" t="s">
        <v>230</v>
      </c>
      <c r="W745" s="2" t="s">
        <v>231</v>
      </c>
      <c r="X745" s="2" t="s">
        <v>836</v>
      </c>
      <c r="Y745" s="2" t="s">
        <v>4458</v>
      </c>
      <c r="Z745" s="4">
        <v>346</v>
      </c>
      <c r="AA745" s="4">
        <f>=ROUNDDOWN(21.625,0)</f>
      </c>
      <c r="AB745" s="5">
        <v>16</v>
      </c>
      <c r="AC745" s="2" t="s">
        <v>732</v>
      </c>
      <c r="AD745" s="4">
        <v>70</v>
      </c>
      <c r="AE745" s="4">
        <v>170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227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227</v>
      </c>
      <c r="AW745" s="8" t="s">
        <v>227</v>
      </c>
      <c r="AX745" s="4" t="s">
        <v>227</v>
      </c>
      <c r="AY745" s="8" t="s">
        <v>227</v>
      </c>
      <c r="AZ745" s="7" t="s">
        <v>227</v>
      </c>
      <c r="BA745" s="7" t="s">
        <v>227</v>
      </c>
      <c r="BB745" s="7"/>
      <c r="BC745" s="4" t="s">
        <v>227</v>
      </c>
      <c r="BD745" s="8" t="s">
        <v>227</v>
      </c>
      <c r="BE745" s="4" t="s">
        <v>227</v>
      </c>
      <c r="BF745" s="8" t="s">
        <v>227</v>
      </c>
      <c r="BG745" s="7" t="s">
        <v>227</v>
      </c>
      <c r="BH745" s="7" t="s">
        <v>227</v>
      </c>
      <c r="BI745" s="7"/>
      <c r="BJ745" s="4">
        <v>9</v>
      </c>
      <c r="BK745" s="8">
        <v>214.88</v>
      </c>
      <c r="BL745" s="2" t="s">
        <v>2107</v>
      </c>
      <c r="BM745" s="7"/>
      <c r="BN745" s="7"/>
      <c r="BO745" s="4"/>
      <c r="BP745" s="8"/>
      <c r="BQ745" s="4"/>
      <c r="BR745" s="8"/>
      <c r="BS745" s="7"/>
      <c r="BT745" s="7"/>
      <c r="BU745" s="2" t="s">
        <v>4592</v>
      </c>
      <c r="BV745" s="2" t="s">
        <v>227</v>
      </c>
      <c r="BW745" s="2" t="s">
        <v>227</v>
      </c>
      <c r="BX745" s="2" t="s">
        <v>235</v>
      </c>
      <c r="BY745" s="2" t="s">
        <v>236</v>
      </c>
      <c r="BZ745" s="2" t="s">
        <v>224</v>
      </c>
      <c r="CA745" s="2" t="s">
        <v>4460</v>
      </c>
      <c r="CB745" s="2" t="s">
        <v>4593</v>
      </c>
      <c r="CC745" s="2" t="s">
        <v>239</v>
      </c>
      <c r="CD745" s="2" t="s">
        <v>227</v>
      </c>
      <c r="CE745" s="4">
        <v>346</v>
      </c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>
        <v>70</v>
      </c>
      <c r="EG745" s="4"/>
      <c r="EH745" s="4"/>
      <c r="EI745" s="4"/>
      <c r="EJ745" s="4"/>
      <c r="EK745" s="4"/>
      <c r="EL745" s="4"/>
      <c r="EM745" s="4"/>
      <c r="EN745" s="4"/>
      <c r="EO745" s="4"/>
      <c r="EP745" s="4"/>
      <c r="EQ745" s="4"/>
      <c r="ER745" s="4"/>
      <c r="ES745" s="4"/>
      <c r="ET745" s="4">
        <v>100</v>
      </c>
      <c r="EU745" s="4"/>
      <c r="EV745" s="4"/>
      <c r="EW745" s="4"/>
      <c r="EX745" s="4"/>
      <c r="EY745" s="4"/>
      <c r="EZ745" s="4"/>
      <c r="FA745" s="4"/>
      <c r="FB745" s="4"/>
      <c r="FC745" s="4"/>
      <c r="FD745" s="4"/>
      <c r="FE745" s="4"/>
      <c r="FF745" s="4"/>
      <c r="FG745" s="4"/>
      <c r="FH745" s="4"/>
      <c r="FI745" s="4"/>
      <c r="FJ745" s="4"/>
      <c r="FK745" s="4"/>
      <c r="FL745" s="4"/>
      <c r="FM745" s="4"/>
      <c r="FN745" s="4"/>
      <c r="FO745" s="4"/>
      <c r="FP745" s="4"/>
      <c r="FQ745" s="4"/>
      <c r="FR745" s="4"/>
      <c r="FS745" s="4"/>
      <c r="FT745" s="4"/>
      <c r="FU745" s="4"/>
      <c r="FV745" s="4"/>
      <c r="FW745" s="4"/>
      <c r="FX745" s="4"/>
      <c r="FY745" s="4"/>
      <c r="FZ745" s="4"/>
      <c r="GA745" s="4"/>
      <c r="GB745" s="4"/>
      <c r="GC745" s="4"/>
      <c r="GD745" s="4"/>
      <c r="GE745" s="4"/>
      <c r="GF745" s="4"/>
      <c r="GG745" s="4"/>
      <c r="GH745" s="4"/>
      <c r="GI745" s="4"/>
      <c r="GJ745" s="4"/>
      <c r="GK745" s="4"/>
      <c r="GL745" s="4"/>
      <c r="GM745" s="4"/>
      <c r="GN745" s="4"/>
      <c r="GO745" s="4"/>
      <c r="GP745" s="4"/>
      <c r="GQ745" s="4"/>
      <c r="GR745" s="4"/>
      <c r="GS745" s="4"/>
      <c r="GT745" s="4"/>
      <c r="GU745" s="4"/>
      <c r="GV745" s="4"/>
      <c r="GW745" s="4"/>
      <c r="GX745" s="4"/>
    </row>
    <row r="746">
      <c r="A746" s="2" t="s">
        <v>4594</v>
      </c>
      <c r="B746" s="2" t="s">
        <v>278</v>
      </c>
      <c r="C746" s="2" t="s">
        <v>2227</v>
      </c>
      <c r="D746" s="2" t="s">
        <v>280</v>
      </c>
      <c r="E746" s="2" t="s">
        <v>281</v>
      </c>
      <c r="F746" s="2" t="s">
        <v>4456</v>
      </c>
      <c r="G746" s="2" t="s">
        <v>4456</v>
      </c>
      <c r="H746" s="2" t="s">
        <v>4456</v>
      </c>
      <c r="I746" s="2" t="s">
        <v>283</v>
      </c>
      <c r="J746" s="2" t="s">
        <v>247</v>
      </c>
      <c r="K746" s="2" t="s">
        <v>657</v>
      </c>
      <c r="L746" s="3">
        <v>25.3</v>
      </c>
      <c r="M746" s="3">
        <v>26.56</v>
      </c>
      <c r="N746" s="3">
        <v>54.99</v>
      </c>
      <c r="O746" s="2" t="s">
        <v>224</v>
      </c>
      <c r="P746" s="2" t="s">
        <v>485</v>
      </c>
      <c r="Q746" s="2" t="s">
        <v>226</v>
      </c>
      <c r="R746" s="2" t="s">
        <v>227</v>
      </c>
      <c r="S746" s="2" t="s">
        <v>4591</v>
      </c>
      <c r="T746" s="2" t="s">
        <v>2807</v>
      </c>
      <c r="U746" s="2" t="s">
        <v>287</v>
      </c>
      <c r="V746" s="2" t="s">
        <v>230</v>
      </c>
      <c r="W746" s="2" t="s">
        <v>231</v>
      </c>
      <c r="X746" s="2" t="s">
        <v>836</v>
      </c>
      <c r="Y746" s="2" t="s">
        <v>4595</v>
      </c>
      <c r="Z746" s="4">
        <v>311</v>
      </c>
      <c r="AA746" s="4">
        <f>=ROUNDDOWN(19.4375,0)</f>
      </c>
      <c r="AB746" s="5">
        <v>16</v>
      </c>
      <c r="AC746" s="2" t="s">
        <v>732</v>
      </c>
      <c r="AD746" s="4">
        <v>90</v>
      </c>
      <c r="AE746" s="4">
        <v>210</v>
      </c>
      <c r="AF746" s="6">
        <v>65</v>
      </c>
      <c r="AG746" s="6"/>
      <c r="AH746" s="7">
        <v>1</v>
      </c>
      <c r="AI746" s="4"/>
      <c r="AJ746" s="4">
        <f>=ROUNDDOWN({0},0)</f>
      </c>
      <c r="AK746" s="5"/>
      <c r="AL746" s="2" t="s">
        <v>227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227</v>
      </c>
      <c r="AW746" s="8" t="s">
        <v>227</v>
      </c>
      <c r="AX746" s="4" t="s">
        <v>227</v>
      </c>
      <c r="AY746" s="8" t="s">
        <v>227</v>
      </c>
      <c r="AZ746" s="7" t="s">
        <v>227</v>
      </c>
      <c r="BA746" s="7" t="s">
        <v>227</v>
      </c>
      <c r="BB746" s="7"/>
      <c r="BC746" s="4" t="s">
        <v>227</v>
      </c>
      <c r="BD746" s="8" t="s">
        <v>227</v>
      </c>
      <c r="BE746" s="4" t="s">
        <v>227</v>
      </c>
      <c r="BF746" s="8" t="s">
        <v>227</v>
      </c>
      <c r="BG746" s="7" t="s">
        <v>227</v>
      </c>
      <c r="BH746" s="7" t="s">
        <v>227</v>
      </c>
      <c r="BI746" s="7"/>
      <c r="BJ746" s="4">
        <v>39</v>
      </c>
      <c r="BK746" s="8">
        <v>1086.41</v>
      </c>
      <c r="BL746" s="2" t="s">
        <v>1728</v>
      </c>
      <c r="BM746" s="7"/>
      <c r="BN746" s="7"/>
      <c r="BO746" s="4"/>
      <c r="BP746" s="8"/>
      <c r="BQ746" s="4"/>
      <c r="BR746" s="8"/>
      <c r="BS746" s="7"/>
      <c r="BT746" s="7"/>
      <c r="BU746" s="2" t="s">
        <v>4596</v>
      </c>
      <c r="BV746" s="2" t="s">
        <v>227</v>
      </c>
      <c r="BW746" s="2" t="s">
        <v>227</v>
      </c>
      <c r="BX746" s="2" t="s">
        <v>235</v>
      </c>
      <c r="BY746" s="2" t="s">
        <v>236</v>
      </c>
      <c r="BZ746" s="2" t="s">
        <v>224</v>
      </c>
      <c r="CA746" s="2" t="s">
        <v>4597</v>
      </c>
      <c r="CB746" s="2" t="s">
        <v>4598</v>
      </c>
      <c r="CC746" s="2" t="s">
        <v>239</v>
      </c>
      <c r="CD746" s="2" t="s">
        <v>227</v>
      </c>
      <c r="CE746" s="4">
        <v>311</v>
      </c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>
        <v>90</v>
      </c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/>
      <c r="ES746" s="4"/>
      <c r="ET746" s="4">
        <v>120</v>
      </c>
      <c r="EU746" s="4"/>
      <c r="EV746" s="4"/>
      <c r="EW746" s="4"/>
      <c r="EX746" s="4"/>
      <c r="EY746" s="4"/>
      <c r="EZ746" s="4"/>
      <c r="FA746" s="4"/>
      <c r="FB746" s="4"/>
      <c r="FC746" s="4"/>
      <c r="FD746" s="4"/>
      <c r="FE746" s="4"/>
      <c r="FF746" s="4"/>
      <c r="FG746" s="4"/>
      <c r="FH746" s="4"/>
      <c r="FI746" s="4"/>
      <c r="FJ746" s="4"/>
      <c r="FK746" s="4"/>
      <c r="FL746" s="4"/>
      <c r="FM746" s="4"/>
      <c r="FN746" s="4"/>
      <c r="FO746" s="4"/>
      <c r="FP746" s="4"/>
      <c r="FQ746" s="4"/>
      <c r="FR746" s="4"/>
      <c r="FS746" s="4"/>
      <c r="FT746" s="4"/>
      <c r="FU746" s="4"/>
      <c r="FV746" s="4"/>
      <c r="FW746" s="4"/>
      <c r="FX746" s="4"/>
      <c r="FY746" s="4"/>
      <c r="FZ746" s="4"/>
      <c r="GA746" s="4"/>
      <c r="GB746" s="4"/>
      <c r="GC746" s="4"/>
      <c r="GD746" s="4"/>
      <c r="GE746" s="4"/>
      <c r="GF746" s="4"/>
      <c r="GG746" s="4"/>
      <c r="GH746" s="4"/>
      <c r="GI746" s="4"/>
      <c r="GJ746" s="4"/>
      <c r="GK746" s="4"/>
      <c r="GL746" s="4"/>
      <c r="GM746" s="4"/>
      <c r="GN746" s="4"/>
      <c r="GO746" s="4"/>
      <c r="GP746" s="4"/>
      <c r="GQ746" s="4"/>
      <c r="GR746" s="4"/>
      <c r="GS746" s="4"/>
      <c r="GT746" s="4"/>
      <c r="GU746" s="4"/>
      <c r="GV746" s="4"/>
      <c r="GW746" s="4"/>
      <c r="GX746" s="4"/>
    </row>
    <row r="747">
      <c r="A747" s="2" t="s">
        <v>4599</v>
      </c>
      <c r="B747" s="2" t="s">
        <v>278</v>
      </c>
      <c r="C747" s="2" t="s">
        <v>2227</v>
      </c>
      <c r="D747" s="2" t="s">
        <v>280</v>
      </c>
      <c r="E747" s="2" t="s">
        <v>281</v>
      </c>
      <c r="F747" s="2" t="s">
        <v>4456</v>
      </c>
      <c r="G747" s="2" t="s">
        <v>4456</v>
      </c>
      <c r="H747" s="2" t="s">
        <v>4456</v>
      </c>
      <c r="I747" s="2" t="s">
        <v>283</v>
      </c>
      <c r="J747" s="2" t="s">
        <v>252</v>
      </c>
      <c r="K747" s="2" t="s">
        <v>657</v>
      </c>
      <c r="L747" s="3">
        <v>28.2</v>
      </c>
      <c r="M747" s="3">
        <v>29.61</v>
      </c>
      <c r="N747" s="3">
        <v>59.99</v>
      </c>
      <c r="O747" s="2" t="s">
        <v>224</v>
      </c>
      <c r="P747" s="2" t="s">
        <v>550</v>
      </c>
      <c r="Q747" s="2" t="s">
        <v>226</v>
      </c>
      <c r="R747" s="2" t="s">
        <v>227</v>
      </c>
      <c r="S747" s="2" t="s">
        <v>4591</v>
      </c>
      <c r="T747" s="2" t="s">
        <v>2807</v>
      </c>
      <c r="U747" s="2" t="s">
        <v>287</v>
      </c>
      <c r="V747" s="2" t="s">
        <v>230</v>
      </c>
      <c r="W747" s="2" t="s">
        <v>231</v>
      </c>
      <c r="X747" s="2" t="s">
        <v>836</v>
      </c>
      <c r="Y747" s="2" t="s">
        <v>4595</v>
      </c>
      <c r="Z747" s="4">
        <v>585</v>
      </c>
      <c r="AA747" s="4">
        <f>=ROUNDDOWN(15.3947368421053,0)</f>
      </c>
      <c r="AB747" s="5">
        <v>38</v>
      </c>
      <c r="AC747" s="2" t="s">
        <v>732</v>
      </c>
      <c r="AD747" s="4">
        <v>230</v>
      </c>
      <c r="AE747" s="4">
        <v>490</v>
      </c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227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227</v>
      </c>
      <c r="AW747" s="8" t="s">
        <v>227</v>
      </c>
      <c r="AX747" s="4" t="s">
        <v>227</v>
      </c>
      <c r="AY747" s="8" t="s">
        <v>227</v>
      </c>
      <c r="AZ747" s="7" t="s">
        <v>227</v>
      </c>
      <c r="BA747" s="7" t="s">
        <v>227</v>
      </c>
      <c r="BB747" s="7"/>
      <c r="BC747" s="4" t="s">
        <v>227</v>
      </c>
      <c r="BD747" s="8" t="s">
        <v>227</v>
      </c>
      <c r="BE747" s="4" t="s">
        <v>227</v>
      </c>
      <c r="BF747" s="8" t="s">
        <v>227</v>
      </c>
      <c r="BG747" s="7" t="s">
        <v>227</v>
      </c>
      <c r="BH747" s="7" t="s">
        <v>227</v>
      </c>
      <c r="BI747" s="7"/>
      <c r="BJ747" s="4">
        <v>34</v>
      </c>
      <c r="BK747" s="8">
        <v>1053.58</v>
      </c>
      <c r="BL747" s="2" t="s">
        <v>4477</v>
      </c>
      <c r="BM747" s="7"/>
      <c r="BN747" s="7"/>
      <c r="BO747" s="4"/>
      <c r="BP747" s="8"/>
      <c r="BQ747" s="4"/>
      <c r="BR747" s="8"/>
      <c r="BS747" s="7"/>
      <c r="BT747" s="7"/>
      <c r="BU747" s="2" t="s">
        <v>4600</v>
      </c>
      <c r="BV747" s="2" t="s">
        <v>227</v>
      </c>
      <c r="BW747" s="2" t="s">
        <v>227</v>
      </c>
      <c r="BX747" s="2" t="s">
        <v>235</v>
      </c>
      <c r="BY747" s="2" t="s">
        <v>236</v>
      </c>
      <c r="BZ747" s="2" t="s">
        <v>224</v>
      </c>
      <c r="CA747" s="2" t="s">
        <v>4595</v>
      </c>
      <c r="CB747" s="2" t="s">
        <v>4601</v>
      </c>
      <c r="CC747" s="2" t="s">
        <v>239</v>
      </c>
      <c r="CD747" s="2" t="s">
        <v>227</v>
      </c>
      <c r="CE747" s="4">
        <v>585</v>
      </c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>
        <v>230</v>
      </c>
      <c r="EG747" s="4"/>
      <c r="EH747" s="4"/>
      <c r="EI747" s="4"/>
      <c r="EJ747" s="4"/>
      <c r="EK747" s="4"/>
      <c r="EL747" s="4"/>
      <c r="EM747" s="4"/>
      <c r="EN747" s="4"/>
      <c r="EO747" s="4"/>
      <c r="EP747" s="4"/>
      <c r="EQ747" s="4"/>
      <c r="ER747" s="4"/>
      <c r="ES747" s="4"/>
      <c r="ET747" s="4">
        <v>260</v>
      </c>
      <c r="EU747" s="4"/>
      <c r="EV747" s="4"/>
      <c r="EW747" s="4"/>
      <c r="EX747" s="4"/>
      <c r="EY747" s="4"/>
      <c r="EZ747" s="4"/>
      <c r="FA747" s="4"/>
      <c r="FB747" s="4"/>
      <c r="FC747" s="4"/>
      <c r="FD747" s="4"/>
      <c r="FE747" s="4"/>
      <c r="FF747" s="4"/>
      <c r="FG747" s="4"/>
      <c r="FH747" s="4"/>
      <c r="FI747" s="4"/>
      <c r="FJ747" s="4"/>
      <c r="FK747" s="4"/>
      <c r="FL747" s="4"/>
      <c r="FM747" s="4"/>
      <c r="FN747" s="4"/>
      <c r="FO747" s="4"/>
      <c r="FP747" s="4"/>
      <c r="FQ747" s="4"/>
      <c r="FR747" s="4"/>
      <c r="FS747" s="4"/>
      <c r="FT747" s="4"/>
      <c r="FU747" s="4"/>
      <c r="FV747" s="4"/>
      <c r="FW747" s="4"/>
      <c r="FX747" s="4"/>
      <c r="FY747" s="4"/>
      <c r="FZ747" s="4"/>
      <c r="GA747" s="4"/>
      <c r="GB747" s="4"/>
      <c r="GC747" s="4"/>
      <c r="GD747" s="4"/>
      <c r="GE747" s="4"/>
      <c r="GF747" s="4"/>
      <c r="GG747" s="4"/>
      <c r="GH747" s="4"/>
      <c r="GI747" s="4"/>
      <c r="GJ747" s="4"/>
      <c r="GK747" s="4"/>
      <c r="GL747" s="4"/>
      <c r="GM747" s="4"/>
      <c r="GN747" s="4"/>
      <c r="GO747" s="4"/>
      <c r="GP747" s="4"/>
      <c r="GQ747" s="4"/>
      <c r="GR747" s="4"/>
      <c r="GS747" s="4"/>
      <c r="GT747" s="4"/>
      <c r="GU747" s="4"/>
      <c r="GV747" s="4"/>
      <c r="GW747" s="4"/>
      <c r="GX747" s="4"/>
    </row>
    <row r="748">
      <c r="A748" s="2" t="s">
        <v>4602</v>
      </c>
      <c r="B748" s="2" t="s">
        <v>278</v>
      </c>
      <c r="C748" s="2" t="s">
        <v>2227</v>
      </c>
      <c r="D748" s="2" t="s">
        <v>280</v>
      </c>
      <c r="E748" s="2" t="s">
        <v>281</v>
      </c>
      <c r="F748" s="2" t="s">
        <v>4456</v>
      </c>
      <c r="G748" s="2" t="s">
        <v>4456</v>
      </c>
      <c r="H748" s="2" t="s">
        <v>4456</v>
      </c>
      <c r="I748" s="2" t="s">
        <v>283</v>
      </c>
      <c r="J748" s="2" t="s">
        <v>384</v>
      </c>
      <c r="K748" s="2" t="s">
        <v>657</v>
      </c>
      <c r="L748" s="3">
        <v>31.85</v>
      </c>
      <c r="M748" s="3">
        <v>33.44</v>
      </c>
      <c r="N748" s="3">
        <v>64.99</v>
      </c>
      <c r="O748" s="2" t="s">
        <v>224</v>
      </c>
      <c r="P748" s="2" t="s">
        <v>225</v>
      </c>
      <c r="Q748" s="2" t="s">
        <v>226</v>
      </c>
      <c r="R748" s="2" t="s">
        <v>227</v>
      </c>
      <c r="S748" s="2" t="s">
        <v>4591</v>
      </c>
      <c r="T748" s="2" t="s">
        <v>2807</v>
      </c>
      <c r="U748" s="2" t="s">
        <v>287</v>
      </c>
      <c r="V748" s="2" t="s">
        <v>230</v>
      </c>
      <c r="W748" s="2" t="s">
        <v>231</v>
      </c>
      <c r="X748" s="2" t="s">
        <v>836</v>
      </c>
      <c r="Y748" s="2" t="s">
        <v>4458</v>
      </c>
      <c r="Z748" s="4">
        <v>159</v>
      </c>
      <c r="AA748" s="4">
        <f>=ROUNDDOWN(22.7142857142857,0)</f>
      </c>
      <c r="AB748" s="5">
        <v>7</v>
      </c>
      <c r="AC748" s="2" t="s">
        <v>732</v>
      </c>
      <c r="AD748" s="4">
        <v>40</v>
      </c>
      <c r="AE748" s="4">
        <v>90</v>
      </c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227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227</v>
      </c>
      <c r="AW748" s="8" t="s">
        <v>227</v>
      </c>
      <c r="AX748" s="4" t="s">
        <v>227</v>
      </c>
      <c r="AY748" s="8" t="s">
        <v>227</v>
      </c>
      <c r="AZ748" s="7" t="s">
        <v>227</v>
      </c>
      <c r="BA748" s="7" t="s">
        <v>227</v>
      </c>
      <c r="BB748" s="7"/>
      <c r="BC748" s="4" t="s">
        <v>227</v>
      </c>
      <c r="BD748" s="8" t="s">
        <v>227</v>
      </c>
      <c r="BE748" s="4" t="s">
        <v>227</v>
      </c>
      <c r="BF748" s="8" t="s">
        <v>227</v>
      </c>
      <c r="BG748" s="7" t="s">
        <v>227</v>
      </c>
      <c r="BH748" s="7" t="s">
        <v>227</v>
      </c>
      <c r="BI748" s="7"/>
      <c r="BJ748" s="4">
        <v>13</v>
      </c>
      <c r="BK748" s="8">
        <v>451.08</v>
      </c>
      <c r="BL748" s="2" t="s">
        <v>295</v>
      </c>
      <c r="BM748" s="7"/>
      <c r="BN748" s="7"/>
      <c r="BO748" s="4"/>
      <c r="BP748" s="8"/>
      <c r="BQ748" s="4"/>
      <c r="BR748" s="8"/>
      <c r="BS748" s="7"/>
      <c r="BT748" s="7"/>
      <c r="BU748" s="2" t="s">
        <v>4603</v>
      </c>
      <c r="BV748" s="2" t="s">
        <v>227</v>
      </c>
      <c r="BW748" s="2" t="s">
        <v>227</v>
      </c>
      <c r="BX748" s="2" t="s">
        <v>235</v>
      </c>
      <c r="BY748" s="2" t="s">
        <v>236</v>
      </c>
      <c r="BZ748" s="2" t="s">
        <v>224</v>
      </c>
      <c r="CA748" s="2" t="s">
        <v>4460</v>
      </c>
      <c r="CB748" s="2" t="s">
        <v>4604</v>
      </c>
      <c r="CC748" s="2" t="s">
        <v>239</v>
      </c>
      <c r="CD748" s="2" t="s">
        <v>227</v>
      </c>
      <c r="CE748" s="4">
        <v>159</v>
      </c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>
        <v>40</v>
      </c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>
        <v>50</v>
      </c>
      <c r="EU748" s="4"/>
      <c r="EV748" s="4"/>
      <c r="EW748" s="4"/>
      <c r="EX748" s="4"/>
      <c r="EY748" s="4"/>
      <c r="EZ748" s="4"/>
      <c r="FA748" s="4"/>
      <c r="FB748" s="4"/>
      <c r="FC748" s="4"/>
      <c r="FD748" s="4"/>
      <c r="FE748" s="4"/>
      <c r="FF748" s="4"/>
      <c r="FG748" s="4"/>
      <c r="FH748" s="4"/>
      <c r="FI748" s="4"/>
      <c r="FJ748" s="4"/>
      <c r="FK748" s="4"/>
      <c r="FL748" s="4"/>
      <c r="FM748" s="4"/>
      <c r="FN748" s="4"/>
      <c r="FO748" s="4"/>
      <c r="FP748" s="4"/>
      <c r="FQ748" s="4"/>
      <c r="FR748" s="4"/>
      <c r="FS748" s="4"/>
      <c r="FT748" s="4"/>
      <c r="FU748" s="4"/>
      <c r="FV748" s="4"/>
      <c r="FW748" s="4"/>
      <c r="FX748" s="4"/>
      <c r="FY748" s="4"/>
      <c r="FZ748" s="4"/>
      <c r="GA748" s="4"/>
      <c r="GB748" s="4"/>
      <c r="GC748" s="4"/>
      <c r="GD748" s="4"/>
      <c r="GE748" s="4"/>
      <c r="GF748" s="4"/>
      <c r="GG748" s="4"/>
      <c r="GH748" s="4"/>
      <c r="GI748" s="4"/>
      <c r="GJ748" s="4"/>
      <c r="GK748" s="4"/>
      <c r="GL748" s="4"/>
      <c r="GM748" s="4"/>
      <c r="GN748" s="4"/>
      <c r="GO748" s="4"/>
      <c r="GP748" s="4"/>
      <c r="GQ748" s="4"/>
      <c r="GR748" s="4"/>
      <c r="GS748" s="4"/>
      <c r="GT748" s="4"/>
      <c r="GU748" s="4"/>
      <c r="GV748" s="4"/>
      <c r="GW748" s="4"/>
      <c r="GX748" s="4"/>
    </row>
    <row r="749">
      <c r="A749" s="2" t="s">
        <v>4605</v>
      </c>
      <c r="B749" s="2" t="s">
        <v>278</v>
      </c>
      <c r="C749" s="2" t="s">
        <v>2227</v>
      </c>
      <c r="D749" s="2" t="s">
        <v>280</v>
      </c>
      <c r="E749" s="2" t="s">
        <v>281</v>
      </c>
      <c r="F749" s="2" t="s">
        <v>4456</v>
      </c>
      <c r="G749" s="2" t="s">
        <v>4456</v>
      </c>
      <c r="H749" s="2" t="s">
        <v>4456</v>
      </c>
      <c r="I749" s="2" t="s">
        <v>283</v>
      </c>
      <c r="J749" s="2" t="s">
        <v>222</v>
      </c>
      <c r="K749" s="2" t="s">
        <v>762</v>
      </c>
      <c r="L749" s="3">
        <v>21.62</v>
      </c>
      <c r="M749" s="3">
        <v>22.7</v>
      </c>
      <c r="N749" s="3">
        <v>46.99</v>
      </c>
      <c r="O749" s="2" t="s">
        <v>224</v>
      </c>
      <c r="P749" s="2" t="s">
        <v>225</v>
      </c>
      <c r="Q749" s="2" t="s">
        <v>226</v>
      </c>
      <c r="R749" s="2" t="s">
        <v>227</v>
      </c>
      <c r="S749" s="2" t="s">
        <v>4606</v>
      </c>
      <c r="T749" s="2" t="s">
        <v>2807</v>
      </c>
      <c r="U749" s="2" t="s">
        <v>674</v>
      </c>
      <c r="V749" s="2" t="s">
        <v>230</v>
      </c>
      <c r="W749" s="2" t="s">
        <v>231</v>
      </c>
      <c r="X749" s="2" t="s">
        <v>836</v>
      </c>
      <c r="Y749" s="2" t="s">
        <v>232</v>
      </c>
      <c r="Z749" s="4">
        <v>247</v>
      </c>
      <c r="AA749" s="4">
        <f>=ROUNDDOWN(19,0)</f>
      </c>
      <c r="AB749" s="5">
        <v>13</v>
      </c>
      <c r="AC749" s="2" t="s">
        <v>732</v>
      </c>
      <c r="AD749" s="4">
        <v>60</v>
      </c>
      <c r="AE749" s="4">
        <v>140</v>
      </c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227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227</v>
      </c>
      <c r="AW749" s="8" t="s">
        <v>227</v>
      </c>
      <c r="AX749" s="4" t="s">
        <v>227</v>
      </c>
      <c r="AY749" s="8" t="s">
        <v>227</v>
      </c>
      <c r="AZ749" s="7" t="s">
        <v>227</v>
      </c>
      <c r="BA749" s="7" t="s">
        <v>227</v>
      </c>
      <c r="BB749" s="7"/>
      <c r="BC749" s="4" t="s">
        <v>227</v>
      </c>
      <c r="BD749" s="8" t="s">
        <v>227</v>
      </c>
      <c r="BE749" s="4" t="s">
        <v>227</v>
      </c>
      <c r="BF749" s="8" t="s">
        <v>227</v>
      </c>
      <c r="BG749" s="7" t="s">
        <v>227</v>
      </c>
      <c r="BH749" s="7" t="s">
        <v>227</v>
      </c>
      <c r="BI749" s="7"/>
      <c r="BJ749" s="4">
        <v>18</v>
      </c>
      <c r="BK749" s="8">
        <v>424.73</v>
      </c>
      <c r="BL749" s="2" t="s">
        <v>4607</v>
      </c>
      <c r="BM749" s="7"/>
      <c r="BN749" s="7"/>
      <c r="BO749" s="4"/>
      <c r="BP749" s="8"/>
      <c r="BQ749" s="4"/>
      <c r="BR749" s="8"/>
      <c r="BS749" s="7"/>
      <c r="BT749" s="7"/>
      <c r="BU749" s="2" t="s">
        <v>4608</v>
      </c>
      <c r="BV749" s="2" t="s">
        <v>227</v>
      </c>
      <c r="BW749" s="2" t="s">
        <v>227</v>
      </c>
      <c r="BX749" s="2" t="s">
        <v>235</v>
      </c>
      <c r="BY749" s="2" t="s">
        <v>236</v>
      </c>
      <c r="BZ749" s="2" t="s">
        <v>224</v>
      </c>
      <c r="CA749" s="2" t="s">
        <v>237</v>
      </c>
      <c r="CB749" s="2" t="s">
        <v>4609</v>
      </c>
      <c r="CC749" s="2" t="s">
        <v>239</v>
      </c>
      <c r="CD749" s="2" t="s">
        <v>227</v>
      </c>
      <c r="CE749" s="4">
        <v>247</v>
      </c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>
        <v>60</v>
      </c>
      <c r="EG749" s="4"/>
      <c r="EH749" s="4"/>
      <c r="EI749" s="4"/>
      <c r="EJ749" s="4"/>
      <c r="EK749" s="4"/>
      <c r="EL749" s="4"/>
      <c r="EM749" s="4"/>
      <c r="EN749" s="4"/>
      <c r="EO749" s="4"/>
      <c r="EP749" s="4"/>
      <c r="EQ749" s="4"/>
      <c r="ER749" s="4"/>
      <c r="ES749" s="4"/>
      <c r="ET749" s="4">
        <v>80</v>
      </c>
      <c r="EU749" s="4"/>
      <c r="EV749" s="4"/>
      <c r="EW749" s="4"/>
      <c r="EX749" s="4"/>
      <c r="EY749" s="4"/>
      <c r="EZ749" s="4"/>
      <c r="FA749" s="4"/>
      <c r="FB749" s="4"/>
      <c r="FC749" s="4"/>
      <c r="FD749" s="4"/>
      <c r="FE749" s="4"/>
      <c r="FF749" s="4"/>
      <c r="FG749" s="4"/>
      <c r="FH749" s="4"/>
      <c r="FI749" s="4"/>
      <c r="FJ749" s="4"/>
      <c r="FK749" s="4"/>
      <c r="FL749" s="4"/>
      <c r="FM749" s="4"/>
      <c r="FN749" s="4"/>
      <c r="FO749" s="4"/>
      <c r="FP749" s="4"/>
      <c r="FQ749" s="4"/>
      <c r="FR749" s="4"/>
      <c r="FS749" s="4"/>
      <c r="FT749" s="4"/>
      <c r="FU749" s="4"/>
      <c r="FV749" s="4"/>
      <c r="FW749" s="4"/>
      <c r="FX749" s="4"/>
      <c r="FY749" s="4"/>
      <c r="FZ749" s="4"/>
      <c r="GA749" s="4"/>
      <c r="GB749" s="4"/>
      <c r="GC749" s="4"/>
      <c r="GD749" s="4"/>
      <c r="GE749" s="4"/>
      <c r="GF749" s="4"/>
      <c r="GG749" s="4"/>
      <c r="GH749" s="4"/>
      <c r="GI749" s="4"/>
      <c r="GJ749" s="4"/>
      <c r="GK749" s="4"/>
      <c r="GL749" s="4"/>
      <c r="GM749" s="4"/>
      <c r="GN749" s="4"/>
      <c r="GO749" s="4"/>
      <c r="GP749" s="4"/>
      <c r="GQ749" s="4"/>
      <c r="GR749" s="4"/>
      <c r="GS749" s="4"/>
      <c r="GT749" s="4"/>
      <c r="GU749" s="4"/>
      <c r="GV749" s="4"/>
      <c r="GW749" s="4"/>
      <c r="GX749" s="4"/>
    </row>
    <row r="750">
      <c r="A750" s="2" t="s">
        <v>4610</v>
      </c>
      <c r="B750" s="2" t="s">
        <v>278</v>
      </c>
      <c r="C750" s="2" t="s">
        <v>2227</v>
      </c>
      <c r="D750" s="2" t="s">
        <v>280</v>
      </c>
      <c r="E750" s="2" t="s">
        <v>281</v>
      </c>
      <c r="F750" s="2" t="s">
        <v>4456</v>
      </c>
      <c r="G750" s="2" t="s">
        <v>4456</v>
      </c>
      <c r="H750" s="2" t="s">
        <v>4456</v>
      </c>
      <c r="I750" s="2" t="s">
        <v>283</v>
      </c>
      <c r="J750" s="2" t="s">
        <v>241</v>
      </c>
      <c r="K750" s="2" t="s">
        <v>762</v>
      </c>
      <c r="L750" s="3">
        <v>23.04</v>
      </c>
      <c r="M750" s="3">
        <v>24.19</v>
      </c>
      <c r="N750" s="3">
        <v>47.99</v>
      </c>
      <c r="O750" s="2" t="s">
        <v>224</v>
      </c>
      <c r="P750" s="2" t="s">
        <v>225</v>
      </c>
      <c r="Q750" s="2" t="s">
        <v>226</v>
      </c>
      <c r="R750" s="2" t="s">
        <v>227</v>
      </c>
      <c r="S750" s="2" t="s">
        <v>4606</v>
      </c>
      <c r="T750" s="2" t="s">
        <v>2807</v>
      </c>
      <c r="U750" s="2" t="s">
        <v>674</v>
      </c>
      <c r="V750" s="2" t="s">
        <v>230</v>
      </c>
      <c r="W750" s="2" t="s">
        <v>231</v>
      </c>
      <c r="X750" s="2" t="s">
        <v>836</v>
      </c>
      <c r="Y750" s="2" t="s">
        <v>232</v>
      </c>
      <c r="Z750" s="4">
        <v>103</v>
      </c>
      <c r="AA750" s="4">
        <f>=ROUNDDOWN(25.75,0)</f>
      </c>
      <c r="AB750" s="5">
        <v>4</v>
      </c>
      <c r="AC750" s="2" t="s">
        <v>732</v>
      </c>
      <c r="AD750" s="4">
        <v>20</v>
      </c>
      <c r="AE750" s="4">
        <v>50</v>
      </c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227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227</v>
      </c>
      <c r="AW750" s="8" t="s">
        <v>227</v>
      </c>
      <c r="AX750" s="4" t="s">
        <v>227</v>
      </c>
      <c r="AY750" s="8" t="s">
        <v>227</v>
      </c>
      <c r="AZ750" s="7" t="s">
        <v>227</v>
      </c>
      <c r="BA750" s="7" t="s">
        <v>227</v>
      </c>
      <c r="BB750" s="7"/>
      <c r="BC750" s="4" t="s">
        <v>227</v>
      </c>
      <c r="BD750" s="8" t="s">
        <v>227</v>
      </c>
      <c r="BE750" s="4" t="s">
        <v>227</v>
      </c>
      <c r="BF750" s="8" t="s">
        <v>227</v>
      </c>
      <c r="BG750" s="7" t="s">
        <v>227</v>
      </c>
      <c r="BH750" s="7" t="s">
        <v>227</v>
      </c>
      <c r="BI750" s="7"/>
      <c r="BJ750" s="4">
        <v>4</v>
      </c>
      <c r="BK750" s="8">
        <v>101.6</v>
      </c>
      <c r="BL750" s="2" t="s">
        <v>470</v>
      </c>
      <c r="BM750" s="7"/>
      <c r="BN750" s="7"/>
      <c r="BO750" s="4"/>
      <c r="BP750" s="8"/>
      <c r="BQ750" s="4"/>
      <c r="BR750" s="8"/>
      <c r="BS750" s="7"/>
      <c r="BT750" s="7"/>
      <c r="BU750" s="2" t="s">
        <v>4611</v>
      </c>
      <c r="BV750" s="2" t="s">
        <v>227</v>
      </c>
      <c r="BW750" s="2" t="s">
        <v>227</v>
      </c>
      <c r="BX750" s="2" t="s">
        <v>235</v>
      </c>
      <c r="BY750" s="2" t="s">
        <v>236</v>
      </c>
      <c r="BZ750" s="2" t="s">
        <v>224</v>
      </c>
      <c r="CA750" s="2" t="s">
        <v>237</v>
      </c>
      <c r="CB750" s="2" t="s">
        <v>4612</v>
      </c>
      <c r="CC750" s="2" t="s">
        <v>239</v>
      </c>
      <c r="CD750" s="2" t="s">
        <v>227</v>
      </c>
      <c r="CE750" s="4">
        <v>103</v>
      </c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>
        <v>20</v>
      </c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>
        <v>30</v>
      </c>
      <c r="EU750" s="4"/>
      <c r="EV750" s="4"/>
      <c r="EW750" s="4"/>
      <c r="EX750" s="4"/>
      <c r="EY750" s="4"/>
      <c r="EZ750" s="4"/>
      <c r="FA750" s="4"/>
      <c r="FB750" s="4"/>
      <c r="FC750" s="4"/>
      <c r="FD750" s="4"/>
      <c r="FE750" s="4"/>
      <c r="FF750" s="4"/>
      <c r="FG750" s="4"/>
      <c r="FH750" s="4"/>
      <c r="FI750" s="4"/>
      <c r="FJ750" s="4"/>
      <c r="FK750" s="4"/>
      <c r="FL750" s="4"/>
      <c r="FM750" s="4"/>
      <c r="FN750" s="4"/>
      <c r="FO750" s="4"/>
      <c r="FP750" s="4"/>
      <c r="FQ750" s="4"/>
      <c r="FR750" s="4"/>
      <c r="FS750" s="4"/>
      <c r="FT750" s="4"/>
      <c r="FU750" s="4"/>
      <c r="FV750" s="4"/>
      <c r="FW750" s="4"/>
      <c r="FX750" s="4"/>
      <c r="FY750" s="4"/>
      <c r="FZ750" s="4"/>
      <c r="GA750" s="4"/>
      <c r="GB750" s="4"/>
      <c r="GC750" s="4"/>
      <c r="GD750" s="4"/>
      <c r="GE750" s="4"/>
      <c r="GF750" s="4"/>
      <c r="GG750" s="4"/>
      <c r="GH750" s="4"/>
      <c r="GI750" s="4"/>
      <c r="GJ750" s="4"/>
      <c r="GK750" s="4"/>
      <c r="GL750" s="4"/>
      <c r="GM750" s="4"/>
      <c r="GN750" s="4"/>
      <c r="GO750" s="4"/>
      <c r="GP750" s="4"/>
      <c r="GQ750" s="4"/>
      <c r="GR750" s="4"/>
      <c r="GS750" s="4"/>
      <c r="GT750" s="4"/>
      <c r="GU750" s="4"/>
      <c r="GV750" s="4"/>
      <c r="GW750" s="4"/>
      <c r="GX750" s="4"/>
    </row>
    <row r="751">
      <c r="A751" s="2" t="s">
        <v>4613</v>
      </c>
      <c r="B751" s="2" t="s">
        <v>278</v>
      </c>
      <c r="C751" s="2" t="s">
        <v>2227</v>
      </c>
      <c r="D751" s="2" t="s">
        <v>280</v>
      </c>
      <c r="E751" s="2" t="s">
        <v>281</v>
      </c>
      <c r="F751" s="2" t="s">
        <v>4456</v>
      </c>
      <c r="G751" s="2" t="s">
        <v>4456</v>
      </c>
      <c r="H751" s="2" t="s">
        <v>4456</v>
      </c>
      <c r="I751" s="2" t="s">
        <v>283</v>
      </c>
      <c r="J751" s="2" t="s">
        <v>247</v>
      </c>
      <c r="K751" s="2" t="s">
        <v>762</v>
      </c>
      <c r="L751" s="3">
        <v>25.3</v>
      </c>
      <c r="M751" s="3">
        <v>26.56</v>
      </c>
      <c r="N751" s="3">
        <v>54.99</v>
      </c>
      <c r="O751" s="2" t="s">
        <v>224</v>
      </c>
      <c r="P751" s="2" t="s">
        <v>225</v>
      </c>
      <c r="Q751" s="2" t="s">
        <v>226</v>
      </c>
      <c r="R751" s="2" t="s">
        <v>227</v>
      </c>
      <c r="S751" s="2" t="s">
        <v>4606</v>
      </c>
      <c r="T751" s="2" t="s">
        <v>2807</v>
      </c>
      <c r="U751" s="2" t="s">
        <v>287</v>
      </c>
      <c r="V751" s="2" t="s">
        <v>230</v>
      </c>
      <c r="W751" s="2" t="s">
        <v>231</v>
      </c>
      <c r="X751" s="2" t="s">
        <v>836</v>
      </c>
      <c r="Y751" s="2" t="s">
        <v>232</v>
      </c>
      <c r="Z751" s="4">
        <v>163</v>
      </c>
      <c r="AA751" s="4">
        <f>=ROUNDDOWN(27.1666666666667,0)</f>
      </c>
      <c r="AB751" s="5">
        <v>6</v>
      </c>
      <c r="AC751" s="2" t="s">
        <v>732</v>
      </c>
      <c r="AD751" s="4">
        <v>40</v>
      </c>
      <c r="AE751" s="4">
        <v>90</v>
      </c>
      <c r="AF751" s="6">
        <v>65</v>
      </c>
      <c r="AG751" s="6"/>
      <c r="AH751" s="7">
        <v>1</v>
      </c>
      <c r="AI751" s="4"/>
      <c r="AJ751" s="4">
        <f>=ROUNDDOWN({0},0)</f>
      </c>
      <c r="AK751" s="5"/>
      <c r="AL751" s="2" t="s">
        <v>227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227</v>
      </c>
      <c r="AW751" s="8" t="s">
        <v>227</v>
      </c>
      <c r="AX751" s="4" t="s">
        <v>227</v>
      </c>
      <c r="AY751" s="8" t="s">
        <v>227</v>
      </c>
      <c r="AZ751" s="7" t="s">
        <v>227</v>
      </c>
      <c r="BA751" s="7" t="s">
        <v>227</v>
      </c>
      <c r="BB751" s="7"/>
      <c r="BC751" s="4" t="s">
        <v>227</v>
      </c>
      <c r="BD751" s="8" t="s">
        <v>227</v>
      </c>
      <c r="BE751" s="4" t="s">
        <v>227</v>
      </c>
      <c r="BF751" s="8" t="s">
        <v>227</v>
      </c>
      <c r="BG751" s="7" t="s">
        <v>227</v>
      </c>
      <c r="BH751" s="7" t="s">
        <v>227</v>
      </c>
      <c r="BI751" s="7"/>
      <c r="BJ751" s="4">
        <v>3</v>
      </c>
      <c r="BK751" s="8">
        <v>85.77</v>
      </c>
      <c r="BL751" s="2" t="s">
        <v>2339</v>
      </c>
      <c r="BM751" s="7"/>
      <c r="BN751" s="7"/>
      <c r="BO751" s="4"/>
      <c r="BP751" s="8"/>
      <c r="BQ751" s="4"/>
      <c r="BR751" s="8"/>
      <c r="BS751" s="7"/>
      <c r="BT751" s="7"/>
      <c r="BU751" s="2" t="s">
        <v>4614</v>
      </c>
      <c r="BV751" s="2" t="s">
        <v>227</v>
      </c>
      <c r="BW751" s="2" t="s">
        <v>227</v>
      </c>
      <c r="BX751" s="2" t="s">
        <v>235</v>
      </c>
      <c r="BY751" s="2" t="s">
        <v>236</v>
      </c>
      <c r="BZ751" s="2" t="s">
        <v>224</v>
      </c>
      <c r="CA751" s="2" t="s">
        <v>237</v>
      </c>
      <c r="CB751" s="2" t="s">
        <v>981</v>
      </c>
      <c r="CC751" s="2" t="s">
        <v>239</v>
      </c>
      <c r="CD751" s="2" t="s">
        <v>227</v>
      </c>
      <c r="CE751" s="4">
        <v>163</v>
      </c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>
        <v>40</v>
      </c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/>
      <c r="ES751" s="4"/>
      <c r="ET751" s="4">
        <v>50</v>
      </c>
      <c r="EU751" s="4"/>
      <c r="EV751" s="4"/>
      <c r="EW751" s="4"/>
      <c r="EX751" s="4"/>
      <c r="EY751" s="4"/>
      <c r="EZ751" s="4"/>
      <c r="FA751" s="4"/>
      <c r="FB751" s="4"/>
      <c r="FC751" s="4"/>
      <c r="FD751" s="4"/>
      <c r="FE751" s="4"/>
      <c r="FF751" s="4"/>
      <c r="FG751" s="4"/>
      <c r="FH751" s="4"/>
      <c r="FI751" s="4"/>
      <c r="FJ751" s="4"/>
      <c r="FK751" s="4"/>
      <c r="FL751" s="4"/>
      <c r="FM751" s="4"/>
      <c r="FN751" s="4"/>
      <c r="FO751" s="4"/>
      <c r="FP751" s="4"/>
      <c r="FQ751" s="4"/>
      <c r="FR751" s="4"/>
      <c r="FS751" s="4"/>
      <c r="FT751" s="4"/>
      <c r="FU751" s="4"/>
      <c r="FV751" s="4"/>
      <c r="FW751" s="4"/>
      <c r="FX751" s="4"/>
      <c r="FY751" s="4"/>
      <c r="FZ751" s="4"/>
      <c r="GA751" s="4"/>
      <c r="GB751" s="4"/>
      <c r="GC751" s="4"/>
      <c r="GD751" s="4"/>
      <c r="GE751" s="4"/>
      <c r="GF751" s="4"/>
      <c r="GG751" s="4"/>
      <c r="GH751" s="4"/>
      <c r="GI751" s="4"/>
      <c r="GJ751" s="4"/>
      <c r="GK751" s="4"/>
      <c r="GL751" s="4"/>
      <c r="GM751" s="4"/>
      <c r="GN751" s="4"/>
      <c r="GO751" s="4"/>
      <c r="GP751" s="4"/>
      <c r="GQ751" s="4"/>
      <c r="GR751" s="4"/>
      <c r="GS751" s="4"/>
      <c r="GT751" s="4"/>
      <c r="GU751" s="4"/>
      <c r="GV751" s="4"/>
      <c r="GW751" s="4"/>
      <c r="GX751" s="4"/>
    </row>
    <row r="752">
      <c r="A752" s="2" t="s">
        <v>4615</v>
      </c>
      <c r="B752" s="2" t="s">
        <v>278</v>
      </c>
      <c r="C752" s="2" t="s">
        <v>2227</v>
      </c>
      <c r="D752" s="2" t="s">
        <v>280</v>
      </c>
      <c r="E752" s="2" t="s">
        <v>281</v>
      </c>
      <c r="F752" s="2" t="s">
        <v>4456</v>
      </c>
      <c r="G752" s="2" t="s">
        <v>4456</v>
      </c>
      <c r="H752" s="2" t="s">
        <v>4456</v>
      </c>
      <c r="I752" s="2" t="s">
        <v>283</v>
      </c>
      <c r="J752" s="2" t="s">
        <v>257</v>
      </c>
      <c r="K752" s="2" t="s">
        <v>762</v>
      </c>
      <c r="L752" s="3">
        <v>31.2</v>
      </c>
      <c r="M752" s="3">
        <v>32.76</v>
      </c>
      <c r="N752" s="3">
        <v>64.99</v>
      </c>
      <c r="O752" s="2" t="s">
        <v>224</v>
      </c>
      <c r="P752" s="2" t="s">
        <v>225</v>
      </c>
      <c r="Q752" s="2" t="s">
        <v>226</v>
      </c>
      <c r="R752" s="2" t="s">
        <v>227</v>
      </c>
      <c r="S752" s="2" t="s">
        <v>4606</v>
      </c>
      <c r="T752" s="2" t="s">
        <v>2807</v>
      </c>
      <c r="U752" s="2" t="s">
        <v>287</v>
      </c>
      <c r="V752" s="2" t="s">
        <v>230</v>
      </c>
      <c r="W752" s="2" t="s">
        <v>231</v>
      </c>
      <c r="X752" s="2" t="s">
        <v>836</v>
      </c>
      <c r="Y752" s="2" t="s">
        <v>232</v>
      </c>
      <c r="Z752" s="4">
        <v>293</v>
      </c>
      <c r="AA752" s="4">
        <f>=ROUNDDOWN(26.6363636363636,0)</f>
      </c>
      <c r="AB752" s="5">
        <v>11</v>
      </c>
      <c r="AC752" s="2" t="s">
        <v>2082</v>
      </c>
      <c r="AD752" s="4">
        <v>70</v>
      </c>
      <c r="AE752" s="4">
        <v>180</v>
      </c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227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227</v>
      </c>
      <c r="AW752" s="8" t="s">
        <v>227</v>
      </c>
      <c r="AX752" s="4" t="s">
        <v>227</v>
      </c>
      <c r="AY752" s="8" t="s">
        <v>227</v>
      </c>
      <c r="AZ752" s="7" t="s">
        <v>227</v>
      </c>
      <c r="BA752" s="7" t="s">
        <v>227</v>
      </c>
      <c r="BB752" s="7"/>
      <c r="BC752" s="4" t="s">
        <v>227</v>
      </c>
      <c r="BD752" s="8" t="s">
        <v>227</v>
      </c>
      <c r="BE752" s="4" t="s">
        <v>227</v>
      </c>
      <c r="BF752" s="8" t="s">
        <v>227</v>
      </c>
      <c r="BG752" s="7" t="s">
        <v>227</v>
      </c>
      <c r="BH752" s="7" t="s">
        <v>227</v>
      </c>
      <c r="BI752" s="7"/>
      <c r="BJ752" s="4">
        <v>7</v>
      </c>
      <c r="BK752" s="8">
        <v>238.62</v>
      </c>
      <c r="BL752" s="2" t="s">
        <v>2339</v>
      </c>
      <c r="BM752" s="7"/>
      <c r="BN752" s="7"/>
      <c r="BO752" s="4"/>
      <c r="BP752" s="8"/>
      <c r="BQ752" s="4"/>
      <c r="BR752" s="8"/>
      <c r="BS752" s="7"/>
      <c r="BT752" s="7"/>
      <c r="BU752" s="2" t="s">
        <v>4616</v>
      </c>
      <c r="BV752" s="2" t="s">
        <v>227</v>
      </c>
      <c r="BW752" s="2" t="s">
        <v>227</v>
      </c>
      <c r="BX752" s="2" t="s">
        <v>235</v>
      </c>
      <c r="BY752" s="2" t="s">
        <v>236</v>
      </c>
      <c r="BZ752" s="2" t="s">
        <v>224</v>
      </c>
      <c r="CA752" s="2" t="s">
        <v>237</v>
      </c>
      <c r="CB752" s="2" t="s">
        <v>4617</v>
      </c>
      <c r="CC752" s="2" t="s">
        <v>239</v>
      </c>
      <c r="CD752" s="2" t="s">
        <v>227</v>
      </c>
      <c r="CE752" s="4">
        <v>293</v>
      </c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>
        <v>70</v>
      </c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>
        <v>110</v>
      </c>
      <c r="EU752" s="4"/>
      <c r="EV752" s="4"/>
      <c r="EW752" s="4"/>
      <c r="EX752" s="4"/>
      <c r="EY752" s="4"/>
      <c r="EZ752" s="4"/>
      <c r="FA752" s="4"/>
      <c r="FB752" s="4"/>
      <c r="FC752" s="4"/>
      <c r="FD752" s="4"/>
      <c r="FE752" s="4"/>
      <c r="FF752" s="4"/>
      <c r="FG752" s="4"/>
      <c r="FH752" s="4"/>
      <c r="FI752" s="4"/>
      <c r="FJ752" s="4"/>
      <c r="FK752" s="4"/>
      <c r="FL752" s="4"/>
      <c r="FM752" s="4"/>
      <c r="FN752" s="4"/>
      <c r="FO752" s="4"/>
      <c r="FP752" s="4"/>
      <c r="FQ752" s="4"/>
      <c r="FR752" s="4"/>
      <c r="FS752" s="4"/>
      <c r="FT752" s="4"/>
      <c r="FU752" s="4"/>
      <c r="FV752" s="4"/>
      <c r="FW752" s="4"/>
      <c r="FX752" s="4"/>
      <c r="FY752" s="4"/>
      <c r="FZ752" s="4"/>
      <c r="GA752" s="4"/>
      <c r="GB752" s="4"/>
      <c r="GC752" s="4"/>
      <c r="GD752" s="4"/>
      <c r="GE752" s="4"/>
      <c r="GF752" s="4"/>
      <c r="GG752" s="4"/>
      <c r="GH752" s="4"/>
      <c r="GI752" s="4"/>
      <c r="GJ752" s="4"/>
      <c r="GK752" s="4"/>
      <c r="GL752" s="4"/>
      <c r="GM752" s="4"/>
      <c r="GN752" s="4"/>
      <c r="GO752" s="4"/>
      <c r="GP752" s="4"/>
      <c r="GQ752" s="4"/>
      <c r="GR752" s="4"/>
      <c r="GS752" s="4"/>
      <c r="GT752" s="4"/>
      <c r="GU752" s="4"/>
      <c r="GV752" s="4"/>
      <c r="GW752" s="4"/>
      <c r="GX752" s="4"/>
    </row>
    <row r="753">
      <c r="A753" s="2" t="s">
        <v>4618</v>
      </c>
      <c r="B753" s="2" t="s">
        <v>278</v>
      </c>
      <c r="C753" s="2" t="s">
        <v>2227</v>
      </c>
      <c r="D753" s="2" t="s">
        <v>280</v>
      </c>
      <c r="E753" s="2" t="s">
        <v>281</v>
      </c>
      <c r="F753" s="2" t="s">
        <v>4456</v>
      </c>
      <c r="G753" s="2" t="s">
        <v>4456</v>
      </c>
      <c r="H753" s="2" t="s">
        <v>4456</v>
      </c>
      <c r="I753" s="2" t="s">
        <v>283</v>
      </c>
      <c r="J753" s="2" t="s">
        <v>384</v>
      </c>
      <c r="K753" s="2" t="s">
        <v>762</v>
      </c>
      <c r="L753" s="3">
        <v>31.85</v>
      </c>
      <c r="M753" s="3">
        <v>33.44</v>
      </c>
      <c r="N753" s="3">
        <v>64.99</v>
      </c>
      <c r="O753" s="2" t="s">
        <v>224</v>
      </c>
      <c r="P753" s="2" t="s">
        <v>225</v>
      </c>
      <c r="Q753" s="2" t="s">
        <v>226</v>
      </c>
      <c r="R753" s="2" t="s">
        <v>227</v>
      </c>
      <c r="S753" s="2" t="s">
        <v>4606</v>
      </c>
      <c r="T753" s="2" t="s">
        <v>2807</v>
      </c>
      <c r="U753" s="2" t="s">
        <v>287</v>
      </c>
      <c r="V753" s="2" t="s">
        <v>230</v>
      </c>
      <c r="W753" s="2" t="s">
        <v>231</v>
      </c>
      <c r="X753" s="2" t="s">
        <v>836</v>
      </c>
      <c r="Y753" s="2" t="s">
        <v>232</v>
      </c>
      <c r="Z753" s="4">
        <v>133</v>
      </c>
      <c r="AA753" s="4">
        <f>=ROUNDDOWN(26.6,0)</f>
      </c>
      <c r="AB753" s="5">
        <v>5</v>
      </c>
      <c r="AC753" s="2" t="s">
        <v>732</v>
      </c>
      <c r="AD753" s="4">
        <v>30</v>
      </c>
      <c r="AE753" s="4">
        <v>70</v>
      </c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227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227</v>
      </c>
      <c r="AW753" s="8" t="s">
        <v>227</v>
      </c>
      <c r="AX753" s="4" t="s">
        <v>227</v>
      </c>
      <c r="AY753" s="8" t="s">
        <v>227</v>
      </c>
      <c r="AZ753" s="7" t="s">
        <v>227</v>
      </c>
      <c r="BA753" s="7" t="s">
        <v>227</v>
      </c>
      <c r="BB753" s="7"/>
      <c r="BC753" s="4" t="s">
        <v>227</v>
      </c>
      <c r="BD753" s="8" t="s">
        <v>227</v>
      </c>
      <c r="BE753" s="4" t="s">
        <v>227</v>
      </c>
      <c r="BF753" s="8" t="s">
        <v>227</v>
      </c>
      <c r="BG753" s="7" t="s">
        <v>227</v>
      </c>
      <c r="BH753" s="7" t="s">
        <v>227</v>
      </c>
      <c r="BI753" s="7"/>
      <c r="BJ753" s="4">
        <v>9</v>
      </c>
      <c r="BK753" s="8">
        <v>308.6</v>
      </c>
      <c r="BL753" s="2" t="s">
        <v>2332</v>
      </c>
      <c r="BM753" s="7"/>
      <c r="BN753" s="7"/>
      <c r="BO753" s="4"/>
      <c r="BP753" s="8"/>
      <c r="BQ753" s="4"/>
      <c r="BR753" s="8"/>
      <c r="BS753" s="7"/>
      <c r="BT753" s="7"/>
      <c r="BU753" s="2" t="s">
        <v>4619</v>
      </c>
      <c r="BV753" s="2" t="s">
        <v>227</v>
      </c>
      <c r="BW753" s="2" t="s">
        <v>227</v>
      </c>
      <c r="BX753" s="2" t="s">
        <v>235</v>
      </c>
      <c r="BY753" s="2" t="s">
        <v>236</v>
      </c>
      <c r="BZ753" s="2" t="s">
        <v>224</v>
      </c>
      <c r="CA753" s="2" t="s">
        <v>237</v>
      </c>
      <c r="CB753" s="2" t="s">
        <v>4620</v>
      </c>
      <c r="CC753" s="2" t="s">
        <v>239</v>
      </c>
      <c r="CD753" s="2" t="s">
        <v>227</v>
      </c>
      <c r="CE753" s="4">
        <v>133</v>
      </c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>
        <v>30</v>
      </c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>
        <v>40</v>
      </c>
      <c r="EU753" s="4"/>
      <c r="EV753" s="4"/>
      <c r="EW753" s="4"/>
      <c r="EX753" s="4"/>
      <c r="EY753" s="4"/>
      <c r="EZ753" s="4"/>
      <c r="FA753" s="4"/>
      <c r="FB753" s="4"/>
      <c r="FC753" s="4"/>
      <c r="FD753" s="4"/>
      <c r="FE753" s="4"/>
      <c r="FF753" s="4"/>
      <c r="FG753" s="4"/>
      <c r="FH753" s="4"/>
      <c r="FI753" s="4"/>
      <c r="FJ753" s="4"/>
      <c r="FK753" s="4"/>
      <c r="FL753" s="4"/>
      <c r="FM753" s="4"/>
      <c r="FN753" s="4"/>
      <c r="FO753" s="4"/>
      <c r="FP753" s="4"/>
      <c r="FQ753" s="4"/>
      <c r="FR753" s="4"/>
      <c r="FS753" s="4"/>
      <c r="FT753" s="4"/>
      <c r="FU753" s="4"/>
      <c r="FV753" s="4"/>
      <c r="FW753" s="4"/>
      <c r="FX753" s="4"/>
      <c r="FY753" s="4"/>
      <c r="FZ753" s="4"/>
      <c r="GA753" s="4"/>
      <c r="GB753" s="4"/>
      <c r="GC753" s="4"/>
      <c r="GD753" s="4"/>
      <c r="GE753" s="4"/>
      <c r="GF753" s="4"/>
      <c r="GG753" s="4"/>
      <c r="GH753" s="4"/>
      <c r="GI753" s="4"/>
      <c r="GJ753" s="4"/>
      <c r="GK753" s="4"/>
      <c r="GL753" s="4"/>
      <c r="GM753" s="4"/>
      <c r="GN753" s="4"/>
      <c r="GO753" s="4"/>
      <c r="GP753" s="4"/>
      <c r="GQ753" s="4"/>
      <c r="GR753" s="4"/>
      <c r="GS753" s="4"/>
      <c r="GT753" s="4"/>
      <c r="GU753" s="4"/>
      <c r="GV753" s="4"/>
      <c r="GW753" s="4"/>
      <c r="GX753" s="4"/>
    </row>
    <row r="754">
      <c r="A754" s="2" t="s">
        <v>4621</v>
      </c>
      <c r="B754" s="2" t="s">
        <v>278</v>
      </c>
      <c r="C754" s="2" t="s">
        <v>1299</v>
      </c>
      <c r="D754" s="2" t="s">
        <v>280</v>
      </c>
      <c r="E754" s="2" t="s">
        <v>281</v>
      </c>
      <c r="F754" s="2" t="s">
        <v>375</v>
      </c>
      <c r="G754" s="2" t="s">
        <v>375</v>
      </c>
      <c r="H754" s="2" t="s">
        <v>375</v>
      </c>
      <c r="I754" s="2" t="s">
        <v>4622</v>
      </c>
      <c r="J754" s="2" t="s">
        <v>222</v>
      </c>
      <c r="K754" s="2" t="s">
        <v>223</v>
      </c>
      <c r="L754" s="3">
        <v>11.18</v>
      </c>
      <c r="M754" s="3">
        <v>11.74</v>
      </c>
      <c r="N754" s="3">
        <v>27.99</v>
      </c>
      <c r="O754" s="2" t="s">
        <v>224</v>
      </c>
      <c r="P754" s="2" t="s">
        <v>225</v>
      </c>
      <c r="Q754" s="2" t="s">
        <v>226</v>
      </c>
      <c r="R754" s="2" t="s">
        <v>227</v>
      </c>
      <c r="S754" s="2" t="s">
        <v>4623</v>
      </c>
      <c r="T754" s="2" t="s">
        <v>375</v>
      </c>
      <c r="U754" s="2" t="s">
        <v>674</v>
      </c>
      <c r="V754" s="2" t="s">
        <v>230</v>
      </c>
      <c r="W754" s="2" t="s">
        <v>231</v>
      </c>
      <c r="X754" s="2" t="s">
        <v>227</v>
      </c>
      <c r="Y754" s="2" t="s">
        <v>4624</v>
      </c>
      <c r="Z754" s="4">
        <v>69</v>
      </c>
      <c r="AA754" s="4">
        <f>=ROUNDDOWN(17.25,0)</f>
      </c>
      <c r="AB754" s="5">
        <v>4</v>
      </c>
      <c r="AC754" s="2" t="s">
        <v>397</v>
      </c>
      <c r="AD754" s="4">
        <v>30</v>
      </c>
      <c r="AE754" s="4">
        <v>30</v>
      </c>
      <c r="AF754" s="6">
        <v>65</v>
      </c>
      <c r="AG754" s="6"/>
      <c r="AH754" s="7">
        <v>1</v>
      </c>
      <c r="AI754" s="4"/>
      <c r="AJ754" s="4">
        <f>=ROUNDDOWN({0},0)</f>
      </c>
      <c r="AK754" s="5"/>
      <c r="AL754" s="2" t="s">
        <v>227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227</v>
      </c>
      <c r="AW754" s="8" t="s">
        <v>227</v>
      </c>
      <c r="AX754" s="4" t="s">
        <v>227</v>
      </c>
      <c r="AY754" s="8" t="s">
        <v>227</v>
      </c>
      <c r="AZ754" s="7" t="s">
        <v>227</v>
      </c>
      <c r="BA754" s="7" t="s">
        <v>227</v>
      </c>
      <c r="BB754" s="7"/>
      <c r="BC754" s="4" t="s">
        <v>227</v>
      </c>
      <c r="BD754" s="8" t="s">
        <v>227</v>
      </c>
      <c r="BE754" s="4" t="s">
        <v>227</v>
      </c>
      <c r="BF754" s="8" t="s">
        <v>227</v>
      </c>
      <c r="BG754" s="7" t="s">
        <v>227</v>
      </c>
      <c r="BH754" s="7" t="s">
        <v>227</v>
      </c>
      <c r="BI754" s="7"/>
      <c r="BJ754" s="4">
        <v>11</v>
      </c>
      <c r="BK754" s="8">
        <v>138.16</v>
      </c>
      <c r="BL754" s="2" t="s">
        <v>4625</v>
      </c>
      <c r="BM754" s="7"/>
      <c r="BN754" s="7"/>
      <c r="BO754" s="4"/>
      <c r="BP754" s="8"/>
      <c r="BQ754" s="4"/>
      <c r="BR754" s="8"/>
      <c r="BS754" s="7"/>
      <c r="BT754" s="7"/>
      <c r="BU754" s="2" t="s">
        <v>4626</v>
      </c>
      <c r="BV754" s="2" t="s">
        <v>227</v>
      </c>
      <c r="BW754" s="2" t="s">
        <v>227</v>
      </c>
      <c r="BX754" s="2" t="s">
        <v>235</v>
      </c>
      <c r="BY754" s="2" t="s">
        <v>236</v>
      </c>
      <c r="BZ754" s="2" t="s">
        <v>224</v>
      </c>
      <c r="CA754" s="2" t="s">
        <v>292</v>
      </c>
      <c r="CB754" s="2" t="s">
        <v>1037</v>
      </c>
      <c r="CC754" s="2" t="s">
        <v>239</v>
      </c>
      <c r="CD754" s="2" t="s">
        <v>227</v>
      </c>
      <c r="CE754" s="4">
        <v>69</v>
      </c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>
        <v>30</v>
      </c>
      <c r="EF754" s="4"/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/>
      <c r="EU754" s="4"/>
      <c r="EV754" s="4"/>
      <c r="EW754" s="4"/>
      <c r="EX754" s="4"/>
      <c r="EY754" s="4"/>
      <c r="EZ754" s="4"/>
      <c r="FA754" s="4"/>
      <c r="FB754" s="4"/>
      <c r="FC754" s="4"/>
      <c r="FD754" s="4"/>
      <c r="FE754" s="4"/>
      <c r="FF754" s="4"/>
      <c r="FG754" s="4"/>
      <c r="FH754" s="4"/>
      <c r="FI754" s="4"/>
      <c r="FJ754" s="4"/>
      <c r="FK754" s="4"/>
      <c r="FL754" s="4"/>
      <c r="FM754" s="4"/>
      <c r="FN754" s="4"/>
      <c r="FO754" s="4"/>
      <c r="FP754" s="4"/>
      <c r="FQ754" s="4"/>
      <c r="FR754" s="4"/>
      <c r="FS754" s="4"/>
      <c r="FT754" s="4"/>
      <c r="FU754" s="4"/>
      <c r="FV754" s="4"/>
      <c r="FW754" s="4"/>
      <c r="FX754" s="4"/>
      <c r="FY754" s="4"/>
      <c r="FZ754" s="4"/>
      <c r="GA754" s="4"/>
      <c r="GB754" s="4"/>
      <c r="GC754" s="4"/>
      <c r="GD754" s="4"/>
      <c r="GE754" s="4"/>
      <c r="GF754" s="4"/>
      <c r="GG754" s="4"/>
      <c r="GH754" s="4"/>
      <c r="GI754" s="4"/>
      <c r="GJ754" s="4"/>
      <c r="GK754" s="4"/>
      <c r="GL754" s="4"/>
      <c r="GM754" s="4"/>
      <c r="GN754" s="4"/>
      <c r="GO754" s="4"/>
      <c r="GP754" s="4"/>
      <c r="GQ754" s="4"/>
      <c r="GR754" s="4"/>
      <c r="GS754" s="4"/>
      <c r="GT754" s="4"/>
      <c r="GU754" s="4"/>
      <c r="GV754" s="4"/>
      <c r="GW754" s="4"/>
      <c r="GX754" s="4"/>
    </row>
    <row r="755">
      <c r="A755" s="2" t="s">
        <v>4627</v>
      </c>
      <c r="B755" s="2" t="s">
        <v>278</v>
      </c>
      <c r="C755" s="2" t="s">
        <v>1299</v>
      </c>
      <c r="D755" s="2" t="s">
        <v>280</v>
      </c>
      <c r="E755" s="2" t="s">
        <v>281</v>
      </c>
      <c r="F755" s="2" t="s">
        <v>375</v>
      </c>
      <c r="G755" s="2" t="s">
        <v>375</v>
      </c>
      <c r="H755" s="2" t="s">
        <v>375</v>
      </c>
      <c r="I755" s="2" t="s">
        <v>4622</v>
      </c>
      <c r="J755" s="2" t="s">
        <v>257</v>
      </c>
      <c r="K755" s="2" t="s">
        <v>223</v>
      </c>
      <c r="L755" s="3">
        <v>16.75</v>
      </c>
      <c r="M755" s="3">
        <v>17.59</v>
      </c>
      <c r="N755" s="3">
        <v>37.99</v>
      </c>
      <c r="O755" s="2" t="s">
        <v>224</v>
      </c>
      <c r="P755" s="2" t="s">
        <v>225</v>
      </c>
      <c r="Q755" s="2" t="s">
        <v>226</v>
      </c>
      <c r="R755" s="2" t="s">
        <v>227</v>
      </c>
      <c r="S755" s="2" t="s">
        <v>4623</v>
      </c>
      <c r="T755" s="2" t="s">
        <v>375</v>
      </c>
      <c r="U755" s="2" t="s">
        <v>287</v>
      </c>
      <c r="V755" s="2" t="s">
        <v>230</v>
      </c>
      <c r="W755" s="2" t="s">
        <v>231</v>
      </c>
      <c r="X755" s="2" t="s">
        <v>227</v>
      </c>
      <c r="Y755" s="2" t="s">
        <v>4624</v>
      </c>
      <c r="Z755" s="4">
        <v>113</v>
      </c>
      <c r="AA755" s="4">
        <f>=ROUNDDOWN(37.6666666666667,0)</f>
      </c>
      <c r="AB755" s="5">
        <v>3</v>
      </c>
      <c r="AC755" s="2" t="s">
        <v>397</v>
      </c>
      <c r="AD755" s="4">
        <v>90</v>
      </c>
      <c r="AE755" s="4">
        <v>90</v>
      </c>
      <c r="AF755" s="6">
        <v>65</v>
      </c>
      <c r="AG755" s="6"/>
      <c r="AH755" s="7">
        <v>0.9032</v>
      </c>
      <c r="AI755" s="4"/>
      <c r="AJ755" s="4">
        <f>=ROUNDDOWN({0},0)</f>
      </c>
      <c r="AK755" s="5"/>
      <c r="AL755" s="2" t="s">
        <v>227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227</v>
      </c>
      <c r="AW755" s="8" t="s">
        <v>227</v>
      </c>
      <c r="AX755" s="4" t="s">
        <v>227</v>
      </c>
      <c r="AY755" s="8" t="s">
        <v>227</v>
      </c>
      <c r="AZ755" s="7" t="s">
        <v>227</v>
      </c>
      <c r="BA755" s="7" t="s">
        <v>227</v>
      </c>
      <c r="BB755" s="7"/>
      <c r="BC755" s="4" t="s">
        <v>227</v>
      </c>
      <c r="BD755" s="8" t="s">
        <v>227</v>
      </c>
      <c r="BE755" s="4" t="s">
        <v>227</v>
      </c>
      <c r="BF755" s="8" t="s">
        <v>227</v>
      </c>
      <c r="BG755" s="7" t="s">
        <v>227</v>
      </c>
      <c r="BH755" s="7" t="s">
        <v>227</v>
      </c>
      <c r="BI755" s="7"/>
      <c r="BJ755" s="4">
        <v>12</v>
      </c>
      <c r="BK755" s="8">
        <v>231.12</v>
      </c>
      <c r="BL755" s="2" t="s">
        <v>1757</v>
      </c>
      <c r="BM755" s="7"/>
      <c r="BN755" s="7"/>
      <c r="BO755" s="4"/>
      <c r="BP755" s="8"/>
      <c r="BQ755" s="4"/>
      <c r="BR755" s="8"/>
      <c r="BS755" s="7"/>
      <c r="BT755" s="7"/>
      <c r="BU755" s="2" t="s">
        <v>4628</v>
      </c>
      <c r="BV755" s="2" t="s">
        <v>227</v>
      </c>
      <c r="BW755" s="2" t="s">
        <v>227</v>
      </c>
      <c r="BX755" s="2" t="s">
        <v>235</v>
      </c>
      <c r="BY755" s="2" t="s">
        <v>236</v>
      </c>
      <c r="BZ755" s="2" t="s">
        <v>224</v>
      </c>
      <c r="CA755" s="2" t="s">
        <v>292</v>
      </c>
      <c r="CB755" s="2" t="s">
        <v>227</v>
      </c>
      <c r="CC755" s="2" t="s">
        <v>239</v>
      </c>
      <c r="CD755" s="2" t="s">
        <v>227</v>
      </c>
      <c r="CE755" s="4">
        <v>113</v>
      </c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>
        <v>90</v>
      </c>
      <c r="EF755" s="4"/>
      <c r="EG755" s="4"/>
      <c r="EH755" s="4"/>
      <c r="EI755" s="4"/>
      <c r="EJ755" s="4"/>
      <c r="EK755" s="4"/>
      <c r="EL755" s="4"/>
      <c r="EM755" s="4"/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/>
      <c r="FA755" s="4"/>
      <c r="FB755" s="4"/>
      <c r="FC755" s="4"/>
      <c r="FD755" s="4"/>
      <c r="FE755" s="4"/>
      <c r="FF755" s="4"/>
      <c r="FG755" s="4"/>
      <c r="FH755" s="4"/>
      <c r="FI755" s="4"/>
      <c r="FJ755" s="4"/>
      <c r="FK755" s="4"/>
      <c r="FL755" s="4"/>
      <c r="FM755" s="4"/>
      <c r="FN755" s="4"/>
      <c r="FO755" s="4"/>
      <c r="FP755" s="4"/>
      <c r="FQ755" s="4"/>
      <c r="FR755" s="4"/>
      <c r="FS755" s="4"/>
      <c r="FT755" s="4"/>
      <c r="FU755" s="4"/>
      <c r="FV755" s="4"/>
      <c r="FW755" s="4"/>
      <c r="FX755" s="4"/>
      <c r="FY755" s="4"/>
      <c r="FZ755" s="4"/>
      <c r="GA755" s="4"/>
      <c r="GB755" s="4"/>
      <c r="GC755" s="4"/>
      <c r="GD755" s="4"/>
      <c r="GE755" s="4"/>
      <c r="GF755" s="4"/>
      <c r="GG755" s="4"/>
      <c r="GH755" s="4"/>
      <c r="GI755" s="4"/>
      <c r="GJ755" s="4"/>
      <c r="GK755" s="4"/>
      <c r="GL755" s="4"/>
      <c r="GM755" s="4"/>
      <c r="GN755" s="4"/>
      <c r="GO755" s="4"/>
      <c r="GP755" s="4"/>
      <c r="GQ755" s="4"/>
      <c r="GR755" s="4"/>
      <c r="GS755" s="4"/>
      <c r="GT755" s="4"/>
      <c r="GU755" s="4"/>
      <c r="GV755" s="4"/>
      <c r="GW755" s="4"/>
      <c r="GX755" s="4"/>
    </row>
    <row r="756">
      <c r="A756" s="2" t="s">
        <v>4629</v>
      </c>
      <c r="B756" s="2" t="s">
        <v>278</v>
      </c>
      <c r="C756" s="2" t="s">
        <v>1299</v>
      </c>
      <c r="D756" s="2" t="s">
        <v>280</v>
      </c>
      <c r="E756" s="2" t="s">
        <v>281</v>
      </c>
      <c r="F756" s="2" t="s">
        <v>375</v>
      </c>
      <c r="G756" s="2" t="s">
        <v>375</v>
      </c>
      <c r="H756" s="2" t="s">
        <v>375</v>
      </c>
      <c r="I756" s="2" t="s">
        <v>4622</v>
      </c>
      <c r="J756" s="2" t="s">
        <v>241</v>
      </c>
      <c r="K756" s="2" t="s">
        <v>389</v>
      </c>
      <c r="L756" s="3">
        <v>11.18</v>
      </c>
      <c r="M756" s="3">
        <v>11.74</v>
      </c>
      <c r="N756" s="3">
        <v>27.99</v>
      </c>
      <c r="O756" s="2" t="s">
        <v>224</v>
      </c>
      <c r="P756" s="2" t="s">
        <v>225</v>
      </c>
      <c r="Q756" s="2" t="s">
        <v>226</v>
      </c>
      <c r="R756" s="2" t="s">
        <v>227</v>
      </c>
      <c r="S756" s="2" t="s">
        <v>4630</v>
      </c>
      <c r="T756" s="2" t="s">
        <v>375</v>
      </c>
      <c r="U756" s="2" t="s">
        <v>674</v>
      </c>
      <c r="V756" s="2" t="s">
        <v>230</v>
      </c>
      <c r="W756" s="2" t="s">
        <v>231</v>
      </c>
      <c r="X756" s="2" t="s">
        <v>227</v>
      </c>
      <c r="Y756" s="2" t="s">
        <v>4624</v>
      </c>
      <c r="Z756" s="4">
        <v>194</v>
      </c>
      <c r="AA756" s="4">
        <f>=ROUNDDOWN(97,0)</f>
      </c>
      <c r="AB756" s="5">
        <v>2</v>
      </c>
      <c r="AC756" s="2" t="s">
        <v>227</v>
      </c>
      <c r="AD756" s="4"/>
      <c r="AE756" s="4"/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227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227</v>
      </c>
      <c r="AW756" s="8" t="s">
        <v>227</v>
      </c>
      <c r="AX756" s="4" t="s">
        <v>227</v>
      </c>
      <c r="AY756" s="8" t="s">
        <v>227</v>
      </c>
      <c r="AZ756" s="7" t="s">
        <v>227</v>
      </c>
      <c r="BA756" s="7" t="s">
        <v>227</v>
      </c>
      <c r="BB756" s="7"/>
      <c r="BC756" s="4" t="s">
        <v>227</v>
      </c>
      <c r="BD756" s="8" t="s">
        <v>227</v>
      </c>
      <c r="BE756" s="4" t="s">
        <v>227</v>
      </c>
      <c r="BF756" s="8" t="s">
        <v>227</v>
      </c>
      <c r="BG756" s="7" t="s">
        <v>227</v>
      </c>
      <c r="BH756" s="7" t="s">
        <v>227</v>
      </c>
      <c r="BI756" s="7"/>
      <c r="BJ756" s="4">
        <v>37</v>
      </c>
      <c r="BK756" s="8">
        <v>473.91</v>
      </c>
      <c r="BL756" s="2" t="s">
        <v>4625</v>
      </c>
      <c r="BM756" s="7"/>
      <c r="BN756" s="7"/>
      <c r="BO756" s="4"/>
      <c r="BP756" s="8"/>
      <c r="BQ756" s="4"/>
      <c r="BR756" s="8"/>
      <c r="BS756" s="7"/>
      <c r="BT756" s="7"/>
      <c r="BU756" s="2" t="s">
        <v>4631</v>
      </c>
      <c r="BV756" s="2" t="s">
        <v>227</v>
      </c>
      <c r="BW756" s="2" t="s">
        <v>227</v>
      </c>
      <c r="BX756" s="2" t="s">
        <v>235</v>
      </c>
      <c r="BY756" s="2" t="s">
        <v>236</v>
      </c>
      <c r="BZ756" s="2" t="s">
        <v>224</v>
      </c>
      <c r="CA756" s="2" t="s">
        <v>292</v>
      </c>
      <c r="CB756" s="2" t="s">
        <v>4196</v>
      </c>
      <c r="CC756" s="2" t="s">
        <v>239</v>
      </c>
      <c r="CD756" s="2" t="s">
        <v>227</v>
      </c>
      <c r="CE756" s="4">
        <v>194</v>
      </c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/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/>
      <c r="FA756" s="4"/>
      <c r="FB756" s="4"/>
      <c r="FC756" s="4"/>
      <c r="FD756" s="4"/>
      <c r="FE756" s="4"/>
      <c r="FF756" s="4"/>
      <c r="FG756" s="4"/>
      <c r="FH756" s="4"/>
      <c r="FI756" s="4"/>
      <c r="FJ756" s="4"/>
      <c r="FK756" s="4"/>
      <c r="FL756" s="4"/>
      <c r="FM756" s="4"/>
      <c r="FN756" s="4"/>
      <c r="FO756" s="4"/>
      <c r="FP756" s="4"/>
      <c r="FQ756" s="4"/>
      <c r="FR756" s="4"/>
      <c r="FS756" s="4"/>
      <c r="FT756" s="4"/>
      <c r="FU756" s="4"/>
      <c r="FV756" s="4"/>
      <c r="FW756" s="4"/>
      <c r="FX756" s="4"/>
      <c r="FY756" s="4"/>
      <c r="FZ756" s="4"/>
      <c r="GA756" s="4"/>
      <c r="GB756" s="4"/>
      <c r="GC756" s="4"/>
      <c r="GD756" s="4"/>
      <c r="GE756" s="4"/>
      <c r="GF756" s="4"/>
      <c r="GG756" s="4"/>
      <c r="GH756" s="4"/>
      <c r="GI756" s="4"/>
      <c r="GJ756" s="4"/>
      <c r="GK756" s="4"/>
      <c r="GL756" s="4"/>
      <c r="GM756" s="4"/>
      <c r="GN756" s="4"/>
      <c r="GO756" s="4"/>
      <c r="GP756" s="4"/>
      <c r="GQ756" s="4"/>
      <c r="GR756" s="4"/>
      <c r="GS756" s="4"/>
      <c r="GT756" s="4"/>
      <c r="GU756" s="4"/>
      <c r="GV756" s="4"/>
      <c r="GW756" s="4"/>
      <c r="GX756" s="4"/>
    </row>
    <row r="757">
      <c r="A757" s="2" t="s">
        <v>4632</v>
      </c>
      <c r="B757" s="2" t="s">
        <v>278</v>
      </c>
      <c r="C757" s="2" t="s">
        <v>1299</v>
      </c>
      <c r="D757" s="2" t="s">
        <v>280</v>
      </c>
      <c r="E757" s="2" t="s">
        <v>281</v>
      </c>
      <c r="F757" s="2" t="s">
        <v>375</v>
      </c>
      <c r="G757" s="2" t="s">
        <v>375</v>
      </c>
      <c r="H757" s="2" t="s">
        <v>375</v>
      </c>
      <c r="I757" s="2" t="s">
        <v>4622</v>
      </c>
      <c r="J757" s="2" t="s">
        <v>252</v>
      </c>
      <c r="K757" s="2" t="s">
        <v>389</v>
      </c>
      <c r="L757" s="3">
        <v>14.21</v>
      </c>
      <c r="M757" s="3">
        <v>14.92</v>
      </c>
      <c r="N757" s="3">
        <v>32.99</v>
      </c>
      <c r="O757" s="2" t="s">
        <v>224</v>
      </c>
      <c r="P757" s="2" t="s">
        <v>225</v>
      </c>
      <c r="Q757" s="2" t="s">
        <v>226</v>
      </c>
      <c r="R757" s="2" t="s">
        <v>227</v>
      </c>
      <c r="S757" s="2" t="s">
        <v>4630</v>
      </c>
      <c r="T757" s="2" t="s">
        <v>375</v>
      </c>
      <c r="U757" s="2" t="s">
        <v>287</v>
      </c>
      <c r="V757" s="2" t="s">
        <v>230</v>
      </c>
      <c r="W757" s="2" t="s">
        <v>231</v>
      </c>
      <c r="X757" s="2" t="s">
        <v>227</v>
      </c>
      <c r="Y757" s="2" t="s">
        <v>4624</v>
      </c>
      <c r="Z757" s="4">
        <v>199</v>
      </c>
      <c r="AA757" s="4">
        <f>=ROUNDDOWN(33.1666666666667,0)</f>
      </c>
      <c r="AB757" s="5">
        <v>6</v>
      </c>
      <c r="AC757" s="2" t="s">
        <v>1938</v>
      </c>
      <c r="AD757" s="4">
        <v>120</v>
      </c>
      <c r="AE757" s="4">
        <v>120</v>
      </c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227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227</v>
      </c>
      <c r="AW757" s="8" t="s">
        <v>227</v>
      </c>
      <c r="AX757" s="4" t="s">
        <v>227</v>
      </c>
      <c r="AY757" s="8" t="s">
        <v>227</v>
      </c>
      <c r="AZ757" s="7" t="s">
        <v>227</v>
      </c>
      <c r="BA757" s="7" t="s">
        <v>227</v>
      </c>
      <c r="BB757" s="7"/>
      <c r="BC757" s="4" t="s">
        <v>227</v>
      </c>
      <c r="BD757" s="8" t="s">
        <v>227</v>
      </c>
      <c r="BE757" s="4" t="s">
        <v>227</v>
      </c>
      <c r="BF757" s="8" t="s">
        <v>227</v>
      </c>
      <c r="BG757" s="7" t="s">
        <v>227</v>
      </c>
      <c r="BH757" s="7" t="s">
        <v>227</v>
      </c>
      <c r="BI757" s="7"/>
      <c r="BJ757" s="4">
        <v>23</v>
      </c>
      <c r="BK757" s="8">
        <v>370.94</v>
      </c>
      <c r="BL757" s="2" t="s">
        <v>4633</v>
      </c>
      <c r="BM757" s="7"/>
      <c r="BN757" s="7"/>
      <c r="BO757" s="4"/>
      <c r="BP757" s="8"/>
      <c r="BQ757" s="4"/>
      <c r="BR757" s="8"/>
      <c r="BS757" s="7"/>
      <c r="BT757" s="7"/>
      <c r="BU757" s="2" t="s">
        <v>4634</v>
      </c>
      <c r="BV757" s="2" t="s">
        <v>227</v>
      </c>
      <c r="BW757" s="2" t="s">
        <v>227</v>
      </c>
      <c r="BX757" s="2" t="s">
        <v>235</v>
      </c>
      <c r="BY757" s="2" t="s">
        <v>236</v>
      </c>
      <c r="BZ757" s="2" t="s">
        <v>224</v>
      </c>
      <c r="CA757" s="2" t="s">
        <v>292</v>
      </c>
      <c r="CB757" s="2" t="s">
        <v>4635</v>
      </c>
      <c r="CC757" s="2" t="s">
        <v>239</v>
      </c>
      <c r="CD757" s="2" t="s">
        <v>227</v>
      </c>
      <c r="CE757" s="4">
        <v>199</v>
      </c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/>
      <c r="FA757" s="4"/>
      <c r="FB757" s="4"/>
      <c r="FC757" s="4"/>
      <c r="FD757" s="4"/>
      <c r="FE757" s="4"/>
      <c r="FF757" s="4"/>
      <c r="FG757" s="4"/>
      <c r="FH757" s="4"/>
      <c r="FI757" s="4"/>
      <c r="FJ757" s="4"/>
      <c r="FK757" s="4"/>
      <c r="FL757" s="4"/>
      <c r="FM757" s="4"/>
      <c r="FN757" s="4"/>
      <c r="FO757" s="4"/>
      <c r="FP757" s="4"/>
      <c r="FQ757" s="4"/>
      <c r="FR757" s="4"/>
      <c r="FS757" s="4"/>
      <c r="FT757" s="4"/>
      <c r="FU757" s="4"/>
      <c r="FV757" s="4"/>
      <c r="FW757" s="4"/>
      <c r="FX757" s="4"/>
      <c r="FY757" s="4"/>
      <c r="FZ757" s="4"/>
      <c r="GA757" s="4"/>
      <c r="GB757" s="4"/>
      <c r="GC757" s="4"/>
      <c r="GD757" s="4"/>
      <c r="GE757" s="4"/>
      <c r="GF757" s="4"/>
      <c r="GG757" s="4"/>
      <c r="GH757" s="4"/>
      <c r="GI757" s="4"/>
      <c r="GJ757" s="4"/>
      <c r="GK757" s="4"/>
      <c r="GL757" s="4"/>
      <c r="GM757" s="4"/>
      <c r="GN757" s="4"/>
      <c r="GO757" s="4"/>
      <c r="GP757" s="4"/>
      <c r="GQ757" s="4"/>
      <c r="GR757" s="4"/>
      <c r="GS757" s="4"/>
      <c r="GT757" s="4"/>
      <c r="GU757" s="4"/>
      <c r="GV757" s="4"/>
      <c r="GW757" s="4"/>
      <c r="GX757" s="4">
        <v>120</v>
      </c>
    </row>
    <row r="758">
      <c r="A758" s="2" t="s">
        <v>4636</v>
      </c>
      <c r="B758" s="2" t="s">
        <v>278</v>
      </c>
      <c r="C758" s="2" t="s">
        <v>1299</v>
      </c>
      <c r="D758" s="2" t="s">
        <v>280</v>
      </c>
      <c r="E758" s="2" t="s">
        <v>281</v>
      </c>
      <c r="F758" s="2" t="s">
        <v>375</v>
      </c>
      <c r="G758" s="2" t="s">
        <v>375</v>
      </c>
      <c r="H758" s="2" t="s">
        <v>375</v>
      </c>
      <c r="I758" s="2" t="s">
        <v>4637</v>
      </c>
      <c r="J758" s="2" t="s">
        <v>222</v>
      </c>
      <c r="K758" s="2" t="s">
        <v>1242</v>
      </c>
      <c r="L758" s="3">
        <v>12.15</v>
      </c>
      <c r="M758" s="3">
        <v>12.76</v>
      </c>
      <c r="N758" s="3">
        <v>26.99</v>
      </c>
      <c r="O758" s="2" t="s">
        <v>224</v>
      </c>
      <c r="P758" s="2" t="s">
        <v>225</v>
      </c>
      <c r="Q758" s="2" t="s">
        <v>226</v>
      </c>
      <c r="R758" s="2" t="s">
        <v>227</v>
      </c>
      <c r="S758" s="2" t="s">
        <v>4638</v>
      </c>
      <c r="T758" s="2" t="s">
        <v>375</v>
      </c>
      <c r="U758" s="2" t="s">
        <v>287</v>
      </c>
      <c r="V758" s="2" t="s">
        <v>230</v>
      </c>
      <c r="W758" s="2" t="s">
        <v>231</v>
      </c>
      <c r="X758" s="2" t="s">
        <v>836</v>
      </c>
      <c r="Y758" s="2" t="s">
        <v>4639</v>
      </c>
      <c r="Z758" s="4">
        <v>278</v>
      </c>
      <c r="AA758" s="4">
        <f>=ROUNDDOWN(92.6666666666667,0)</f>
      </c>
      <c r="AB758" s="5">
        <v>3</v>
      </c>
      <c r="AC758" s="2" t="s">
        <v>227</v>
      </c>
      <c r="AD758" s="4"/>
      <c r="AE758" s="4"/>
      <c r="AF758" s="6">
        <v>65</v>
      </c>
      <c r="AG758" s="6"/>
      <c r="AH758" s="7">
        <v>1</v>
      </c>
      <c r="AI758" s="4"/>
      <c r="AJ758" s="4">
        <f>=ROUNDDOWN({0},0)</f>
      </c>
      <c r="AK758" s="5"/>
      <c r="AL758" s="2" t="s">
        <v>227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227</v>
      </c>
      <c r="AW758" s="8" t="s">
        <v>227</v>
      </c>
      <c r="AX758" s="4" t="s">
        <v>227</v>
      </c>
      <c r="AY758" s="8" t="s">
        <v>227</v>
      </c>
      <c r="AZ758" s="7" t="s">
        <v>227</v>
      </c>
      <c r="BA758" s="7" t="s">
        <v>227</v>
      </c>
      <c r="BB758" s="7"/>
      <c r="BC758" s="4" t="s">
        <v>227</v>
      </c>
      <c r="BD758" s="8" t="s">
        <v>227</v>
      </c>
      <c r="BE758" s="4" t="s">
        <v>227</v>
      </c>
      <c r="BF758" s="8" t="s">
        <v>227</v>
      </c>
      <c r="BG758" s="7" t="s">
        <v>227</v>
      </c>
      <c r="BH758" s="7" t="s">
        <v>227</v>
      </c>
      <c r="BI758" s="7"/>
      <c r="BJ758" s="4">
        <v>11</v>
      </c>
      <c r="BK758" s="8">
        <v>140.89</v>
      </c>
      <c r="BL758" s="2" t="s">
        <v>4345</v>
      </c>
      <c r="BM758" s="7"/>
      <c r="BN758" s="7"/>
      <c r="BO758" s="4"/>
      <c r="BP758" s="8"/>
      <c r="BQ758" s="4"/>
      <c r="BR758" s="8"/>
      <c r="BS758" s="7"/>
      <c r="BT758" s="7"/>
      <c r="BU758" s="2" t="s">
        <v>4640</v>
      </c>
      <c r="BV758" s="2" t="s">
        <v>227</v>
      </c>
      <c r="BW758" s="2" t="s">
        <v>227</v>
      </c>
      <c r="BX758" s="2" t="s">
        <v>235</v>
      </c>
      <c r="BY758" s="2" t="s">
        <v>236</v>
      </c>
      <c r="BZ758" s="2" t="s">
        <v>224</v>
      </c>
      <c r="CA758" s="2" t="s">
        <v>4641</v>
      </c>
      <c r="CB758" s="2" t="s">
        <v>3239</v>
      </c>
      <c r="CC758" s="2" t="s">
        <v>239</v>
      </c>
      <c r="CD758" s="2" t="s">
        <v>227</v>
      </c>
      <c r="CE758" s="4">
        <v>278</v>
      </c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/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/>
      <c r="EZ758" s="4"/>
      <c r="FA758" s="4"/>
      <c r="FB758" s="4"/>
      <c r="FC758" s="4"/>
      <c r="FD758" s="4"/>
      <c r="FE758" s="4"/>
      <c r="FF758" s="4"/>
      <c r="FG758" s="4"/>
      <c r="FH758" s="4"/>
      <c r="FI758" s="4"/>
      <c r="FJ758" s="4"/>
      <c r="FK758" s="4"/>
      <c r="FL758" s="4"/>
      <c r="FM758" s="4"/>
      <c r="FN758" s="4"/>
      <c r="FO758" s="4"/>
      <c r="FP758" s="4"/>
      <c r="FQ758" s="4"/>
      <c r="FR758" s="4"/>
      <c r="FS758" s="4"/>
      <c r="FT758" s="4"/>
      <c r="FU758" s="4"/>
      <c r="FV758" s="4"/>
      <c r="FW758" s="4"/>
      <c r="FX758" s="4"/>
      <c r="FY758" s="4"/>
      <c r="FZ758" s="4"/>
      <c r="GA758" s="4"/>
      <c r="GB758" s="4"/>
      <c r="GC758" s="4"/>
      <c r="GD758" s="4"/>
      <c r="GE758" s="4"/>
      <c r="GF758" s="4"/>
      <c r="GG758" s="4"/>
      <c r="GH758" s="4"/>
      <c r="GI758" s="4"/>
      <c r="GJ758" s="4"/>
      <c r="GK758" s="4"/>
      <c r="GL758" s="4"/>
      <c r="GM758" s="4"/>
      <c r="GN758" s="4"/>
      <c r="GO758" s="4"/>
      <c r="GP758" s="4"/>
      <c r="GQ758" s="4"/>
      <c r="GR758" s="4"/>
      <c r="GS758" s="4"/>
      <c r="GT758" s="4"/>
      <c r="GU758" s="4"/>
      <c r="GV758" s="4"/>
      <c r="GW758" s="4"/>
      <c r="GX758" s="4"/>
    </row>
    <row r="759">
      <c r="A759" s="2" t="s">
        <v>4642</v>
      </c>
      <c r="B759" s="2" t="s">
        <v>278</v>
      </c>
      <c r="C759" s="2" t="s">
        <v>1299</v>
      </c>
      <c r="D759" s="2" t="s">
        <v>280</v>
      </c>
      <c r="E759" s="2" t="s">
        <v>281</v>
      </c>
      <c r="F759" s="2" t="s">
        <v>375</v>
      </c>
      <c r="G759" s="2" t="s">
        <v>375</v>
      </c>
      <c r="H759" s="2" t="s">
        <v>375</v>
      </c>
      <c r="I759" s="2" t="s">
        <v>4637</v>
      </c>
      <c r="J759" s="2" t="s">
        <v>241</v>
      </c>
      <c r="K759" s="2" t="s">
        <v>1242</v>
      </c>
      <c r="L759" s="3">
        <v>12.15</v>
      </c>
      <c r="M759" s="3">
        <v>12.76</v>
      </c>
      <c r="N759" s="3">
        <v>26.99</v>
      </c>
      <c r="O759" s="2" t="s">
        <v>224</v>
      </c>
      <c r="P759" s="2" t="s">
        <v>225</v>
      </c>
      <c r="Q759" s="2" t="s">
        <v>226</v>
      </c>
      <c r="R759" s="2" t="s">
        <v>227</v>
      </c>
      <c r="S759" s="2" t="s">
        <v>4638</v>
      </c>
      <c r="T759" s="2" t="s">
        <v>375</v>
      </c>
      <c r="U759" s="2" t="s">
        <v>287</v>
      </c>
      <c r="V759" s="2" t="s">
        <v>230</v>
      </c>
      <c r="W759" s="2" t="s">
        <v>231</v>
      </c>
      <c r="X759" s="2" t="s">
        <v>836</v>
      </c>
      <c r="Y759" s="2" t="s">
        <v>4639</v>
      </c>
      <c r="Z759" s="4">
        <v>632</v>
      </c>
      <c r="AA759" s="4">
        <f>=ROUNDDOWN(90.2857142857143,0)</f>
      </c>
      <c r="AB759" s="5">
        <v>7</v>
      </c>
      <c r="AC759" s="2" t="s">
        <v>227</v>
      </c>
      <c r="AD759" s="4"/>
      <c r="AE759" s="4"/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227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227</v>
      </c>
      <c r="AW759" s="8" t="s">
        <v>227</v>
      </c>
      <c r="AX759" s="4" t="s">
        <v>227</v>
      </c>
      <c r="AY759" s="8" t="s">
        <v>227</v>
      </c>
      <c r="AZ759" s="7" t="s">
        <v>227</v>
      </c>
      <c r="BA759" s="7" t="s">
        <v>227</v>
      </c>
      <c r="BB759" s="7"/>
      <c r="BC759" s="4" t="s">
        <v>227</v>
      </c>
      <c r="BD759" s="8" t="s">
        <v>227</v>
      </c>
      <c r="BE759" s="4" t="s">
        <v>227</v>
      </c>
      <c r="BF759" s="8" t="s">
        <v>227</v>
      </c>
      <c r="BG759" s="7" t="s">
        <v>227</v>
      </c>
      <c r="BH759" s="7" t="s">
        <v>227</v>
      </c>
      <c r="BI759" s="7"/>
      <c r="BJ759" s="4">
        <v>127</v>
      </c>
      <c r="BK759" s="8">
        <v>1642.58</v>
      </c>
      <c r="BL759" s="2" t="s">
        <v>4643</v>
      </c>
      <c r="BM759" s="7"/>
      <c r="BN759" s="7"/>
      <c r="BO759" s="4"/>
      <c r="BP759" s="8"/>
      <c r="BQ759" s="4"/>
      <c r="BR759" s="8"/>
      <c r="BS759" s="7"/>
      <c r="BT759" s="7"/>
      <c r="BU759" s="2" t="s">
        <v>4644</v>
      </c>
      <c r="BV759" s="2" t="s">
        <v>227</v>
      </c>
      <c r="BW759" s="2" t="s">
        <v>227</v>
      </c>
      <c r="BX759" s="2" t="s">
        <v>235</v>
      </c>
      <c r="BY759" s="2" t="s">
        <v>236</v>
      </c>
      <c r="BZ759" s="2" t="s">
        <v>224</v>
      </c>
      <c r="CA759" s="2" t="s">
        <v>4641</v>
      </c>
      <c r="CB759" s="2" t="s">
        <v>4645</v>
      </c>
      <c r="CC759" s="2" t="s">
        <v>239</v>
      </c>
      <c r="CD759" s="2" t="s">
        <v>227</v>
      </c>
      <c r="CE759" s="4">
        <v>632</v>
      </c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/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/>
      <c r="FA759" s="4"/>
      <c r="FB759" s="4"/>
      <c r="FC759" s="4"/>
      <c r="FD759" s="4"/>
      <c r="FE759" s="4"/>
      <c r="FF759" s="4"/>
      <c r="FG759" s="4"/>
      <c r="FH759" s="4"/>
      <c r="FI759" s="4"/>
      <c r="FJ759" s="4"/>
      <c r="FK759" s="4"/>
      <c r="FL759" s="4"/>
      <c r="FM759" s="4"/>
      <c r="FN759" s="4"/>
      <c r="FO759" s="4"/>
      <c r="FP759" s="4"/>
      <c r="FQ759" s="4"/>
      <c r="FR759" s="4"/>
      <c r="FS759" s="4"/>
      <c r="FT759" s="4"/>
      <c r="FU759" s="4"/>
      <c r="FV759" s="4"/>
      <c r="FW759" s="4"/>
      <c r="FX759" s="4"/>
      <c r="FY759" s="4"/>
      <c r="FZ759" s="4"/>
      <c r="GA759" s="4"/>
      <c r="GB759" s="4"/>
      <c r="GC759" s="4"/>
      <c r="GD759" s="4"/>
      <c r="GE759" s="4"/>
      <c r="GF759" s="4"/>
      <c r="GG759" s="4"/>
      <c r="GH759" s="4"/>
      <c r="GI759" s="4"/>
      <c r="GJ759" s="4"/>
      <c r="GK759" s="4"/>
      <c r="GL759" s="4"/>
      <c r="GM759" s="4"/>
      <c r="GN759" s="4"/>
      <c r="GO759" s="4"/>
      <c r="GP759" s="4"/>
      <c r="GQ759" s="4"/>
      <c r="GR759" s="4"/>
      <c r="GS759" s="4"/>
      <c r="GT759" s="4"/>
      <c r="GU759" s="4"/>
      <c r="GV759" s="4"/>
      <c r="GW759" s="4"/>
      <c r="GX759" s="4"/>
    </row>
    <row r="760">
      <c r="A760" s="2" t="s">
        <v>4646</v>
      </c>
      <c r="B760" s="2" t="s">
        <v>278</v>
      </c>
      <c r="C760" s="2" t="s">
        <v>1299</v>
      </c>
      <c r="D760" s="2" t="s">
        <v>280</v>
      </c>
      <c r="E760" s="2" t="s">
        <v>281</v>
      </c>
      <c r="F760" s="2" t="s">
        <v>375</v>
      </c>
      <c r="G760" s="2" t="s">
        <v>375</v>
      </c>
      <c r="H760" s="2" t="s">
        <v>375</v>
      </c>
      <c r="I760" s="2" t="s">
        <v>4622</v>
      </c>
      <c r="J760" s="2" t="s">
        <v>247</v>
      </c>
      <c r="K760" s="2" t="s">
        <v>1242</v>
      </c>
      <c r="L760" s="3">
        <v>12.92</v>
      </c>
      <c r="M760" s="3">
        <v>13.57</v>
      </c>
      <c r="N760" s="3">
        <v>30.99</v>
      </c>
      <c r="O760" s="2" t="s">
        <v>224</v>
      </c>
      <c r="P760" s="2" t="s">
        <v>225</v>
      </c>
      <c r="Q760" s="2" t="s">
        <v>226</v>
      </c>
      <c r="R760" s="2" t="s">
        <v>227</v>
      </c>
      <c r="S760" s="2" t="s">
        <v>4638</v>
      </c>
      <c r="T760" s="2" t="s">
        <v>375</v>
      </c>
      <c r="U760" s="2" t="s">
        <v>227</v>
      </c>
      <c r="V760" s="2" t="s">
        <v>230</v>
      </c>
      <c r="W760" s="2" t="s">
        <v>231</v>
      </c>
      <c r="X760" s="2" t="s">
        <v>227</v>
      </c>
      <c r="Y760" s="2" t="s">
        <v>232</v>
      </c>
      <c r="Z760" s="4">
        <v>84</v>
      </c>
      <c r="AA760" s="4">
        <f>=ROUNDDOWN(10.5,0)</f>
      </c>
      <c r="AB760" s="5">
        <v>8</v>
      </c>
      <c r="AC760" s="2" t="s">
        <v>182</v>
      </c>
      <c r="AD760" s="4">
        <v>100</v>
      </c>
      <c r="AE760" s="4">
        <v>180</v>
      </c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227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227</v>
      </c>
      <c r="AW760" s="8" t="s">
        <v>227</v>
      </c>
      <c r="AX760" s="4" t="s">
        <v>227</v>
      </c>
      <c r="AY760" s="8" t="s">
        <v>227</v>
      </c>
      <c r="AZ760" s="7" t="s">
        <v>227</v>
      </c>
      <c r="BA760" s="7" t="s">
        <v>227</v>
      </c>
      <c r="BB760" s="7" t="s">
        <v>227</v>
      </c>
      <c r="BC760" s="4" t="s">
        <v>227</v>
      </c>
      <c r="BD760" s="8" t="s">
        <v>227</v>
      </c>
      <c r="BE760" s="4" t="s">
        <v>227</v>
      </c>
      <c r="BF760" s="8" t="s">
        <v>227</v>
      </c>
      <c r="BG760" s="7" t="s">
        <v>227</v>
      </c>
      <c r="BH760" s="7" t="s">
        <v>227</v>
      </c>
      <c r="BI760" s="7"/>
      <c r="BJ760" s="4">
        <v>36</v>
      </c>
      <c r="BK760" s="8">
        <v>527.04</v>
      </c>
      <c r="BL760" s="2" t="s">
        <v>4647</v>
      </c>
      <c r="BM760" s="7"/>
      <c r="BN760" s="7"/>
      <c r="BO760" s="4"/>
      <c r="BP760" s="8"/>
      <c r="BQ760" s="4"/>
      <c r="BR760" s="8"/>
      <c r="BS760" s="7"/>
      <c r="BT760" s="7"/>
      <c r="BU760" s="2" t="s">
        <v>4648</v>
      </c>
      <c r="BV760" s="2" t="s">
        <v>227</v>
      </c>
      <c r="BW760" s="2" t="s">
        <v>227</v>
      </c>
      <c r="BX760" s="2" t="s">
        <v>235</v>
      </c>
      <c r="BY760" s="2" t="s">
        <v>236</v>
      </c>
      <c r="BZ760" s="2" t="s">
        <v>224</v>
      </c>
      <c r="CA760" s="2" t="s">
        <v>1198</v>
      </c>
      <c r="CB760" s="2" t="s">
        <v>4649</v>
      </c>
      <c r="CC760" s="2" t="s">
        <v>239</v>
      </c>
      <c r="CD760" s="2" t="s">
        <v>227</v>
      </c>
      <c r="CE760" s="4">
        <v>84</v>
      </c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/>
      <c r="FA760" s="4"/>
      <c r="FB760" s="4"/>
      <c r="FC760" s="4"/>
      <c r="FD760" s="4"/>
      <c r="FE760" s="4"/>
      <c r="FF760" s="4"/>
      <c r="FG760" s="4"/>
      <c r="FH760" s="4"/>
      <c r="FI760" s="4"/>
      <c r="FJ760" s="4"/>
      <c r="FK760" s="4"/>
      <c r="FL760" s="4"/>
      <c r="FM760" s="4"/>
      <c r="FN760" s="4"/>
      <c r="FO760" s="4"/>
      <c r="FP760" s="4"/>
      <c r="FQ760" s="4"/>
      <c r="FR760" s="4">
        <v>100</v>
      </c>
      <c r="FS760" s="4"/>
      <c r="FT760" s="4"/>
      <c r="FU760" s="4"/>
      <c r="FV760" s="4"/>
      <c r="FW760" s="4">
        <v>30</v>
      </c>
      <c r="FX760" s="4"/>
      <c r="FY760" s="4"/>
      <c r="FZ760" s="4"/>
      <c r="GA760" s="4"/>
      <c r="GB760" s="4"/>
      <c r="GC760" s="4"/>
      <c r="GD760" s="4"/>
      <c r="GE760" s="4"/>
      <c r="GF760" s="4"/>
      <c r="GG760" s="4"/>
      <c r="GH760" s="4"/>
      <c r="GI760" s="4"/>
      <c r="GJ760" s="4"/>
      <c r="GK760" s="4"/>
      <c r="GL760" s="4"/>
      <c r="GM760" s="4">
        <v>30</v>
      </c>
      <c r="GN760" s="4"/>
      <c r="GO760" s="4"/>
      <c r="GP760" s="4"/>
      <c r="GQ760" s="4"/>
      <c r="GR760" s="4"/>
      <c r="GS760" s="4"/>
      <c r="GT760" s="4"/>
      <c r="GU760" s="4"/>
      <c r="GV760" s="4"/>
      <c r="GW760" s="4"/>
      <c r="GX760" s="4">
        <v>20</v>
      </c>
    </row>
    <row r="761">
      <c r="A761" s="2" t="s">
        <v>4650</v>
      </c>
      <c r="B761" s="2" t="s">
        <v>278</v>
      </c>
      <c r="C761" s="2" t="s">
        <v>1299</v>
      </c>
      <c r="D761" s="2" t="s">
        <v>280</v>
      </c>
      <c r="E761" s="2" t="s">
        <v>281</v>
      </c>
      <c r="F761" s="2" t="s">
        <v>375</v>
      </c>
      <c r="G761" s="2" t="s">
        <v>375</v>
      </c>
      <c r="H761" s="2" t="s">
        <v>375</v>
      </c>
      <c r="I761" s="2" t="s">
        <v>4637</v>
      </c>
      <c r="J761" s="2" t="s">
        <v>247</v>
      </c>
      <c r="K761" s="2" t="s">
        <v>1242</v>
      </c>
      <c r="L761" s="3">
        <v>14.85</v>
      </c>
      <c r="M761" s="3">
        <v>15.59</v>
      </c>
      <c r="N761" s="3">
        <v>32.99</v>
      </c>
      <c r="O761" s="2" t="s">
        <v>224</v>
      </c>
      <c r="P761" s="2" t="s">
        <v>225</v>
      </c>
      <c r="Q761" s="2" t="s">
        <v>226</v>
      </c>
      <c r="R761" s="2" t="s">
        <v>227</v>
      </c>
      <c r="S761" s="2" t="s">
        <v>4638</v>
      </c>
      <c r="T761" s="2" t="s">
        <v>375</v>
      </c>
      <c r="U761" s="2" t="s">
        <v>594</v>
      </c>
      <c r="V761" s="2" t="s">
        <v>230</v>
      </c>
      <c r="W761" s="2" t="s">
        <v>231</v>
      </c>
      <c r="X761" s="2" t="s">
        <v>836</v>
      </c>
      <c r="Y761" s="2" t="s">
        <v>4639</v>
      </c>
      <c r="Z761" s="4">
        <v>70</v>
      </c>
      <c r="AA761" s="4">
        <f>=ROUNDDOWN(28,0)</f>
      </c>
      <c r="AB761" s="5">
        <v>2.5</v>
      </c>
      <c r="AC761" s="2" t="s">
        <v>397</v>
      </c>
      <c r="AD761" s="4">
        <v>20</v>
      </c>
      <c r="AE761" s="4">
        <v>100</v>
      </c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227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227</v>
      </c>
      <c r="AW761" s="8" t="s">
        <v>227</v>
      </c>
      <c r="AX761" s="4" t="s">
        <v>227</v>
      </c>
      <c r="AY761" s="8" t="s">
        <v>227</v>
      </c>
      <c r="AZ761" s="7" t="s">
        <v>227</v>
      </c>
      <c r="BA761" s="7" t="s">
        <v>227</v>
      </c>
      <c r="BB761" s="7" t="s">
        <v>227</v>
      </c>
      <c r="BC761" s="4" t="s">
        <v>227</v>
      </c>
      <c r="BD761" s="8" t="s">
        <v>227</v>
      </c>
      <c r="BE761" s="4" t="s">
        <v>227</v>
      </c>
      <c r="BF761" s="8" t="s">
        <v>227</v>
      </c>
      <c r="BG761" s="7" t="s">
        <v>227</v>
      </c>
      <c r="BH761" s="7" t="s">
        <v>227</v>
      </c>
      <c r="BI761" s="7"/>
      <c r="BJ761" s="4">
        <v>10</v>
      </c>
      <c r="BK761" s="8">
        <v>158.17</v>
      </c>
      <c r="BL761" s="2" t="s">
        <v>4651</v>
      </c>
      <c r="BM761" s="7"/>
      <c r="BN761" s="7"/>
      <c r="BO761" s="4"/>
      <c r="BP761" s="8"/>
      <c r="BQ761" s="4"/>
      <c r="BR761" s="8"/>
      <c r="BS761" s="7"/>
      <c r="BT761" s="7"/>
      <c r="BU761" s="2" t="s">
        <v>4652</v>
      </c>
      <c r="BV761" s="2" t="s">
        <v>227</v>
      </c>
      <c r="BW761" s="2" t="s">
        <v>227</v>
      </c>
      <c r="BX761" s="2" t="s">
        <v>235</v>
      </c>
      <c r="BY761" s="2" t="s">
        <v>236</v>
      </c>
      <c r="BZ761" s="2" t="s">
        <v>224</v>
      </c>
      <c r="CA761" s="2" t="s">
        <v>4641</v>
      </c>
      <c r="CB761" s="2" t="s">
        <v>4653</v>
      </c>
      <c r="CC761" s="2" t="s">
        <v>239</v>
      </c>
      <c r="CD761" s="2" t="s">
        <v>227</v>
      </c>
      <c r="CE761" s="4">
        <v>70</v>
      </c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>
        <v>20</v>
      </c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/>
      <c r="FA761" s="4"/>
      <c r="FB761" s="4"/>
      <c r="FC761" s="4"/>
      <c r="FD761" s="4"/>
      <c r="FE761" s="4"/>
      <c r="FF761" s="4"/>
      <c r="FG761" s="4"/>
      <c r="FH761" s="4"/>
      <c r="FI761" s="4"/>
      <c r="FJ761" s="4"/>
      <c r="FK761" s="4"/>
      <c r="FL761" s="4"/>
      <c r="FM761" s="4"/>
      <c r="FN761" s="4"/>
      <c r="FO761" s="4"/>
      <c r="FP761" s="4"/>
      <c r="FQ761" s="4"/>
      <c r="FR761" s="4">
        <v>80</v>
      </c>
      <c r="FS761" s="4"/>
      <c r="FT761" s="4"/>
      <c r="FU761" s="4"/>
      <c r="FV761" s="4"/>
      <c r="FW761" s="4"/>
      <c r="FX761" s="4"/>
      <c r="FY761" s="4"/>
      <c r="FZ761" s="4"/>
      <c r="GA761" s="4"/>
      <c r="GB761" s="4"/>
      <c r="GC761" s="4"/>
      <c r="GD761" s="4"/>
      <c r="GE761" s="4"/>
      <c r="GF761" s="4"/>
      <c r="GG761" s="4"/>
      <c r="GH761" s="4"/>
      <c r="GI761" s="4"/>
      <c r="GJ761" s="4"/>
      <c r="GK761" s="4"/>
      <c r="GL761" s="4"/>
      <c r="GM761" s="4"/>
      <c r="GN761" s="4"/>
      <c r="GO761" s="4"/>
      <c r="GP761" s="4"/>
      <c r="GQ761" s="4"/>
      <c r="GR761" s="4"/>
      <c r="GS761" s="4"/>
      <c r="GT761" s="4"/>
      <c r="GU761" s="4"/>
      <c r="GV761" s="4"/>
      <c r="GW761" s="4"/>
      <c r="GX761" s="4"/>
    </row>
    <row r="762">
      <c r="A762" s="2" t="s">
        <v>4654</v>
      </c>
      <c r="B762" s="2" t="s">
        <v>278</v>
      </c>
      <c r="C762" s="2" t="s">
        <v>1299</v>
      </c>
      <c r="D762" s="2" t="s">
        <v>280</v>
      </c>
      <c r="E762" s="2" t="s">
        <v>281</v>
      </c>
      <c r="F762" s="2" t="s">
        <v>375</v>
      </c>
      <c r="G762" s="2" t="s">
        <v>375</v>
      </c>
      <c r="H762" s="2" t="s">
        <v>375</v>
      </c>
      <c r="I762" s="2" t="s">
        <v>4622</v>
      </c>
      <c r="J762" s="2" t="s">
        <v>252</v>
      </c>
      <c r="K762" s="2" t="s">
        <v>1242</v>
      </c>
      <c r="L762" s="3">
        <v>14.21</v>
      </c>
      <c r="M762" s="3">
        <v>14.92</v>
      </c>
      <c r="N762" s="3">
        <v>32.99</v>
      </c>
      <c r="O762" s="2" t="s">
        <v>224</v>
      </c>
      <c r="P762" s="2" t="s">
        <v>225</v>
      </c>
      <c r="Q762" s="2" t="s">
        <v>226</v>
      </c>
      <c r="R762" s="2" t="s">
        <v>227</v>
      </c>
      <c r="S762" s="2" t="s">
        <v>4638</v>
      </c>
      <c r="T762" s="2" t="s">
        <v>375</v>
      </c>
      <c r="U762" s="2" t="s">
        <v>227</v>
      </c>
      <c r="V762" s="2" t="s">
        <v>230</v>
      </c>
      <c r="W762" s="2" t="s">
        <v>231</v>
      </c>
      <c r="X762" s="2" t="s">
        <v>227</v>
      </c>
      <c r="Y762" s="2" t="s">
        <v>232</v>
      </c>
      <c r="Z762" s="4">
        <v>574</v>
      </c>
      <c r="AA762" s="4">
        <f>=ROUNDDOWN(15.0656167979003,0)</f>
      </c>
      <c r="AB762" s="5">
        <v>38.1</v>
      </c>
      <c r="AC762" s="2" t="s">
        <v>397</v>
      </c>
      <c r="AD762" s="4">
        <v>100</v>
      </c>
      <c r="AE762" s="4">
        <v>770</v>
      </c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227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227</v>
      </c>
      <c r="AW762" s="8" t="s">
        <v>227</v>
      </c>
      <c r="AX762" s="4" t="s">
        <v>227</v>
      </c>
      <c r="AY762" s="8" t="s">
        <v>227</v>
      </c>
      <c r="AZ762" s="7" t="s">
        <v>227</v>
      </c>
      <c r="BA762" s="7" t="s">
        <v>227</v>
      </c>
      <c r="BB762" s="7"/>
      <c r="BC762" s="4" t="s">
        <v>227</v>
      </c>
      <c r="BD762" s="8" t="s">
        <v>227</v>
      </c>
      <c r="BE762" s="4" t="s">
        <v>227</v>
      </c>
      <c r="BF762" s="8" t="s">
        <v>227</v>
      </c>
      <c r="BG762" s="7" t="s">
        <v>227</v>
      </c>
      <c r="BH762" s="7" t="s">
        <v>227</v>
      </c>
      <c r="BI762" s="7"/>
      <c r="BJ762" s="4">
        <v>169</v>
      </c>
      <c r="BK762" s="8">
        <v>2396.02</v>
      </c>
      <c r="BL762" s="2" t="s">
        <v>4655</v>
      </c>
      <c r="BM762" s="7"/>
      <c r="BN762" s="7"/>
      <c r="BO762" s="4"/>
      <c r="BP762" s="8"/>
      <c r="BQ762" s="4"/>
      <c r="BR762" s="8"/>
      <c r="BS762" s="7"/>
      <c r="BT762" s="7"/>
      <c r="BU762" s="2" t="s">
        <v>4656</v>
      </c>
      <c r="BV762" s="2" t="s">
        <v>227</v>
      </c>
      <c r="BW762" s="2" t="s">
        <v>227</v>
      </c>
      <c r="BX762" s="2" t="s">
        <v>235</v>
      </c>
      <c r="BY762" s="2" t="s">
        <v>236</v>
      </c>
      <c r="BZ762" s="2" t="s">
        <v>224</v>
      </c>
      <c r="CA762" s="2" t="s">
        <v>1198</v>
      </c>
      <c r="CB762" s="2" t="s">
        <v>4657</v>
      </c>
      <c r="CC762" s="2" t="s">
        <v>239</v>
      </c>
      <c r="CD762" s="2" t="s">
        <v>227</v>
      </c>
      <c r="CE762" s="4">
        <v>574</v>
      </c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>
        <v>100</v>
      </c>
      <c r="EF762" s="4"/>
      <c r="EG762" s="4"/>
      <c r="EH762" s="4"/>
      <c r="EI762" s="4"/>
      <c r="EJ762" s="4"/>
      <c r="EK762" s="4"/>
      <c r="EL762" s="4"/>
      <c r="EM762" s="4"/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/>
      <c r="FB762" s="4"/>
      <c r="FC762" s="4"/>
      <c r="FD762" s="4"/>
      <c r="FE762" s="4"/>
      <c r="FF762" s="4"/>
      <c r="FG762" s="4"/>
      <c r="FH762" s="4"/>
      <c r="FI762" s="4"/>
      <c r="FJ762" s="4"/>
      <c r="FK762" s="4"/>
      <c r="FL762" s="4"/>
      <c r="FM762" s="4"/>
      <c r="FN762" s="4"/>
      <c r="FO762" s="4"/>
      <c r="FP762" s="4"/>
      <c r="FQ762" s="4"/>
      <c r="FR762" s="4"/>
      <c r="FS762" s="4"/>
      <c r="FT762" s="4"/>
      <c r="FU762" s="4"/>
      <c r="FV762" s="4"/>
      <c r="FW762" s="4">
        <v>120</v>
      </c>
      <c r="FX762" s="4"/>
      <c r="FY762" s="4"/>
      <c r="FZ762" s="4"/>
      <c r="GA762" s="4"/>
      <c r="GB762" s="4"/>
      <c r="GC762" s="4"/>
      <c r="GD762" s="4"/>
      <c r="GE762" s="4"/>
      <c r="GF762" s="4"/>
      <c r="GG762" s="4"/>
      <c r="GH762" s="4"/>
      <c r="GI762" s="4"/>
      <c r="GJ762" s="4"/>
      <c r="GK762" s="4"/>
      <c r="GL762" s="4"/>
      <c r="GM762" s="4">
        <v>270</v>
      </c>
      <c r="GN762" s="4"/>
      <c r="GO762" s="4"/>
      <c r="GP762" s="4"/>
      <c r="GQ762" s="4"/>
      <c r="GR762" s="4"/>
      <c r="GS762" s="4"/>
      <c r="GT762" s="4"/>
      <c r="GU762" s="4"/>
      <c r="GV762" s="4"/>
      <c r="GW762" s="4"/>
      <c r="GX762" s="4">
        <v>280</v>
      </c>
    </row>
    <row r="763">
      <c r="A763" s="2" t="s">
        <v>4658</v>
      </c>
      <c r="B763" s="2" t="s">
        <v>278</v>
      </c>
      <c r="C763" s="2" t="s">
        <v>1299</v>
      </c>
      <c r="D763" s="2" t="s">
        <v>280</v>
      </c>
      <c r="E763" s="2" t="s">
        <v>281</v>
      </c>
      <c r="F763" s="2" t="s">
        <v>375</v>
      </c>
      <c r="G763" s="2" t="s">
        <v>375</v>
      </c>
      <c r="H763" s="2" t="s">
        <v>375</v>
      </c>
      <c r="I763" s="2" t="s">
        <v>4637</v>
      </c>
      <c r="J763" s="2" t="s">
        <v>222</v>
      </c>
      <c r="K763" s="2" t="s">
        <v>410</v>
      </c>
      <c r="L763" s="3">
        <v>12.15</v>
      </c>
      <c r="M763" s="3">
        <v>12.76</v>
      </c>
      <c r="N763" s="3">
        <v>26.99</v>
      </c>
      <c r="O763" s="2" t="s">
        <v>224</v>
      </c>
      <c r="P763" s="2" t="s">
        <v>225</v>
      </c>
      <c r="Q763" s="2" t="s">
        <v>226</v>
      </c>
      <c r="R763" s="2" t="s">
        <v>227</v>
      </c>
      <c r="S763" s="2" t="s">
        <v>4659</v>
      </c>
      <c r="T763" s="2" t="s">
        <v>375</v>
      </c>
      <c r="U763" s="2" t="s">
        <v>287</v>
      </c>
      <c r="V763" s="2" t="s">
        <v>230</v>
      </c>
      <c r="W763" s="2" t="s">
        <v>836</v>
      </c>
      <c r="X763" s="2" t="s">
        <v>227</v>
      </c>
      <c r="Y763" s="2" t="s">
        <v>3982</v>
      </c>
      <c r="Z763" s="4">
        <v>147</v>
      </c>
      <c r="AA763" s="4">
        <f>=ROUNDDOWN(36.75,0)</f>
      </c>
      <c r="AB763" s="5">
        <v>4</v>
      </c>
      <c r="AC763" s="2" t="s">
        <v>203</v>
      </c>
      <c r="AD763" s="4">
        <v>40</v>
      </c>
      <c r="AE763" s="4">
        <v>40</v>
      </c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227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227</v>
      </c>
      <c r="AW763" s="8" t="s">
        <v>227</v>
      </c>
      <c r="AX763" s="4" t="s">
        <v>227</v>
      </c>
      <c r="AY763" s="8" t="s">
        <v>227</v>
      </c>
      <c r="AZ763" s="7" t="s">
        <v>227</v>
      </c>
      <c r="BA763" s="7" t="s">
        <v>227</v>
      </c>
      <c r="BB763" s="7"/>
      <c r="BC763" s="4" t="s">
        <v>227</v>
      </c>
      <c r="BD763" s="8" t="s">
        <v>227</v>
      </c>
      <c r="BE763" s="4" t="s">
        <v>227</v>
      </c>
      <c r="BF763" s="8" t="s">
        <v>227</v>
      </c>
      <c r="BG763" s="7" t="s">
        <v>227</v>
      </c>
      <c r="BH763" s="7" t="s">
        <v>227</v>
      </c>
      <c r="BI763" s="7"/>
      <c r="BJ763" s="4">
        <v>14</v>
      </c>
      <c r="BK763" s="8">
        <v>177.06</v>
      </c>
      <c r="BL763" s="2" t="s">
        <v>4393</v>
      </c>
      <c r="BM763" s="7"/>
      <c r="BN763" s="7"/>
      <c r="BO763" s="4"/>
      <c r="BP763" s="8"/>
      <c r="BQ763" s="4"/>
      <c r="BR763" s="8"/>
      <c r="BS763" s="7"/>
      <c r="BT763" s="7"/>
      <c r="BU763" s="2" t="s">
        <v>4660</v>
      </c>
      <c r="BV763" s="2" t="s">
        <v>227</v>
      </c>
      <c r="BW763" s="2" t="s">
        <v>227</v>
      </c>
      <c r="BX763" s="2" t="s">
        <v>235</v>
      </c>
      <c r="BY763" s="2" t="s">
        <v>236</v>
      </c>
      <c r="BZ763" s="2" t="s">
        <v>224</v>
      </c>
      <c r="CA763" s="2" t="s">
        <v>2501</v>
      </c>
      <c r="CB763" s="2" t="s">
        <v>4661</v>
      </c>
      <c r="CC763" s="2" t="s">
        <v>239</v>
      </c>
      <c r="CD763" s="2" t="s">
        <v>227</v>
      </c>
      <c r="CE763" s="4">
        <v>147</v>
      </c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/>
      <c r="EN763" s="4"/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/>
      <c r="FB763" s="4"/>
      <c r="FC763" s="4"/>
      <c r="FD763" s="4"/>
      <c r="FE763" s="4"/>
      <c r="FF763" s="4"/>
      <c r="FG763" s="4"/>
      <c r="FH763" s="4"/>
      <c r="FI763" s="4"/>
      <c r="FJ763" s="4"/>
      <c r="FK763" s="4"/>
      <c r="FL763" s="4"/>
      <c r="FM763" s="4"/>
      <c r="FN763" s="4"/>
      <c r="FO763" s="4"/>
      <c r="FP763" s="4"/>
      <c r="FQ763" s="4"/>
      <c r="FR763" s="4"/>
      <c r="FS763" s="4"/>
      <c r="FT763" s="4"/>
      <c r="FU763" s="4"/>
      <c r="FV763" s="4"/>
      <c r="FW763" s="4"/>
      <c r="FX763" s="4"/>
      <c r="FY763" s="4"/>
      <c r="FZ763" s="4"/>
      <c r="GA763" s="4"/>
      <c r="GB763" s="4"/>
      <c r="GC763" s="4"/>
      <c r="GD763" s="4"/>
      <c r="GE763" s="4"/>
      <c r="GF763" s="4"/>
      <c r="GG763" s="4"/>
      <c r="GH763" s="4"/>
      <c r="GI763" s="4"/>
      <c r="GJ763" s="4"/>
      <c r="GK763" s="4"/>
      <c r="GL763" s="4"/>
      <c r="GM763" s="4">
        <v>40</v>
      </c>
      <c r="GN763" s="4"/>
      <c r="GO763" s="4"/>
      <c r="GP763" s="4"/>
      <c r="GQ763" s="4"/>
      <c r="GR763" s="4"/>
      <c r="GS763" s="4"/>
      <c r="GT763" s="4"/>
      <c r="GU763" s="4"/>
      <c r="GV763" s="4"/>
      <c r="GW763" s="4"/>
      <c r="GX763" s="4"/>
    </row>
    <row r="764">
      <c r="A764" s="2" t="s">
        <v>4662</v>
      </c>
      <c r="B764" s="2" t="s">
        <v>278</v>
      </c>
      <c r="C764" s="2" t="s">
        <v>1299</v>
      </c>
      <c r="D764" s="2" t="s">
        <v>280</v>
      </c>
      <c r="E764" s="2" t="s">
        <v>281</v>
      </c>
      <c r="F764" s="2" t="s">
        <v>375</v>
      </c>
      <c r="G764" s="2" t="s">
        <v>375</v>
      </c>
      <c r="H764" s="2" t="s">
        <v>375</v>
      </c>
      <c r="I764" s="2" t="s">
        <v>4622</v>
      </c>
      <c r="J764" s="2" t="s">
        <v>241</v>
      </c>
      <c r="K764" s="2" t="s">
        <v>410</v>
      </c>
      <c r="L764" s="3">
        <v>11.18</v>
      </c>
      <c r="M764" s="3">
        <v>11.74</v>
      </c>
      <c r="N764" s="3">
        <v>27.99</v>
      </c>
      <c r="O764" s="2" t="s">
        <v>224</v>
      </c>
      <c r="P764" s="2" t="s">
        <v>225</v>
      </c>
      <c r="Q764" s="2" t="s">
        <v>226</v>
      </c>
      <c r="R764" s="2" t="s">
        <v>227</v>
      </c>
      <c r="S764" s="2" t="s">
        <v>4659</v>
      </c>
      <c r="T764" s="2" t="s">
        <v>375</v>
      </c>
      <c r="U764" s="2" t="s">
        <v>227</v>
      </c>
      <c r="V764" s="2" t="s">
        <v>230</v>
      </c>
      <c r="W764" s="2" t="s">
        <v>231</v>
      </c>
      <c r="X764" s="2" t="s">
        <v>227</v>
      </c>
      <c r="Y764" s="2" t="s">
        <v>232</v>
      </c>
      <c r="Z764" s="4">
        <v>423</v>
      </c>
      <c r="AA764" s="4">
        <f>=ROUNDDOWN(105.75,0)</f>
      </c>
      <c r="AB764" s="5">
        <v>4</v>
      </c>
      <c r="AC764" s="2" t="s">
        <v>227</v>
      </c>
      <c r="AD764" s="4"/>
      <c r="AE764" s="4"/>
      <c r="AF764" s="6">
        <v>65</v>
      </c>
      <c r="AG764" s="6"/>
      <c r="AH764" s="7">
        <v>1</v>
      </c>
      <c r="AI764" s="4"/>
      <c r="AJ764" s="4">
        <f>=ROUNDDOWN({0},0)</f>
      </c>
      <c r="AK764" s="5"/>
      <c r="AL764" s="2" t="s">
        <v>227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227</v>
      </c>
      <c r="AW764" s="8" t="s">
        <v>227</v>
      </c>
      <c r="AX764" s="4" t="s">
        <v>227</v>
      </c>
      <c r="AY764" s="8" t="s">
        <v>227</v>
      </c>
      <c r="AZ764" s="7" t="s">
        <v>227</v>
      </c>
      <c r="BA764" s="7" t="s">
        <v>227</v>
      </c>
      <c r="BB764" s="7" t="s">
        <v>227</v>
      </c>
      <c r="BC764" s="4" t="s">
        <v>227</v>
      </c>
      <c r="BD764" s="8" t="s">
        <v>227</v>
      </c>
      <c r="BE764" s="4" t="s">
        <v>227</v>
      </c>
      <c r="BF764" s="8" t="s">
        <v>227</v>
      </c>
      <c r="BG764" s="7" t="s">
        <v>227</v>
      </c>
      <c r="BH764" s="7" t="s">
        <v>227</v>
      </c>
      <c r="BI764" s="7"/>
      <c r="BJ764" s="4">
        <v>51</v>
      </c>
      <c r="BK764" s="8">
        <v>580.52</v>
      </c>
      <c r="BL764" s="2" t="s">
        <v>4663</v>
      </c>
      <c r="BM764" s="7"/>
      <c r="BN764" s="7"/>
      <c r="BO764" s="4"/>
      <c r="BP764" s="8"/>
      <c r="BQ764" s="4"/>
      <c r="BR764" s="8"/>
      <c r="BS764" s="7"/>
      <c r="BT764" s="7"/>
      <c r="BU764" s="2" t="s">
        <v>4664</v>
      </c>
      <c r="BV764" s="2" t="s">
        <v>227</v>
      </c>
      <c r="BW764" s="2" t="s">
        <v>227</v>
      </c>
      <c r="BX764" s="2" t="s">
        <v>235</v>
      </c>
      <c r="BY764" s="2" t="s">
        <v>236</v>
      </c>
      <c r="BZ764" s="2" t="s">
        <v>224</v>
      </c>
      <c r="CA764" s="2" t="s">
        <v>237</v>
      </c>
      <c r="CB764" s="2" t="s">
        <v>443</v>
      </c>
      <c r="CC764" s="2" t="s">
        <v>239</v>
      </c>
      <c r="CD764" s="2" t="s">
        <v>227</v>
      </c>
      <c r="CE764" s="4">
        <v>423</v>
      </c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/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/>
      <c r="FA764" s="4"/>
      <c r="FB764" s="4"/>
      <c r="FC764" s="4"/>
      <c r="FD764" s="4"/>
      <c r="FE764" s="4"/>
      <c r="FF764" s="4"/>
      <c r="FG764" s="4"/>
      <c r="FH764" s="4"/>
      <c r="FI764" s="4"/>
      <c r="FJ764" s="4"/>
      <c r="FK764" s="4"/>
      <c r="FL764" s="4"/>
      <c r="FM764" s="4"/>
      <c r="FN764" s="4"/>
      <c r="FO764" s="4"/>
      <c r="FP764" s="4"/>
      <c r="FQ764" s="4"/>
      <c r="FR764" s="4"/>
      <c r="FS764" s="4"/>
      <c r="FT764" s="4"/>
      <c r="FU764" s="4"/>
      <c r="FV764" s="4"/>
      <c r="FW764" s="4"/>
      <c r="FX764" s="4"/>
      <c r="FY764" s="4"/>
      <c r="FZ764" s="4"/>
      <c r="GA764" s="4"/>
      <c r="GB764" s="4"/>
      <c r="GC764" s="4"/>
      <c r="GD764" s="4"/>
      <c r="GE764" s="4"/>
      <c r="GF764" s="4"/>
      <c r="GG764" s="4"/>
      <c r="GH764" s="4"/>
      <c r="GI764" s="4"/>
      <c r="GJ764" s="4"/>
      <c r="GK764" s="4"/>
      <c r="GL764" s="4"/>
      <c r="GM764" s="4"/>
      <c r="GN764" s="4"/>
      <c r="GO764" s="4"/>
      <c r="GP764" s="4"/>
      <c r="GQ764" s="4"/>
      <c r="GR764" s="4"/>
      <c r="GS764" s="4"/>
      <c r="GT764" s="4"/>
      <c r="GU764" s="4"/>
      <c r="GV764" s="4"/>
      <c r="GW764" s="4"/>
      <c r="GX764" s="4"/>
    </row>
    <row r="765">
      <c r="A765" s="2" t="s">
        <v>4665</v>
      </c>
      <c r="B765" s="2" t="s">
        <v>278</v>
      </c>
      <c r="C765" s="2" t="s">
        <v>1299</v>
      </c>
      <c r="D765" s="2" t="s">
        <v>280</v>
      </c>
      <c r="E765" s="2" t="s">
        <v>281</v>
      </c>
      <c r="F765" s="2" t="s">
        <v>375</v>
      </c>
      <c r="G765" s="2" t="s">
        <v>375</v>
      </c>
      <c r="H765" s="2" t="s">
        <v>375</v>
      </c>
      <c r="I765" s="2" t="s">
        <v>4637</v>
      </c>
      <c r="J765" s="2" t="s">
        <v>241</v>
      </c>
      <c r="K765" s="2" t="s">
        <v>410</v>
      </c>
      <c r="L765" s="3">
        <v>12.15</v>
      </c>
      <c r="M765" s="3">
        <v>12.76</v>
      </c>
      <c r="N765" s="3">
        <v>26.99</v>
      </c>
      <c r="O765" s="2" t="s">
        <v>224</v>
      </c>
      <c r="P765" s="2" t="s">
        <v>225</v>
      </c>
      <c r="Q765" s="2" t="s">
        <v>226</v>
      </c>
      <c r="R765" s="2" t="s">
        <v>227</v>
      </c>
      <c r="S765" s="2" t="s">
        <v>4659</v>
      </c>
      <c r="T765" s="2" t="s">
        <v>375</v>
      </c>
      <c r="U765" s="2" t="s">
        <v>287</v>
      </c>
      <c r="V765" s="2" t="s">
        <v>230</v>
      </c>
      <c r="W765" s="2" t="s">
        <v>836</v>
      </c>
      <c r="X765" s="2" t="s">
        <v>227</v>
      </c>
      <c r="Y765" s="2" t="s">
        <v>3982</v>
      </c>
      <c r="Z765" s="4">
        <v>598</v>
      </c>
      <c r="AA765" s="4">
        <f>=ROUNDDOWN(85.4285714285714,0)</f>
      </c>
      <c r="AB765" s="5">
        <v>7</v>
      </c>
      <c r="AC765" s="2" t="s">
        <v>227</v>
      </c>
      <c r="AD765" s="4"/>
      <c r="AE765" s="4"/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227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227</v>
      </c>
      <c r="AW765" s="8" t="s">
        <v>227</v>
      </c>
      <c r="AX765" s="4" t="s">
        <v>227</v>
      </c>
      <c r="AY765" s="8" t="s">
        <v>227</v>
      </c>
      <c r="AZ765" s="7" t="s">
        <v>227</v>
      </c>
      <c r="BA765" s="7" t="s">
        <v>227</v>
      </c>
      <c r="BB765" s="7" t="s">
        <v>227</v>
      </c>
      <c r="BC765" s="4" t="s">
        <v>227</v>
      </c>
      <c r="BD765" s="8" t="s">
        <v>227</v>
      </c>
      <c r="BE765" s="4" t="s">
        <v>227</v>
      </c>
      <c r="BF765" s="8" t="s">
        <v>227</v>
      </c>
      <c r="BG765" s="7" t="s">
        <v>227</v>
      </c>
      <c r="BH765" s="7" t="s">
        <v>227</v>
      </c>
      <c r="BI765" s="7"/>
      <c r="BJ765" s="4">
        <v>154</v>
      </c>
      <c r="BK765" s="8">
        <v>1912.17</v>
      </c>
      <c r="BL765" s="2" t="s">
        <v>4666</v>
      </c>
      <c r="BM765" s="7"/>
      <c r="BN765" s="7"/>
      <c r="BO765" s="4"/>
      <c r="BP765" s="8"/>
      <c r="BQ765" s="4"/>
      <c r="BR765" s="8"/>
      <c r="BS765" s="7"/>
      <c r="BT765" s="7"/>
      <c r="BU765" s="2" t="s">
        <v>4667</v>
      </c>
      <c r="BV765" s="2" t="s">
        <v>227</v>
      </c>
      <c r="BW765" s="2" t="s">
        <v>227</v>
      </c>
      <c r="BX765" s="2" t="s">
        <v>235</v>
      </c>
      <c r="BY765" s="2" t="s">
        <v>236</v>
      </c>
      <c r="BZ765" s="2" t="s">
        <v>224</v>
      </c>
      <c r="CA765" s="2" t="s">
        <v>2501</v>
      </c>
      <c r="CB765" s="2" t="s">
        <v>1876</v>
      </c>
      <c r="CC765" s="2" t="s">
        <v>239</v>
      </c>
      <c r="CD765" s="2" t="s">
        <v>227</v>
      </c>
      <c r="CE765" s="4">
        <v>598</v>
      </c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/>
      <c r="EN765" s="4"/>
      <c r="EO765" s="4"/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/>
      <c r="FA765" s="4"/>
      <c r="FB765" s="4"/>
      <c r="FC765" s="4"/>
      <c r="FD765" s="4"/>
      <c r="FE765" s="4"/>
      <c r="FF765" s="4"/>
      <c r="FG765" s="4"/>
      <c r="FH765" s="4"/>
      <c r="FI765" s="4"/>
      <c r="FJ765" s="4"/>
      <c r="FK765" s="4"/>
      <c r="FL765" s="4"/>
      <c r="FM765" s="4"/>
      <c r="FN765" s="4"/>
      <c r="FO765" s="4"/>
      <c r="FP765" s="4"/>
      <c r="FQ765" s="4"/>
      <c r="FR765" s="4"/>
      <c r="FS765" s="4"/>
      <c r="FT765" s="4"/>
      <c r="FU765" s="4"/>
      <c r="FV765" s="4"/>
      <c r="FW765" s="4"/>
      <c r="FX765" s="4"/>
      <c r="FY765" s="4"/>
      <c r="FZ765" s="4"/>
      <c r="GA765" s="4"/>
      <c r="GB765" s="4"/>
      <c r="GC765" s="4"/>
      <c r="GD765" s="4"/>
      <c r="GE765" s="4"/>
      <c r="GF765" s="4"/>
      <c r="GG765" s="4"/>
      <c r="GH765" s="4"/>
      <c r="GI765" s="4"/>
      <c r="GJ765" s="4"/>
      <c r="GK765" s="4"/>
      <c r="GL765" s="4"/>
      <c r="GM765" s="4"/>
      <c r="GN765" s="4"/>
      <c r="GO765" s="4"/>
      <c r="GP765" s="4"/>
      <c r="GQ765" s="4"/>
      <c r="GR765" s="4"/>
      <c r="GS765" s="4"/>
      <c r="GT765" s="4"/>
      <c r="GU765" s="4"/>
      <c r="GV765" s="4"/>
      <c r="GW765" s="4"/>
      <c r="GX765" s="4"/>
    </row>
    <row r="766">
      <c r="A766" s="2" t="s">
        <v>4668</v>
      </c>
      <c r="B766" s="2" t="s">
        <v>278</v>
      </c>
      <c r="C766" s="2" t="s">
        <v>1299</v>
      </c>
      <c r="D766" s="2" t="s">
        <v>280</v>
      </c>
      <c r="E766" s="2" t="s">
        <v>281</v>
      </c>
      <c r="F766" s="2" t="s">
        <v>375</v>
      </c>
      <c r="G766" s="2" t="s">
        <v>375</v>
      </c>
      <c r="H766" s="2" t="s">
        <v>375</v>
      </c>
      <c r="I766" s="2" t="s">
        <v>4622</v>
      </c>
      <c r="J766" s="2" t="s">
        <v>247</v>
      </c>
      <c r="K766" s="2" t="s">
        <v>410</v>
      </c>
      <c r="L766" s="3">
        <v>12.92</v>
      </c>
      <c r="M766" s="3">
        <v>13.57</v>
      </c>
      <c r="N766" s="3">
        <v>30.99</v>
      </c>
      <c r="O766" s="2" t="s">
        <v>224</v>
      </c>
      <c r="P766" s="2" t="s">
        <v>225</v>
      </c>
      <c r="Q766" s="2" t="s">
        <v>226</v>
      </c>
      <c r="R766" s="2" t="s">
        <v>227</v>
      </c>
      <c r="S766" s="2" t="s">
        <v>4659</v>
      </c>
      <c r="T766" s="2" t="s">
        <v>375</v>
      </c>
      <c r="U766" s="2" t="s">
        <v>227</v>
      </c>
      <c r="V766" s="2" t="s">
        <v>230</v>
      </c>
      <c r="W766" s="2" t="s">
        <v>231</v>
      </c>
      <c r="X766" s="2" t="s">
        <v>227</v>
      </c>
      <c r="Y766" s="2" t="s">
        <v>232</v>
      </c>
      <c r="Z766" s="4">
        <v>327</v>
      </c>
      <c r="AA766" s="4">
        <f>=ROUNDDOWN(54.5,0)</f>
      </c>
      <c r="AB766" s="5">
        <v>6</v>
      </c>
      <c r="AC766" s="2" t="s">
        <v>227</v>
      </c>
      <c r="AD766" s="4"/>
      <c r="AE766" s="4"/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227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227</v>
      </c>
      <c r="AW766" s="8" t="s">
        <v>227</v>
      </c>
      <c r="AX766" s="4" t="s">
        <v>227</v>
      </c>
      <c r="AY766" s="8" t="s">
        <v>227</v>
      </c>
      <c r="AZ766" s="7" t="s">
        <v>227</v>
      </c>
      <c r="BA766" s="7" t="s">
        <v>227</v>
      </c>
      <c r="BB766" s="7"/>
      <c r="BC766" s="4" t="s">
        <v>227</v>
      </c>
      <c r="BD766" s="8" t="s">
        <v>227</v>
      </c>
      <c r="BE766" s="4" t="s">
        <v>227</v>
      </c>
      <c r="BF766" s="8" t="s">
        <v>227</v>
      </c>
      <c r="BG766" s="7" t="s">
        <v>227</v>
      </c>
      <c r="BH766" s="7" t="s">
        <v>227</v>
      </c>
      <c r="BI766" s="7"/>
      <c r="BJ766" s="4">
        <v>19</v>
      </c>
      <c r="BK766" s="8">
        <v>269.99</v>
      </c>
      <c r="BL766" s="2" t="s">
        <v>4669</v>
      </c>
      <c r="BM766" s="7"/>
      <c r="BN766" s="7"/>
      <c r="BO766" s="4"/>
      <c r="BP766" s="8"/>
      <c r="BQ766" s="4"/>
      <c r="BR766" s="8"/>
      <c r="BS766" s="7"/>
      <c r="BT766" s="7"/>
      <c r="BU766" s="2" t="s">
        <v>4670</v>
      </c>
      <c r="BV766" s="2" t="s">
        <v>227</v>
      </c>
      <c r="BW766" s="2" t="s">
        <v>227</v>
      </c>
      <c r="BX766" s="2" t="s">
        <v>235</v>
      </c>
      <c r="BY766" s="2" t="s">
        <v>236</v>
      </c>
      <c r="BZ766" s="2" t="s">
        <v>224</v>
      </c>
      <c r="CA766" s="2" t="s">
        <v>237</v>
      </c>
      <c r="CB766" s="2" t="s">
        <v>4671</v>
      </c>
      <c r="CC766" s="2" t="s">
        <v>239</v>
      </c>
      <c r="CD766" s="2" t="s">
        <v>227</v>
      </c>
      <c r="CE766" s="4">
        <v>327</v>
      </c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  <c r="EM766" s="4"/>
      <c r="EN766" s="4"/>
      <c r="EO766" s="4"/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/>
      <c r="FA766" s="4"/>
      <c r="FB766" s="4"/>
      <c r="FC766" s="4"/>
      <c r="FD766" s="4"/>
      <c r="FE766" s="4"/>
      <c r="FF766" s="4"/>
      <c r="FG766" s="4"/>
      <c r="FH766" s="4"/>
      <c r="FI766" s="4"/>
      <c r="FJ766" s="4"/>
      <c r="FK766" s="4"/>
      <c r="FL766" s="4"/>
      <c r="FM766" s="4"/>
      <c r="FN766" s="4"/>
      <c r="FO766" s="4"/>
      <c r="FP766" s="4"/>
      <c r="FQ766" s="4"/>
      <c r="FR766" s="4"/>
      <c r="FS766" s="4"/>
      <c r="FT766" s="4"/>
      <c r="FU766" s="4"/>
      <c r="FV766" s="4"/>
      <c r="FW766" s="4"/>
      <c r="FX766" s="4"/>
      <c r="FY766" s="4"/>
      <c r="FZ766" s="4"/>
      <c r="GA766" s="4"/>
      <c r="GB766" s="4"/>
      <c r="GC766" s="4"/>
      <c r="GD766" s="4"/>
      <c r="GE766" s="4"/>
      <c r="GF766" s="4"/>
      <c r="GG766" s="4"/>
      <c r="GH766" s="4"/>
      <c r="GI766" s="4"/>
      <c r="GJ766" s="4"/>
      <c r="GK766" s="4"/>
      <c r="GL766" s="4"/>
      <c r="GM766" s="4"/>
      <c r="GN766" s="4"/>
      <c r="GO766" s="4"/>
      <c r="GP766" s="4"/>
      <c r="GQ766" s="4"/>
      <c r="GR766" s="4"/>
      <c r="GS766" s="4"/>
      <c r="GT766" s="4"/>
      <c r="GU766" s="4"/>
      <c r="GV766" s="4"/>
      <c r="GW766" s="4"/>
      <c r="GX766" s="4"/>
    </row>
    <row r="767">
      <c r="A767" s="2" t="s">
        <v>4672</v>
      </c>
      <c r="B767" s="2" t="s">
        <v>278</v>
      </c>
      <c r="C767" s="2" t="s">
        <v>1299</v>
      </c>
      <c r="D767" s="2" t="s">
        <v>280</v>
      </c>
      <c r="E767" s="2" t="s">
        <v>281</v>
      </c>
      <c r="F767" s="2" t="s">
        <v>375</v>
      </c>
      <c r="G767" s="2" t="s">
        <v>375</v>
      </c>
      <c r="H767" s="2" t="s">
        <v>375</v>
      </c>
      <c r="I767" s="2" t="s">
        <v>4622</v>
      </c>
      <c r="J767" s="2" t="s">
        <v>222</v>
      </c>
      <c r="K767" s="2" t="s">
        <v>1761</v>
      </c>
      <c r="L767" s="3">
        <v>11.18</v>
      </c>
      <c r="M767" s="3">
        <v>11.74</v>
      </c>
      <c r="N767" s="3">
        <v>27.99</v>
      </c>
      <c r="O767" s="2" t="s">
        <v>224</v>
      </c>
      <c r="P767" s="2" t="s">
        <v>225</v>
      </c>
      <c r="Q767" s="2" t="s">
        <v>226</v>
      </c>
      <c r="R767" s="2" t="s">
        <v>227</v>
      </c>
      <c r="S767" s="2" t="s">
        <v>4673</v>
      </c>
      <c r="T767" s="2" t="s">
        <v>375</v>
      </c>
      <c r="U767" s="2" t="s">
        <v>674</v>
      </c>
      <c r="V767" s="2" t="s">
        <v>230</v>
      </c>
      <c r="W767" s="2" t="s">
        <v>231</v>
      </c>
      <c r="X767" s="2" t="s">
        <v>227</v>
      </c>
      <c r="Y767" s="2" t="s">
        <v>4624</v>
      </c>
      <c r="Z767" s="4">
        <v>112</v>
      </c>
      <c r="AA767" s="4">
        <f>=ROUNDDOWN(27.3170731707317,0)</f>
      </c>
      <c r="AB767" s="5">
        <v>4.1</v>
      </c>
      <c r="AC767" s="2" t="s">
        <v>203</v>
      </c>
      <c r="AD767" s="4">
        <v>40</v>
      </c>
      <c r="AE767" s="4">
        <v>100</v>
      </c>
      <c r="AF767" s="6">
        <v>65</v>
      </c>
      <c r="AG767" s="6"/>
      <c r="AH767" s="7">
        <v>1</v>
      </c>
      <c r="AI767" s="4"/>
      <c r="AJ767" s="4">
        <f>=ROUNDDOWN({0},0)</f>
      </c>
      <c r="AK767" s="5"/>
      <c r="AL767" s="2" t="s">
        <v>227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227</v>
      </c>
      <c r="AW767" s="8" t="s">
        <v>227</v>
      </c>
      <c r="AX767" s="4" t="s">
        <v>227</v>
      </c>
      <c r="AY767" s="8" t="s">
        <v>227</v>
      </c>
      <c r="AZ767" s="7" t="s">
        <v>227</v>
      </c>
      <c r="BA767" s="7" t="s">
        <v>227</v>
      </c>
      <c r="BB767" s="7"/>
      <c r="BC767" s="4" t="s">
        <v>227</v>
      </c>
      <c r="BD767" s="8" t="s">
        <v>227</v>
      </c>
      <c r="BE767" s="4" t="s">
        <v>227</v>
      </c>
      <c r="BF767" s="8" t="s">
        <v>227</v>
      </c>
      <c r="BG767" s="7" t="s">
        <v>227</v>
      </c>
      <c r="BH767" s="7" t="s">
        <v>227</v>
      </c>
      <c r="BI767" s="7"/>
      <c r="BJ767" s="4">
        <v>19</v>
      </c>
      <c r="BK767" s="8">
        <v>232.66</v>
      </c>
      <c r="BL767" s="2" t="s">
        <v>4674</v>
      </c>
      <c r="BM767" s="7"/>
      <c r="BN767" s="7"/>
      <c r="BO767" s="4"/>
      <c r="BP767" s="8"/>
      <c r="BQ767" s="4"/>
      <c r="BR767" s="8"/>
      <c r="BS767" s="7"/>
      <c r="BT767" s="7"/>
      <c r="BU767" s="2" t="s">
        <v>4675</v>
      </c>
      <c r="BV767" s="2" t="s">
        <v>227</v>
      </c>
      <c r="BW767" s="2" t="s">
        <v>227</v>
      </c>
      <c r="BX767" s="2" t="s">
        <v>235</v>
      </c>
      <c r="BY767" s="2" t="s">
        <v>236</v>
      </c>
      <c r="BZ767" s="2" t="s">
        <v>224</v>
      </c>
      <c r="CA767" s="2" t="s">
        <v>292</v>
      </c>
      <c r="CB767" s="2" t="s">
        <v>567</v>
      </c>
      <c r="CC767" s="2" t="s">
        <v>239</v>
      </c>
      <c r="CD767" s="2" t="s">
        <v>227</v>
      </c>
      <c r="CE767" s="4">
        <v>112</v>
      </c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/>
      <c r="EN767" s="4"/>
      <c r="EO767" s="4"/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/>
      <c r="FA767" s="4"/>
      <c r="FB767" s="4"/>
      <c r="FC767" s="4"/>
      <c r="FD767" s="4"/>
      <c r="FE767" s="4"/>
      <c r="FF767" s="4"/>
      <c r="FG767" s="4"/>
      <c r="FH767" s="4"/>
      <c r="FI767" s="4"/>
      <c r="FJ767" s="4"/>
      <c r="FK767" s="4"/>
      <c r="FL767" s="4"/>
      <c r="FM767" s="4"/>
      <c r="FN767" s="4"/>
      <c r="FO767" s="4"/>
      <c r="FP767" s="4"/>
      <c r="FQ767" s="4"/>
      <c r="FR767" s="4"/>
      <c r="FS767" s="4"/>
      <c r="FT767" s="4"/>
      <c r="FU767" s="4"/>
      <c r="FV767" s="4"/>
      <c r="FW767" s="4"/>
      <c r="FX767" s="4"/>
      <c r="FY767" s="4"/>
      <c r="FZ767" s="4"/>
      <c r="GA767" s="4"/>
      <c r="GB767" s="4"/>
      <c r="GC767" s="4"/>
      <c r="GD767" s="4"/>
      <c r="GE767" s="4"/>
      <c r="GF767" s="4"/>
      <c r="GG767" s="4"/>
      <c r="GH767" s="4"/>
      <c r="GI767" s="4"/>
      <c r="GJ767" s="4"/>
      <c r="GK767" s="4"/>
      <c r="GL767" s="4"/>
      <c r="GM767" s="4">
        <v>40</v>
      </c>
      <c r="GN767" s="4"/>
      <c r="GO767" s="4"/>
      <c r="GP767" s="4"/>
      <c r="GQ767" s="4"/>
      <c r="GR767" s="4"/>
      <c r="GS767" s="4"/>
      <c r="GT767" s="4"/>
      <c r="GU767" s="4"/>
      <c r="GV767" s="4"/>
      <c r="GW767" s="4"/>
      <c r="GX767" s="4">
        <v>60</v>
      </c>
    </row>
    <row r="768">
      <c r="A768" s="2" t="s">
        <v>4676</v>
      </c>
      <c r="B768" s="2" t="s">
        <v>278</v>
      </c>
      <c r="C768" s="2" t="s">
        <v>1299</v>
      </c>
      <c r="D768" s="2" t="s">
        <v>280</v>
      </c>
      <c r="E768" s="2" t="s">
        <v>281</v>
      </c>
      <c r="F768" s="2" t="s">
        <v>375</v>
      </c>
      <c r="G768" s="2" t="s">
        <v>375</v>
      </c>
      <c r="H768" s="2" t="s">
        <v>375</v>
      </c>
      <c r="I768" s="2" t="s">
        <v>4622</v>
      </c>
      <c r="J768" s="2" t="s">
        <v>241</v>
      </c>
      <c r="K768" s="2" t="s">
        <v>1761</v>
      </c>
      <c r="L768" s="3">
        <v>11.18</v>
      </c>
      <c r="M768" s="3">
        <v>11.74</v>
      </c>
      <c r="N768" s="3">
        <v>27.99</v>
      </c>
      <c r="O768" s="2" t="s">
        <v>224</v>
      </c>
      <c r="P768" s="2" t="s">
        <v>225</v>
      </c>
      <c r="Q768" s="2" t="s">
        <v>226</v>
      </c>
      <c r="R768" s="2" t="s">
        <v>227</v>
      </c>
      <c r="S768" s="2" t="s">
        <v>4673</v>
      </c>
      <c r="T768" s="2" t="s">
        <v>375</v>
      </c>
      <c r="U768" s="2" t="s">
        <v>674</v>
      </c>
      <c r="V768" s="2" t="s">
        <v>230</v>
      </c>
      <c r="W768" s="2" t="s">
        <v>231</v>
      </c>
      <c r="X768" s="2" t="s">
        <v>227</v>
      </c>
      <c r="Y768" s="2" t="s">
        <v>4624</v>
      </c>
      <c r="Z768" s="4">
        <v>439</v>
      </c>
      <c r="AA768" s="4">
        <f>=ROUNDDOWN(146.333333333333,0)</f>
      </c>
      <c r="AB768" s="5">
        <v>3</v>
      </c>
      <c r="AC768" s="2" t="s">
        <v>227</v>
      </c>
      <c r="AD768" s="4"/>
      <c r="AE768" s="4"/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227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227</v>
      </c>
      <c r="AW768" s="8" t="s">
        <v>227</v>
      </c>
      <c r="AX768" s="4" t="s">
        <v>227</v>
      </c>
      <c r="AY768" s="8" t="s">
        <v>227</v>
      </c>
      <c r="AZ768" s="7" t="s">
        <v>227</v>
      </c>
      <c r="BA768" s="7" t="s">
        <v>227</v>
      </c>
      <c r="BB768" s="7"/>
      <c r="BC768" s="4" t="s">
        <v>227</v>
      </c>
      <c r="BD768" s="8" t="s">
        <v>227</v>
      </c>
      <c r="BE768" s="4" t="s">
        <v>227</v>
      </c>
      <c r="BF768" s="8" t="s">
        <v>227</v>
      </c>
      <c r="BG768" s="7" t="s">
        <v>227</v>
      </c>
      <c r="BH768" s="7" t="s">
        <v>227</v>
      </c>
      <c r="BI768" s="7"/>
      <c r="BJ768" s="4">
        <v>8</v>
      </c>
      <c r="BK768" s="8">
        <v>97.56</v>
      </c>
      <c r="BL768" s="2" t="s">
        <v>4677</v>
      </c>
      <c r="BM768" s="7"/>
      <c r="BN768" s="7"/>
      <c r="BO768" s="4"/>
      <c r="BP768" s="8"/>
      <c r="BQ768" s="4"/>
      <c r="BR768" s="8"/>
      <c r="BS768" s="7"/>
      <c r="BT768" s="7"/>
      <c r="BU768" s="2" t="s">
        <v>4678</v>
      </c>
      <c r="BV768" s="2" t="s">
        <v>227</v>
      </c>
      <c r="BW768" s="2" t="s">
        <v>227</v>
      </c>
      <c r="BX768" s="2" t="s">
        <v>235</v>
      </c>
      <c r="BY768" s="2" t="s">
        <v>236</v>
      </c>
      <c r="BZ768" s="2" t="s">
        <v>224</v>
      </c>
      <c r="CA768" s="2" t="s">
        <v>292</v>
      </c>
      <c r="CB768" s="2" t="s">
        <v>227</v>
      </c>
      <c r="CC768" s="2" t="s">
        <v>239</v>
      </c>
      <c r="CD768" s="2" t="s">
        <v>227</v>
      </c>
      <c r="CE768" s="4">
        <v>439</v>
      </c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/>
      <c r="EN768" s="4"/>
      <c r="EO768" s="4"/>
      <c r="EP768" s="4"/>
      <c r="EQ768" s="4"/>
      <c r="ER768" s="4"/>
      <c r="ES768" s="4"/>
      <c r="ET768" s="4"/>
      <c r="EU768" s="4"/>
      <c r="EV768" s="4"/>
      <c r="EW768" s="4"/>
      <c r="EX768" s="4"/>
      <c r="EY768" s="4"/>
      <c r="EZ768" s="4"/>
      <c r="FA768" s="4"/>
      <c r="FB768" s="4"/>
      <c r="FC768" s="4"/>
      <c r="FD768" s="4"/>
      <c r="FE768" s="4"/>
      <c r="FF768" s="4"/>
      <c r="FG768" s="4"/>
      <c r="FH768" s="4"/>
      <c r="FI768" s="4"/>
      <c r="FJ768" s="4"/>
      <c r="FK768" s="4"/>
      <c r="FL768" s="4"/>
      <c r="FM768" s="4"/>
      <c r="FN768" s="4"/>
      <c r="FO768" s="4"/>
      <c r="FP768" s="4"/>
      <c r="FQ768" s="4"/>
      <c r="FR768" s="4"/>
      <c r="FS768" s="4"/>
      <c r="FT768" s="4"/>
      <c r="FU768" s="4"/>
      <c r="FV768" s="4"/>
      <c r="FW768" s="4"/>
      <c r="FX768" s="4"/>
      <c r="FY768" s="4"/>
      <c r="FZ768" s="4"/>
      <c r="GA768" s="4"/>
      <c r="GB768" s="4"/>
      <c r="GC768" s="4"/>
      <c r="GD768" s="4"/>
      <c r="GE768" s="4"/>
      <c r="GF768" s="4"/>
      <c r="GG768" s="4"/>
      <c r="GH768" s="4"/>
      <c r="GI768" s="4"/>
      <c r="GJ768" s="4"/>
      <c r="GK768" s="4"/>
      <c r="GL768" s="4"/>
      <c r="GM768" s="4"/>
      <c r="GN768" s="4"/>
      <c r="GO768" s="4"/>
      <c r="GP768" s="4"/>
      <c r="GQ768" s="4"/>
      <c r="GR768" s="4"/>
      <c r="GS768" s="4"/>
      <c r="GT768" s="4"/>
      <c r="GU768" s="4"/>
      <c r="GV768" s="4"/>
      <c r="GW768" s="4"/>
      <c r="GX768" s="4"/>
    </row>
    <row r="769">
      <c r="A769" s="2" t="s">
        <v>4679</v>
      </c>
      <c r="B769" s="2" t="s">
        <v>278</v>
      </c>
      <c r="C769" s="2" t="s">
        <v>1299</v>
      </c>
      <c r="D769" s="2" t="s">
        <v>280</v>
      </c>
      <c r="E769" s="2" t="s">
        <v>281</v>
      </c>
      <c r="F769" s="2" t="s">
        <v>375</v>
      </c>
      <c r="G769" s="2" t="s">
        <v>375</v>
      </c>
      <c r="H769" s="2" t="s">
        <v>375</v>
      </c>
      <c r="I769" s="2" t="s">
        <v>4622</v>
      </c>
      <c r="J769" s="2" t="s">
        <v>252</v>
      </c>
      <c r="K769" s="2" t="s">
        <v>1761</v>
      </c>
      <c r="L769" s="3">
        <v>14.21</v>
      </c>
      <c r="M769" s="3">
        <v>14.92</v>
      </c>
      <c r="N769" s="3">
        <v>32.99</v>
      </c>
      <c r="O769" s="2" t="s">
        <v>224</v>
      </c>
      <c r="P769" s="2" t="s">
        <v>225</v>
      </c>
      <c r="Q769" s="2" t="s">
        <v>226</v>
      </c>
      <c r="R769" s="2" t="s">
        <v>227</v>
      </c>
      <c r="S769" s="2" t="s">
        <v>4673</v>
      </c>
      <c r="T769" s="2" t="s">
        <v>375</v>
      </c>
      <c r="U769" s="2" t="s">
        <v>287</v>
      </c>
      <c r="V769" s="2" t="s">
        <v>230</v>
      </c>
      <c r="W769" s="2" t="s">
        <v>231</v>
      </c>
      <c r="X769" s="2" t="s">
        <v>227</v>
      </c>
      <c r="Y769" s="2" t="s">
        <v>4624</v>
      </c>
      <c r="Z769" s="4">
        <v>272</v>
      </c>
      <c r="AA769" s="4">
        <f>=ROUNDDOWN(66.3414634146341,0)</f>
      </c>
      <c r="AB769" s="5">
        <v>4.1</v>
      </c>
      <c r="AC769" s="2" t="s">
        <v>1938</v>
      </c>
      <c r="AD769" s="4">
        <v>140</v>
      </c>
      <c r="AE769" s="4">
        <v>140</v>
      </c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227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227</v>
      </c>
      <c r="AW769" s="8" t="s">
        <v>227</v>
      </c>
      <c r="AX769" s="4" t="s">
        <v>227</v>
      </c>
      <c r="AY769" s="8" t="s">
        <v>227</v>
      </c>
      <c r="AZ769" s="7" t="s">
        <v>227</v>
      </c>
      <c r="BA769" s="7" t="s">
        <v>227</v>
      </c>
      <c r="BB769" s="7"/>
      <c r="BC769" s="4" t="s">
        <v>227</v>
      </c>
      <c r="BD769" s="8" t="s">
        <v>227</v>
      </c>
      <c r="BE769" s="4" t="s">
        <v>227</v>
      </c>
      <c r="BF769" s="8" t="s">
        <v>227</v>
      </c>
      <c r="BG769" s="7" t="s">
        <v>227</v>
      </c>
      <c r="BH769" s="7" t="s">
        <v>227</v>
      </c>
      <c r="BI769" s="7"/>
      <c r="BJ769" s="4">
        <v>24</v>
      </c>
      <c r="BK769" s="8">
        <v>362.67</v>
      </c>
      <c r="BL769" s="2" t="s">
        <v>4680</v>
      </c>
      <c r="BM769" s="7"/>
      <c r="BN769" s="7"/>
      <c r="BO769" s="4"/>
      <c r="BP769" s="8"/>
      <c r="BQ769" s="4"/>
      <c r="BR769" s="8"/>
      <c r="BS769" s="7"/>
      <c r="BT769" s="7"/>
      <c r="BU769" s="2" t="s">
        <v>4681</v>
      </c>
      <c r="BV769" s="2" t="s">
        <v>227</v>
      </c>
      <c r="BW769" s="2" t="s">
        <v>227</v>
      </c>
      <c r="BX769" s="2" t="s">
        <v>235</v>
      </c>
      <c r="BY769" s="2" t="s">
        <v>236</v>
      </c>
      <c r="BZ769" s="2" t="s">
        <v>224</v>
      </c>
      <c r="CA769" s="2" t="s">
        <v>292</v>
      </c>
      <c r="CB769" s="2" t="s">
        <v>1794</v>
      </c>
      <c r="CC769" s="2" t="s">
        <v>239</v>
      </c>
      <c r="CD769" s="2" t="s">
        <v>227</v>
      </c>
      <c r="CE769" s="4">
        <v>272</v>
      </c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/>
      <c r="FA769" s="4"/>
      <c r="FB769" s="4"/>
      <c r="FC769" s="4"/>
      <c r="FD769" s="4"/>
      <c r="FE769" s="4"/>
      <c r="FF769" s="4"/>
      <c r="FG769" s="4"/>
      <c r="FH769" s="4"/>
      <c r="FI769" s="4"/>
      <c r="FJ769" s="4"/>
      <c r="FK769" s="4"/>
      <c r="FL769" s="4"/>
      <c r="FM769" s="4"/>
      <c r="FN769" s="4"/>
      <c r="FO769" s="4"/>
      <c r="FP769" s="4"/>
      <c r="FQ769" s="4"/>
      <c r="FR769" s="4"/>
      <c r="FS769" s="4"/>
      <c r="FT769" s="4"/>
      <c r="FU769" s="4"/>
      <c r="FV769" s="4"/>
      <c r="FW769" s="4"/>
      <c r="FX769" s="4"/>
      <c r="FY769" s="4"/>
      <c r="FZ769" s="4"/>
      <c r="GA769" s="4"/>
      <c r="GB769" s="4"/>
      <c r="GC769" s="4"/>
      <c r="GD769" s="4"/>
      <c r="GE769" s="4"/>
      <c r="GF769" s="4"/>
      <c r="GG769" s="4"/>
      <c r="GH769" s="4"/>
      <c r="GI769" s="4"/>
      <c r="GJ769" s="4"/>
      <c r="GK769" s="4"/>
      <c r="GL769" s="4"/>
      <c r="GM769" s="4"/>
      <c r="GN769" s="4"/>
      <c r="GO769" s="4"/>
      <c r="GP769" s="4"/>
      <c r="GQ769" s="4"/>
      <c r="GR769" s="4"/>
      <c r="GS769" s="4"/>
      <c r="GT769" s="4"/>
      <c r="GU769" s="4"/>
      <c r="GV769" s="4"/>
      <c r="GW769" s="4"/>
      <c r="GX769" s="4">
        <v>140</v>
      </c>
    </row>
    <row r="770">
      <c r="A770" s="2" t="s">
        <v>4682</v>
      </c>
      <c r="B770" s="2" t="s">
        <v>278</v>
      </c>
      <c r="C770" s="2" t="s">
        <v>1299</v>
      </c>
      <c r="D770" s="2" t="s">
        <v>280</v>
      </c>
      <c r="E770" s="2" t="s">
        <v>281</v>
      </c>
      <c r="F770" s="2" t="s">
        <v>375</v>
      </c>
      <c r="G770" s="2" t="s">
        <v>375</v>
      </c>
      <c r="H770" s="2" t="s">
        <v>375</v>
      </c>
      <c r="I770" s="2" t="s">
        <v>4622</v>
      </c>
      <c r="J770" s="2" t="s">
        <v>222</v>
      </c>
      <c r="K770" s="2" t="s">
        <v>1577</v>
      </c>
      <c r="L770" s="3">
        <v>11.18</v>
      </c>
      <c r="M770" s="3">
        <v>11.74</v>
      </c>
      <c r="N770" s="3">
        <v>27.99</v>
      </c>
      <c r="O770" s="2" t="s">
        <v>224</v>
      </c>
      <c r="P770" s="2" t="s">
        <v>225</v>
      </c>
      <c r="Q770" s="2" t="s">
        <v>226</v>
      </c>
      <c r="R770" s="2" t="s">
        <v>227</v>
      </c>
      <c r="S770" s="2" t="s">
        <v>4683</v>
      </c>
      <c r="T770" s="2" t="s">
        <v>375</v>
      </c>
      <c r="U770" s="2" t="s">
        <v>227</v>
      </c>
      <c r="V770" s="2" t="s">
        <v>230</v>
      </c>
      <c r="W770" s="2" t="s">
        <v>231</v>
      </c>
      <c r="X770" s="2" t="s">
        <v>227</v>
      </c>
      <c r="Y770" s="2" t="s">
        <v>232</v>
      </c>
      <c r="Z770" s="4">
        <v>257</v>
      </c>
      <c r="AA770" s="4">
        <f>=ROUNDDOWN(33.8157894736842,0)</f>
      </c>
      <c r="AB770" s="5">
        <v>7.6</v>
      </c>
      <c r="AC770" s="2" t="s">
        <v>182</v>
      </c>
      <c r="AD770" s="4">
        <v>40</v>
      </c>
      <c r="AE770" s="4">
        <v>70</v>
      </c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227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/>
      <c r="AW770" s="8"/>
      <c r="AX770" s="4"/>
      <c r="AY770" s="8"/>
      <c r="AZ770" s="7"/>
      <c r="BA770" s="7"/>
      <c r="BB770" s="7"/>
      <c r="BC770" s="4" t="s">
        <v>227</v>
      </c>
      <c r="BD770" s="8" t="s">
        <v>227</v>
      </c>
      <c r="BE770" s="4" t="s">
        <v>227</v>
      </c>
      <c r="BF770" s="8" t="s">
        <v>227</v>
      </c>
      <c r="BG770" s="7" t="s">
        <v>227</v>
      </c>
      <c r="BH770" s="7" t="s">
        <v>227</v>
      </c>
      <c r="BI770" s="7"/>
      <c r="BJ770" s="4">
        <v>34</v>
      </c>
      <c r="BK770" s="8">
        <v>379.43</v>
      </c>
      <c r="BL770" s="2" t="s">
        <v>4684</v>
      </c>
      <c r="BM770" s="7"/>
      <c r="BN770" s="7"/>
      <c r="BO770" s="4"/>
      <c r="BP770" s="8"/>
      <c r="BQ770" s="4"/>
      <c r="BR770" s="8"/>
      <c r="BS770" s="7"/>
      <c r="BT770" s="7"/>
      <c r="BU770" s="2" t="s">
        <v>4685</v>
      </c>
      <c r="BV770" s="2" t="s">
        <v>227</v>
      </c>
      <c r="BW770" s="2" t="s">
        <v>227</v>
      </c>
      <c r="BX770" s="2" t="s">
        <v>235</v>
      </c>
      <c r="BY770" s="2" t="s">
        <v>236</v>
      </c>
      <c r="BZ770" s="2" t="s">
        <v>224</v>
      </c>
      <c r="CA770" s="2" t="s">
        <v>237</v>
      </c>
      <c r="CB770" s="2" t="s">
        <v>4096</v>
      </c>
      <c r="CC770" s="2" t="s">
        <v>239</v>
      </c>
      <c r="CD770" s="2" t="s">
        <v>227</v>
      </c>
      <c r="CE770" s="4">
        <v>257</v>
      </c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/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/>
      <c r="FA770" s="4"/>
      <c r="FB770" s="4"/>
      <c r="FC770" s="4"/>
      <c r="FD770" s="4"/>
      <c r="FE770" s="4"/>
      <c r="FF770" s="4"/>
      <c r="FG770" s="4"/>
      <c r="FH770" s="4"/>
      <c r="FI770" s="4"/>
      <c r="FJ770" s="4"/>
      <c r="FK770" s="4"/>
      <c r="FL770" s="4"/>
      <c r="FM770" s="4"/>
      <c r="FN770" s="4"/>
      <c r="FO770" s="4"/>
      <c r="FP770" s="4"/>
      <c r="FQ770" s="4"/>
      <c r="FR770" s="4">
        <v>40</v>
      </c>
      <c r="FS770" s="4"/>
      <c r="FT770" s="4"/>
      <c r="FU770" s="4"/>
      <c r="FV770" s="4"/>
      <c r="FW770" s="4">
        <v>30</v>
      </c>
      <c r="FX770" s="4"/>
      <c r="FY770" s="4"/>
      <c r="FZ770" s="4"/>
      <c r="GA770" s="4"/>
      <c r="GB770" s="4"/>
      <c r="GC770" s="4"/>
      <c r="GD770" s="4"/>
      <c r="GE770" s="4"/>
      <c r="GF770" s="4"/>
      <c r="GG770" s="4"/>
      <c r="GH770" s="4"/>
      <c r="GI770" s="4"/>
      <c r="GJ770" s="4"/>
      <c r="GK770" s="4"/>
      <c r="GL770" s="4"/>
      <c r="GM770" s="4"/>
      <c r="GN770" s="4"/>
      <c r="GO770" s="4"/>
      <c r="GP770" s="4"/>
      <c r="GQ770" s="4"/>
      <c r="GR770" s="4"/>
      <c r="GS770" s="4"/>
      <c r="GT770" s="4"/>
      <c r="GU770" s="4"/>
      <c r="GV770" s="4"/>
      <c r="GW770" s="4"/>
      <c r="GX770" s="4"/>
    </row>
    <row r="771">
      <c r="A771" s="2" t="s">
        <v>4686</v>
      </c>
      <c r="B771" s="2" t="s">
        <v>278</v>
      </c>
      <c r="C771" s="2" t="s">
        <v>1299</v>
      </c>
      <c r="D771" s="2" t="s">
        <v>280</v>
      </c>
      <c r="E771" s="2" t="s">
        <v>281</v>
      </c>
      <c r="F771" s="2" t="s">
        <v>375</v>
      </c>
      <c r="G771" s="2" t="s">
        <v>375</v>
      </c>
      <c r="H771" s="2" t="s">
        <v>375</v>
      </c>
      <c r="I771" s="2" t="s">
        <v>4622</v>
      </c>
      <c r="J771" s="2" t="s">
        <v>252</v>
      </c>
      <c r="K771" s="2" t="s">
        <v>610</v>
      </c>
      <c r="L771" s="3">
        <v>14.21</v>
      </c>
      <c r="M771" s="3">
        <v>14.92</v>
      </c>
      <c r="N771" s="3">
        <v>32.99</v>
      </c>
      <c r="O771" s="2" t="s">
        <v>224</v>
      </c>
      <c r="P771" s="2" t="s">
        <v>225</v>
      </c>
      <c r="Q771" s="2" t="s">
        <v>226</v>
      </c>
      <c r="R771" s="2" t="s">
        <v>227</v>
      </c>
      <c r="S771" s="2" t="s">
        <v>4687</v>
      </c>
      <c r="T771" s="2" t="s">
        <v>375</v>
      </c>
      <c r="U771" s="2" t="s">
        <v>227</v>
      </c>
      <c r="V771" s="2" t="s">
        <v>230</v>
      </c>
      <c r="W771" s="2" t="s">
        <v>231</v>
      </c>
      <c r="X771" s="2" t="s">
        <v>227</v>
      </c>
      <c r="Y771" s="2" t="s">
        <v>232</v>
      </c>
      <c r="Z771" s="4">
        <v>522</v>
      </c>
      <c r="AA771" s="4">
        <f>=ROUNDDOWN(11.3478260869565,0)</f>
      </c>
      <c r="AB771" s="5">
        <v>46</v>
      </c>
      <c r="AC771" s="2" t="s">
        <v>397</v>
      </c>
      <c r="AD771" s="4">
        <v>260</v>
      </c>
      <c r="AE771" s="4">
        <v>1690</v>
      </c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227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227</v>
      </c>
      <c r="AW771" s="8" t="s">
        <v>227</v>
      </c>
      <c r="AX771" s="4" t="s">
        <v>227</v>
      </c>
      <c r="AY771" s="8" t="s">
        <v>227</v>
      </c>
      <c r="AZ771" s="7" t="s">
        <v>227</v>
      </c>
      <c r="BA771" s="7" t="s">
        <v>227</v>
      </c>
      <c r="BB771" s="7"/>
      <c r="BC771" s="4" t="s">
        <v>227</v>
      </c>
      <c r="BD771" s="8" t="s">
        <v>227</v>
      </c>
      <c r="BE771" s="4" t="s">
        <v>227</v>
      </c>
      <c r="BF771" s="8" t="s">
        <v>227</v>
      </c>
      <c r="BG771" s="7" t="s">
        <v>227</v>
      </c>
      <c r="BH771" s="7" t="s">
        <v>227</v>
      </c>
      <c r="BI771" s="7"/>
      <c r="BJ771" s="4">
        <v>214</v>
      </c>
      <c r="BK771" s="8">
        <v>3049.41</v>
      </c>
      <c r="BL771" s="2" t="s">
        <v>4688</v>
      </c>
      <c r="BM771" s="7"/>
      <c r="BN771" s="7"/>
      <c r="BO771" s="4"/>
      <c r="BP771" s="8"/>
      <c r="BQ771" s="4"/>
      <c r="BR771" s="8"/>
      <c r="BS771" s="7"/>
      <c r="BT771" s="7"/>
      <c r="BU771" s="2" t="s">
        <v>4689</v>
      </c>
      <c r="BV771" s="2" t="s">
        <v>227</v>
      </c>
      <c r="BW771" s="2" t="s">
        <v>227</v>
      </c>
      <c r="BX771" s="2" t="s">
        <v>235</v>
      </c>
      <c r="BY771" s="2" t="s">
        <v>236</v>
      </c>
      <c r="BZ771" s="2" t="s">
        <v>224</v>
      </c>
      <c r="CA771" s="2" t="s">
        <v>1198</v>
      </c>
      <c r="CB771" s="2" t="s">
        <v>2389</v>
      </c>
      <c r="CC771" s="2" t="s">
        <v>239</v>
      </c>
      <c r="CD771" s="2" t="s">
        <v>227</v>
      </c>
      <c r="CE771" s="4">
        <v>522</v>
      </c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>
        <v>260</v>
      </c>
      <c r="EF771" s="4"/>
      <c r="EG771" s="4"/>
      <c r="EH771" s="4"/>
      <c r="EI771" s="4"/>
      <c r="EJ771" s="4"/>
      <c r="EK771" s="4"/>
      <c r="EL771" s="4"/>
      <c r="EM771" s="4"/>
      <c r="EN771" s="4"/>
      <c r="EO771" s="4"/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/>
      <c r="FB771" s="4"/>
      <c r="FC771" s="4"/>
      <c r="FD771" s="4"/>
      <c r="FE771" s="4"/>
      <c r="FF771" s="4"/>
      <c r="FG771" s="4"/>
      <c r="FH771" s="4"/>
      <c r="FI771" s="4"/>
      <c r="FJ771" s="4"/>
      <c r="FK771" s="4"/>
      <c r="FL771" s="4"/>
      <c r="FM771" s="4"/>
      <c r="FN771" s="4"/>
      <c r="FO771" s="4"/>
      <c r="FP771" s="4"/>
      <c r="FQ771" s="4"/>
      <c r="FR771" s="4">
        <v>150</v>
      </c>
      <c r="FS771" s="4"/>
      <c r="FT771" s="4"/>
      <c r="FU771" s="4"/>
      <c r="FV771" s="4"/>
      <c r="FW771" s="4">
        <v>230</v>
      </c>
      <c r="FX771" s="4"/>
      <c r="FY771" s="4"/>
      <c r="FZ771" s="4"/>
      <c r="GA771" s="4"/>
      <c r="GB771" s="4"/>
      <c r="GC771" s="4"/>
      <c r="GD771" s="4"/>
      <c r="GE771" s="4"/>
      <c r="GF771" s="4"/>
      <c r="GG771" s="4"/>
      <c r="GH771" s="4"/>
      <c r="GI771" s="4"/>
      <c r="GJ771" s="4"/>
      <c r="GK771" s="4"/>
      <c r="GL771" s="4"/>
      <c r="GM771" s="4">
        <v>520</v>
      </c>
      <c r="GN771" s="4"/>
      <c r="GO771" s="4"/>
      <c r="GP771" s="4"/>
      <c r="GQ771" s="4"/>
      <c r="GR771" s="4"/>
      <c r="GS771" s="4"/>
      <c r="GT771" s="4"/>
      <c r="GU771" s="4"/>
      <c r="GV771" s="4"/>
      <c r="GW771" s="4"/>
      <c r="GX771" s="4">
        <v>530</v>
      </c>
    </row>
    <row r="772">
      <c r="A772" s="2" t="s">
        <v>4690</v>
      </c>
      <c r="B772" s="2" t="s">
        <v>278</v>
      </c>
      <c r="C772" s="2" t="s">
        <v>1299</v>
      </c>
      <c r="D772" s="2" t="s">
        <v>280</v>
      </c>
      <c r="E772" s="2" t="s">
        <v>281</v>
      </c>
      <c r="F772" s="2" t="s">
        <v>375</v>
      </c>
      <c r="G772" s="2" t="s">
        <v>375</v>
      </c>
      <c r="H772" s="2" t="s">
        <v>375</v>
      </c>
      <c r="I772" s="2" t="s">
        <v>4622</v>
      </c>
      <c r="J772" s="2" t="s">
        <v>257</v>
      </c>
      <c r="K772" s="2" t="s">
        <v>610</v>
      </c>
      <c r="L772" s="3">
        <v>16.75</v>
      </c>
      <c r="M772" s="3">
        <v>17.59</v>
      </c>
      <c r="N772" s="3">
        <v>37.99</v>
      </c>
      <c r="O772" s="2" t="s">
        <v>224</v>
      </c>
      <c r="P772" s="2" t="s">
        <v>225</v>
      </c>
      <c r="Q772" s="2" t="s">
        <v>226</v>
      </c>
      <c r="R772" s="2" t="s">
        <v>227</v>
      </c>
      <c r="S772" s="2" t="s">
        <v>4687</v>
      </c>
      <c r="T772" s="2" t="s">
        <v>375</v>
      </c>
      <c r="U772" s="2" t="s">
        <v>227</v>
      </c>
      <c r="V772" s="2" t="s">
        <v>230</v>
      </c>
      <c r="W772" s="2" t="s">
        <v>231</v>
      </c>
      <c r="X772" s="2" t="s">
        <v>227</v>
      </c>
      <c r="Y772" s="2" t="s">
        <v>232</v>
      </c>
      <c r="Z772" s="4">
        <v>197</v>
      </c>
      <c r="AA772" s="4">
        <f>=ROUNDDOWN(21.8888888888889,0)</f>
      </c>
      <c r="AB772" s="5">
        <v>9</v>
      </c>
      <c r="AC772" s="2" t="s">
        <v>397</v>
      </c>
      <c r="AD772" s="4">
        <v>70</v>
      </c>
      <c r="AE772" s="4">
        <v>100</v>
      </c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227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227</v>
      </c>
      <c r="AW772" s="8" t="s">
        <v>227</v>
      </c>
      <c r="AX772" s="4" t="s">
        <v>227</v>
      </c>
      <c r="AY772" s="8" t="s">
        <v>227</v>
      </c>
      <c r="AZ772" s="7" t="s">
        <v>227</v>
      </c>
      <c r="BA772" s="7" t="s">
        <v>227</v>
      </c>
      <c r="BB772" s="7"/>
      <c r="BC772" s="4" t="s">
        <v>227</v>
      </c>
      <c r="BD772" s="8" t="s">
        <v>227</v>
      </c>
      <c r="BE772" s="4" t="s">
        <v>227</v>
      </c>
      <c r="BF772" s="8" t="s">
        <v>227</v>
      </c>
      <c r="BG772" s="7" t="s">
        <v>227</v>
      </c>
      <c r="BH772" s="7" t="s">
        <v>227</v>
      </c>
      <c r="BI772" s="7"/>
      <c r="BJ772" s="4">
        <v>37</v>
      </c>
      <c r="BK772" s="8">
        <v>665.81</v>
      </c>
      <c r="BL772" s="2" t="s">
        <v>4691</v>
      </c>
      <c r="BM772" s="7"/>
      <c r="BN772" s="7"/>
      <c r="BO772" s="4"/>
      <c r="BP772" s="8"/>
      <c r="BQ772" s="4"/>
      <c r="BR772" s="8"/>
      <c r="BS772" s="7"/>
      <c r="BT772" s="7"/>
      <c r="BU772" s="2" t="s">
        <v>4692</v>
      </c>
      <c r="BV772" s="2" t="s">
        <v>227</v>
      </c>
      <c r="BW772" s="2" t="s">
        <v>227</v>
      </c>
      <c r="BX772" s="2" t="s">
        <v>235</v>
      </c>
      <c r="BY772" s="2" t="s">
        <v>236</v>
      </c>
      <c r="BZ772" s="2" t="s">
        <v>224</v>
      </c>
      <c r="CA772" s="2" t="s">
        <v>1198</v>
      </c>
      <c r="CB772" s="2" t="s">
        <v>4693</v>
      </c>
      <c r="CC772" s="2" t="s">
        <v>239</v>
      </c>
      <c r="CD772" s="2" t="s">
        <v>227</v>
      </c>
      <c r="CE772" s="4">
        <v>197</v>
      </c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>
        <v>70</v>
      </c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/>
      <c r="FD772" s="4"/>
      <c r="FE772" s="4"/>
      <c r="FF772" s="4"/>
      <c r="FG772" s="4"/>
      <c r="FH772" s="4"/>
      <c r="FI772" s="4"/>
      <c r="FJ772" s="4"/>
      <c r="FK772" s="4"/>
      <c r="FL772" s="4"/>
      <c r="FM772" s="4"/>
      <c r="FN772" s="4"/>
      <c r="FO772" s="4"/>
      <c r="FP772" s="4"/>
      <c r="FQ772" s="4"/>
      <c r="FR772" s="4"/>
      <c r="FS772" s="4"/>
      <c r="FT772" s="4"/>
      <c r="FU772" s="4"/>
      <c r="FV772" s="4"/>
      <c r="FW772" s="4">
        <v>30</v>
      </c>
      <c r="FX772" s="4"/>
      <c r="FY772" s="4"/>
      <c r="FZ772" s="4"/>
      <c r="GA772" s="4"/>
      <c r="GB772" s="4"/>
      <c r="GC772" s="4"/>
      <c r="GD772" s="4"/>
      <c r="GE772" s="4"/>
      <c r="GF772" s="4"/>
      <c r="GG772" s="4"/>
      <c r="GH772" s="4"/>
      <c r="GI772" s="4"/>
      <c r="GJ772" s="4"/>
      <c r="GK772" s="4"/>
      <c r="GL772" s="4"/>
      <c r="GM772" s="4"/>
      <c r="GN772" s="4"/>
      <c r="GO772" s="4"/>
      <c r="GP772" s="4"/>
      <c r="GQ772" s="4"/>
      <c r="GR772" s="4"/>
      <c r="GS772" s="4"/>
      <c r="GT772" s="4"/>
      <c r="GU772" s="4"/>
      <c r="GV772" s="4"/>
      <c r="GW772" s="4"/>
      <c r="GX772" s="4"/>
    </row>
    <row r="773">
      <c r="A773" s="2" t="s">
        <v>4694</v>
      </c>
      <c r="B773" s="2" t="s">
        <v>278</v>
      </c>
      <c r="C773" s="2" t="s">
        <v>1299</v>
      </c>
      <c r="D773" s="2" t="s">
        <v>280</v>
      </c>
      <c r="E773" s="2" t="s">
        <v>281</v>
      </c>
      <c r="F773" s="2" t="s">
        <v>375</v>
      </c>
      <c r="G773" s="2" t="s">
        <v>375</v>
      </c>
      <c r="H773" s="2" t="s">
        <v>375</v>
      </c>
      <c r="I773" s="2" t="s">
        <v>4622</v>
      </c>
      <c r="J773" s="2" t="s">
        <v>222</v>
      </c>
      <c r="K773" s="2" t="s">
        <v>264</v>
      </c>
      <c r="L773" s="3">
        <v>11.18</v>
      </c>
      <c r="M773" s="3">
        <v>11.74</v>
      </c>
      <c r="N773" s="3">
        <v>27.99</v>
      </c>
      <c r="O773" s="2" t="s">
        <v>224</v>
      </c>
      <c r="P773" s="2" t="s">
        <v>225</v>
      </c>
      <c r="Q773" s="2" t="s">
        <v>226</v>
      </c>
      <c r="R773" s="2" t="s">
        <v>227</v>
      </c>
      <c r="S773" s="2" t="s">
        <v>4695</v>
      </c>
      <c r="T773" s="2" t="s">
        <v>375</v>
      </c>
      <c r="U773" s="2" t="s">
        <v>227</v>
      </c>
      <c r="V773" s="2" t="s">
        <v>230</v>
      </c>
      <c r="W773" s="2" t="s">
        <v>231</v>
      </c>
      <c r="X773" s="2" t="s">
        <v>227</v>
      </c>
      <c r="Y773" s="2" t="s">
        <v>394</v>
      </c>
      <c r="Z773" s="4">
        <v>151</v>
      </c>
      <c r="AA773" s="4">
        <f>=ROUNDDOWN(15.1,0)</f>
      </c>
      <c r="AB773" s="5">
        <v>10</v>
      </c>
      <c r="AC773" s="2" t="s">
        <v>397</v>
      </c>
      <c r="AD773" s="4">
        <v>110</v>
      </c>
      <c r="AE773" s="4">
        <v>390</v>
      </c>
      <c r="AF773" s="6">
        <v>65</v>
      </c>
      <c r="AG773" s="6"/>
      <c r="AH773" s="7">
        <v>1</v>
      </c>
      <c r="AI773" s="4"/>
      <c r="AJ773" s="4">
        <f>=ROUNDDOWN({0},0)</f>
      </c>
      <c r="AK773" s="5"/>
      <c r="AL773" s="2" t="s">
        <v>227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227</v>
      </c>
      <c r="AW773" s="8" t="s">
        <v>227</v>
      </c>
      <c r="AX773" s="4" t="s">
        <v>227</v>
      </c>
      <c r="AY773" s="8" t="s">
        <v>227</v>
      </c>
      <c r="AZ773" s="7" t="s">
        <v>227</v>
      </c>
      <c r="BA773" s="7" t="s">
        <v>227</v>
      </c>
      <c r="BB773" s="7" t="s">
        <v>227</v>
      </c>
      <c r="BC773" s="4" t="s">
        <v>227</v>
      </c>
      <c r="BD773" s="8" t="s">
        <v>227</v>
      </c>
      <c r="BE773" s="4" t="s">
        <v>227</v>
      </c>
      <c r="BF773" s="8" t="s">
        <v>227</v>
      </c>
      <c r="BG773" s="7" t="s">
        <v>227</v>
      </c>
      <c r="BH773" s="7" t="s">
        <v>227</v>
      </c>
      <c r="BI773" s="7"/>
      <c r="BJ773" s="4">
        <v>61</v>
      </c>
      <c r="BK773" s="8">
        <v>778.44</v>
      </c>
      <c r="BL773" s="2" t="s">
        <v>3144</v>
      </c>
      <c r="BM773" s="7"/>
      <c r="BN773" s="7"/>
      <c r="BO773" s="4"/>
      <c r="BP773" s="8"/>
      <c r="BQ773" s="4"/>
      <c r="BR773" s="8"/>
      <c r="BS773" s="7"/>
      <c r="BT773" s="7"/>
      <c r="BU773" s="2" t="s">
        <v>4696</v>
      </c>
      <c r="BV773" s="2" t="s">
        <v>227</v>
      </c>
      <c r="BW773" s="2" t="s">
        <v>227</v>
      </c>
      <c r="BX773" s="2" t="s">
        <v>235</v>
      </c>
      <c r="BY773" s="2" t="s">
        <v>236</v>
      </c>
      <c r="BZ773" s="2" t="s">
        <v>224</v>
      </c>
      <c r="CA773" s="2" t="s">
        <v>237</v>
      </c>
      <c r="CB773" s="2" t="s">
        <v>3267</v>
      </c>
      <c r="CC773" s="2" t="s">
        <v>239</v>
      </c>
      <c r="CD773" s="2" t="s">
        <v>227</v>
      </c>
      <c r="CE773" s="4">
        <v>151</v>
      </c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>
        <v>110</v>
      </c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/>
      <c r="EV773" s="4"/>
      <c r="EW773" s="4"/>
      <c r="EX773" s="4"/>
      <c r="EY773" s="4"/>
      <c r="EZ773" s="4"/>
      <c r="FA773" s="4"/>
      <c r="FB773" s="4"/>
      <c r="FC773" s="4"/>
      <c r="FD773" s="4"/>
      <c r="FE773" s="4"/>
      <c r="FF773" s="4"/>
      <c r="FG773" s="4"/>
      <c r="FH773" s="4"/>
      <c r="FI773" s="4"/>
      <c r="FJ773" s="4"/>
      <c r="FK773" s="4"/>
      <c r="FL773" s="4"/>
      <c r="FM773" s="4"/>
      <c r="FN773" s="4"/>
      <c r="FO773" s="4"/>
      <c r="FP773" s="4"/>
      <c r="FQ773" s="4"/>
      <c r="FR773" s="4">
        <v>140</v>
      </c>
      <c r="FS773" s="4"/>
      <c r="FT773" s="4"/>
      <c r="FU773" s="4"/>
      <c r="FV773" s="4"/>
      <c r="FW773" s="4">
        <v>100</v>
      </c>
      <c r="FX773" s="4"/>
      <c r="FY773" s="4"/>
      <c r="FZ773" s="4"/>
      <c r="GA773" s="4"/>
      <c r="GB773" s="4"/>
      <c r="GC773" s="4"/>
      <c r="GD773" s="4"/>
      <c r="GE773" s="4"/>
      <c r="GF773" s="4"/>
      <c r="GG773" s="4"/>
      <c r="GH773" s="4"/>
      <c r="GI773" s="4"/>
      <c r="GJ773" s="4"/>
      <c r="GK773" s="4"/>
      <c r="GL773" s="4"/>
      <c r="GM773" s="4"/>
      <c r="GN773" s="4"/>
      <c r="GO773" s="4"/>
      <c r="GP773" s="4"/>
      <c r="GQ773" s="4"/>
      <c r="GR773" s="4"/>
      <c r="GS773" s="4"/>
      <c r="GT773" s="4"/>
      <c r="GU773" s="4"/>
      <c r="GV773" s="4"/>
      <c r="GW773" s="4"/>
      <c r="GX773" s="4">
        <v>40</v>
      </c>
    </row>
    <row r="774">
      <c r="A774" s="2" t="s">
        <v>4697</v>
      </c>
      <c r="B774" s="2" t="s">
        <v>278</v>
      </c>
      <c r="C774" s="2" t="s">
        <v>1299</v>
      </c>
      <c r="D774" s="2" t="s">
        <v>280</v>
      </c>
      <c r="E774" s="2" t="s">
        <v>281</v>
      </c>
      <c r="F774" s="2" t="s">
        <v>375</v>
      </c>
      <c r="G774" s="2" t="s">
        <v>375</v>
      </c>
      <c r="H774" s="2" t="s">
        <v>375</v>
      </c>
      <c r="I774" s="2" t="s">
        <v>4637</v>
      </c>
      <c r="J774" s="2" t="s">
        <v>222</v>
      </c>
      <c r="K774" s="2" t="s">
        <v>264</v>
      </c>
      <c r="L774" s="3">
        <v>12.15</v>
      </c>
      <c r="M774" s="3">
        <v>12.76</v>
      </c>
      <c r="N774" s="3">
        <v>26.99</v>
      </c>
      <c r="O774" s="2" t="s">
        <v>224</v>
      </c>
      <c r="P774" s="2" t="s">
        <v>225</v>
      </c>
      <c r="Q774" s="2" t="s">
        <v>226</v>
      </c>
      <c r="R774" s="2" t="s">
        <v>227</v>
      </c>
      <c r="S774" s="2" t="s">
        <v>4695</v>
      </c>
      <c r="T774" s="2" t="s">
        <v>375</v>
      </c>
      <c r="U774" s="2" t="s">
        <v>287</v>
      </c>
      <c r="V774" s="2" t="s">
        <v>230</v>
      </c>
      <c r="W774" s="2" t="s">
        <v>231</v>
      </c>
      <c r="X774" s="2" t="s">
        <v>836</v>
      </c>
      <c r="Y774" s="2" t="s">
        <v>4639</v>
      </c>
      <c r="Z774" s="4">
        <v>91</v>
      </c>
      <c r="AA774" s="4">
        <f>=ROUNDDOWN(15.1666666666667,0)</f>
      </c>
      <c r="AB774" s="5">
        <v>6</v>
      </c>
      <c r="AC774" s="2" t="s">
        <v>182</v>
      </c>
      <c r="AD774" s="4">
        <v>20</v>
      </c>
      <c r="AE774" s="4">
        <v>160</v>
      </c>
      <c r="AF774" s="6">
        <v>65</v>
      </c>
      <c r="AG774" s="6"/>
      <c r="AH774" s="7">
        <v>1</v>
      </c>
      <c r="AI774" s="4"/>
      <c r="AJ774" s="4">
        <f>=ROUNDDOWN({0},0)</f>
      </c>
      <c r="AK774" s="5"/>
      <c r="AL774" s="2" t="s">
        <v>227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227</v>
      </c>
      <c r="AW774" s="8" t="s">
        <v>227</v>
      </c>
      <c r="AX774" s="4" t="s">
        <v>227</v>
      </c>
      <c r="AY774" s="8" t="s">
        <v>227</v>
      </c>
      <c r="AZ774" s="7" t="s">
        <v>227</v>
      </c>
      <c r="BA774" s="7" t="s">
        <v>227</v>
      </c>
      <c r="BB774" s="7" t="s">
        <v>227</v>
      </c>
      <c r="BC774" s="4" t="s">
        <v>227</v>
      </c>
      <c r="BD774" s="8" t="s">
        <v>227</v>
      </c>
      <c r="BE774" s="4" t="s">
        <v>227</v>
      </c>
      <c r="BF774" s="8" t="s">
        <v>227</v>
      </c>
      <c r="BG774" s="7" t="s">
        <v>227</v>
      </c>
      <c r="BH774" s="7" t="s">
        <v>227</v>
      </c>
      <c r="BI774" s="7"/>
      <c r="BJ774" s="4">
        <v>29</v>
      </c>
      <c r="BK774" s="8">
        <v>377.19</v>
      </c>
      <c r="BL774" s="2" t="s">
        <v>4698</v>
      </c>
      <c r="BM774" s="7"/>
      <c r="BN774" s="7"/>
      <c r="BO774" s="4"/>
      <c r="BP774" s="8"/>
      <c r="BQ774" s="4"/>
      <c r="BR774" s="8"/>
      <c r="BS774" s="7"/>
      <c r="BT774" s="7"/>
      <c r="BU774" s="2" t="s">
        <v>4699</v>
      </c>
      <c r="BV774" s="2" t="s">
        <v>227</v>
      </c>
      <c r="BW774" s="2" t="s">
        <v>227</v>
      </c>
      <c r="BX774" s="2" t="s">
        <v>235</v>
      </c>
      <c r="BY774" s="2" t="s">
        <v>236</v>
      </c>
      <c r="BZ774" s="2" t="s">
        <v>224</v>
      </c>
      <c r="CA774" s="2" t="s">
        <v>4641</v>
      </c>
      <c r="CB774" s="2" t="s">
        <v>4700</v>
      </c>
      <c r="CC774" s="2" t="s">
        <v>239</v>
      </c>
      <c r="CD774" s="2" t="s">
        <v>227</v>
      </c>
      <c r="CE774" s="4">
        <v>91</v>
      </c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/>
      <c r="FB774" s="4"/>
      <c r="FC774" s="4"/>
      <c r="FD774" s="4"/>
      <c r="FE774" s="4"/>
      <c r="FF774" s="4"/>
      <c r="FG774" s="4"/>
      <c r="FH774" s="4"/>
      <c r="FI774" s="4"/>
      <c r="FJ774" s="4"/>
      <c r="FK774" s="4"/>
      <c r="FL774" s="4"/>
      <c r="FM774" s="4"/>
      <c r="FN774" s="4"/>
      <c r="FO774" s="4"/>
      <c r="FP774" s="4"/>
      <c r="FQ774" s="4"/>
      <c r="FR774" s="4">
        <v>20</v>
      </c>
      <c r="FS774" s="4"/>
      <c r="FT774" s="4"/>
      <c r="FU774" s="4"/>
      <c r="FV774" s="4"/>
      <c r="FW774" s="4">
        <v>20</v>
      </c>
      <c r="FX774" s="4"/>
      <c r="FY774" s="4"/>
      <c r="FZ774" s="4"/>
      <c r="GA774" s="4"/>
      <c r="GB774" s="4"/>
      <c r="GC774" s="4"/>
      <c r="GD774" s="4"/>
      <c r="GE774" s="4"/>
      <c r="GF774" s="4"/>
      <c r="GG774" s="4"/>
      <c r="GH774" s="4"/>
      <c r="GI774" s="4"/>
      <c r="GJ774" s="4"/>
      <c r="GK774" s="4"/>
      <c r="GL774" s="4"/>
      <c r="GM774" s="4">
        <v>50</v>
      </c>
      <c r="GN774" s="4"/>
      <c r="GO774" s="4"/>
      <c r="GP774" s="4"/>
      <c r="GQ774" s="4"/>
      <c r="GR774" s="4"/>
      <c r="GS774" s="4"/>
      <c r="GT774" s="4"/>
      <c r="GU774" s="4"/>
      <c r="GV774" s="4"/>
      <c r="GW774" s="4"/>
      <c r="GX774" s="4">
        <v>70</v>
      </c>
    </row>
    <row r="775">
      <c r="A775" s="2" t="s">
        <v>4701</v>
      </c>
      <c r="B775" s="2" t="s">
        <v>278</v>
      </c>
      <c r="C775" s="2" t="s">
        <v>1299</v>
      </c>
      <c r="D775" s="2" t="s">
        <v>280</v>
      </c>
      <c r="E775" s="2" t="s">
        <v>281</v>
      </c>
      <c r="F775" s="2" t="s">
        <v>375</v>
      </c>
      <c r="G775" s="2" t="s">
        <v>375</v>
      </c>
      <c r="H775" s="2" t="s">
        <v>375</v>
      </c>
      <c r="I775" s="2" t="s">
        <v>4622</v>
      </c>
      <c r="J775" s="2" t="s">
        <v>241</v>
      </c>
      <c r="K775" s="2" t="s">
        <v>264</v>
      </c>
      <c r="L775" s="3">
        <v>11.18</v>
      </c>
      <c r="M775" s="3">
        <v>11.74</v>
      </c>
      <c r="N775" s="3">
        <v>27.99</v>
      </c>
      <c r="O775" s="2" t="s">
        <v>224</v>
      </c>
      <c r="P775" s="2" t="s">
        <v>225</v>
      </c>
      <c r="Q775" s="2" t="s">
        <v>226</v>
      </c>
      <c r="R775" s="2" t="s">
        <v>227</v>
      </c>
      <c r="S775" s="2" t="s">
        <v>4695</v>
      </c>
      <c r="T775" s="2" t="s">
        <v>375</v>
      </c>
      <c r="U775" s="2" t="s">
        <v>227</v>
      </c>
      <c r="V775" s="2" t="s">
        <v>230</v>
      </c>
      <c r="W775" s="2" t="s">
        <v>231</v>
      </c>
      <c r="X775" s="2" t="s">
        <v>227</v>
      </c>
      <c r="Y775" s="2" t="s">
        <v>232</v>
      </c>
      <c r="Z775" s="4">
        <v>497</v>
      </c>
      <c r="AA775" s="4">
        <f>=ROUNDDOWN(124.25,0)</f>
      </c>
      <c r="AB775" s="5">
        <v>4</v>
      </c>
      <c r="AC775" s="2" t="s">
        <v>227</v>
      </c>
      <c r="AD775" s="4"/>
      <c r="AE775" s="4"/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227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227</v>
      </c>
      <c r="AW775" s="8" t="s">
        <v>227</v>
      </c>
      <c r="AX775" s="4" t="s">
        <v>227</v>
      </c>
      <c r="AY775" s="8" t="s">
        <v>227</v>
      </c>
      <c r="AZ775" s="7" t="s">
        <v>227</v>
      </c>
      <c r="BA775" s="7" t="s">
        <v>227</v>
      </c>
      <c r="BB775" s="7" t="s">
        <v>227</v>
      </c>
      <c r="BC775" s="4" t="s">
        <v>227</v>
      </c>
      <c r="BD775" s="8" t="s">
        <v>227</v>
      </c>
      <c r="BE775" s="4" t="s">
        <v>227</v>
      </c>
      <c r="BF775" s="8" t="s">
        <v>227</v>
      </c>
      <c r="BG775" s="7" t="s">
        <v>227</v>
      </c>
      <c r="BH775" s="7" t="s">
        <v>227</v>
      </c>
      <c r="BI775" s="7"/>
      <c r="BJ775" s="4">
        <v>49</v>
      </c>
      <c r="BK775" s="8">
        <v>592.92</v>
      </c>
      <c r="BL775" s="2" t="s">
        <v>4702</v>
      </c>
      <c r="BM775" s="7"/>
      <c r="BN775" s="7"/>
      <c r="BO775" s="4"/>
      <c r="BP775" s="8"/>
      <c r="BQ775" s="4"/>
      <c r="BR775" s="8"/>
      <c r="BS775" s="7"/>
      <c r="BT775" s="7"/>
      <c r="BU775" s="2" t="s">
        <v>4703</v>
      </c>
      <c r="BV775" s="2" t="s">
        <v>227</v>
      </c>
      <c r="BW775" s="2" t="s">
        <v>227</v>
      </c>
      <c r="BX775" s="2" t="s">
        <v>235</v>
      </c>
      <c r="BY775" s="2" t="s">
        <v>236</v>
      </c>
      <c r="BZ775" s="2" t="s">
        <v>224</v>
      </c>
      <c r="CA775" s="2" t="s">
        <v>237</v>
      </c>
      <c r="CB775" s="2" t="s">
        <v>4500</v>
      </c>
      <c r="CC775" s="2" t="s">
        <v>239</v>
      </c>
      <c r="CD775" s="2" t="s">
        <v>227</v>
      </c>
      <c r="CE775" s="4">
        <v>497</v>
      </c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/>
      <c r="FD775" s="4"/>
      <c r="FE775" s="4"/>
      <c r="FF775" s="4"/>
      <c r="FG775" s="4"/>
      <c r="FH775" s="4"/>
      <c r="FI775" s="4"/>
      <c r="FJ775" s="4"/>
      <c r="FK775" s="4"/>
      <c r="FL775" s="4"/>
      <c r="FM775" s="4"/>
      <c r="FN775" s="4"/>
      <c r="FO775" s="4"/>
      <c r="FP775" s="4"/>
      <c r="FQ775" s="4"/>
      <c r="FR775" s="4"/>
      <c r="FS775" s="4"/>
      <c r="FT775" s="4"/>
      <c r="FU775" s="4"/>
      <c r="FV775" s="4"/>
      <c r="FW775" s="4"/>
      <c r="FX775" s="4"/>
      <c r="FY775" s="4"/>
      <c r="FZ775" s="4"/>
      <c r="GA775" s="4"/>
      <c r="GB775" s="4"/>
      <c r="GC775" s="4"/>
      <c r="GD775" s="4"/>
      <c r="GE775" s="4"/>
      <c r="GF775" s="4"/>
      <c r="GG775" s="4"/>
      <c r="GH775" s="4"/>
      <c r="GI775" s="4"/>
      <c r="GJ775" s="4"/>
      <c r="GK775" s="4"/>
      <c r="GL775" s="4"/>
      <c r="GM775" s="4"/>
      <c r="GN775" s="4"/>
      <c r="GO775" s="4"/>
      <c r="GP775" s="4"/>
      <c r="GQ775" s="4"/>
      <c r="GR775" s="4"/>
      <c r="GS775" s="4"/>
      <c r="GT775" s="4"/>
      <c r="GU775" s="4"/>
      <c r="GV775" s="4"/>
      <c r="GW775" s="4"/>
      <c r="GX775" s="4"/>
    </row>
    <row r="776">
      <c r="A776" s="2" t="s">
        <v>4704</v>
      </c>
      <c r="B776" s="2" t="s">
        <v>278</v>
      </c>
      <c r="C776" s="2" t="s">
        <v>1299</v>
      </c>
      <c r="D776" s="2" t="s">
        <v>280</v>
      </c>
      <c r="E776" s="2" t="s">
        <v>281</v>
      </c>
      <c r="F776" s="2" t="s">
        <v>375</v>
      </c>
      <c r="G776" s="2" t="s">
        <v>375</v>
      </c>
      <c r="H776" s="2" t="s">
        <v>375</v>
      </c>
      <c r="I776" s="2" t="s">
        <v>4637</v>
      </c>
      <c r="J776" s="2" t="s">
        <v>241</v>
      </c>
      <c r="K776" s="2" t="s">
        <v>264</v>
      </c>
      <c r="L776" s="3">
        <v>12.15</v>
      </c>
      <c r="M776" s="3">
        <v>12.76</v>
      </c>
      <c r="N776" s="3">
        <v>26.99</v>
      </c>
      <c r="O776" s="2" t="s">
        <v>224</v>
      </c>
      <c r="P776" s="2" t="s">
        <v>225</v>
      </c>
      <c r="Q776" s="2" t="s">
        <v>226</v>
      </c>
      <c r="R776" s="2" t="s">
        <v>227</v>
      </c>
      <c r="S776" s="2" t="s">
        <v>4695</v>
      </c>
      <c r="T776" s="2" t="s">
        <v>375</v>
      </c>
      <c r="U776" s="2" t="s">
        <v>287</v>
      </c>
      <c r="V776" s="2" t="s">
        <v>230</v>
      </c>
      <c r="W776" s="2" t="s">
        <v>231</v>
      </c>
      <c r="X776" s="2" t="s">
        <v>836</v>
      </c>
      <c r="Y776" s="2" t="s">
        <v>4639</v>
      </c>
      <c r="Z776" s="4">
        <v>387</v>
      </c>
      <c r="AA776" s="4">
        <f>=ROUNDDOWN(71.6666666666667,0)</f>
      </c>
      <c r="AB776" s="5">
        <v>5.4</v>
      </c>
      <c r="AC776" s="2" t="s">
        <v>227</v>
      </c>
      <c r="AD776" s="4"/>
      <c r="AE776" s="4"/>
      <c r="AF776" s="6">
        <v>65</v>
      </c>
      <c r="AG776" s="6"/>
      <c r="AH776" s="7">
        <v>1</v>
      </c>
      <c r="AI776" s="4"/>
      <c r="AJ776" s="4">
        <f>=ROUNDDOWN({0},0)</f>
      </c>
      <c r="AK776" s="5"/>
      <c r="AL776" s="2" t="s">
        <v>227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227</v>
      </c>
      <c r="AW776" s="8" t="s">
        <v>227</v>
      </c>
      <c r="AX776" s="4" t="s">
        <v>227</v>
      </c>
      <c r="AY776" s="8" t="s">
        <v>227</v>
      </c>
      <c r="AZ776" s="7" t="s">
        <v>227</v>
      </c>
      <c r="BA776" s="7" t="s">
        <v>227</v>
      </c>
      <c r="BB776" s="7" t="s">
        <v>227</v>
      </c>
      <c r="BC776" s="4" t="s">
        <v>227</v>
      </c>
      <c r="BD776" s="8" t="s">
        <v>227</v>
      </c>
      <c r="BE776" s="4" t="s">
        <v>227</v>
      </c>
      <c r="BF776" s="8" t="s">
        <v>227</v>
      </c>
      <c r="BG776" s="7" t="s">
        <v>227</v>
      </c>
      <c r="BH776" s="7" t="s">
        <v>227</v>
      </c>
      <c r="BI776" s="7"/>
      <c r="BJ776" s="4">
        <v>124</v>
      </c>
      <c r="BK776" s="8">
        <v>1639.27</v>
      </c>
      <c r="BL776" s="2" t="s">
        <v>4698</v>
      </c>
      <c r="BM776" s="7"/>
      <c r="BN776" s="7"/>
      <c r="BO776" s="4"/>
      <c r="BP776" s="8"/>
      <c r="BQ776" s="4"/>
      <c r="BR776" s="8"/>
      <c r="BS776" s="7"/>
      <c r="BT776" s="7"/>
      <c r="BU776" s="2" t="s">
        <v>4705</v>
      </c>
      <c r="BV776" s="2" t="s">
        <v>227</v>
      </c>
      <c r="BW776" s="2" t="s">
        <v>227</v>
      </c>
      <c r="BX776" s="2" t="s">
        <v>235</v>
      </c>
      <c r="BY776" s="2" t="s">
        <v>236</v>
      </c>
      <c r="BZ776" s="2" t="s">
        <v>224</v>
      </c>
      <c r="CA776" s="2" t="s">
        <v>4641</v>
      </c>
      <c r="CB776" s="2" t="s">
        <v>4645</v>
      </c>
      <c r="CC776" s="2" t="s">
        <v>239</v>
      </c>
      <c r="CD776" s="2" t="s">
        <v>227</v>
      </c>
      <c r="CE776" s="4">
        <v>387</v>
      </c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/>
      <c r="EN776" s="4"/>
      <c r="EO776" s="4"/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/>
      <c r="FB776" s="4"/>
      <c r="FC776" s="4"/>
      <c r="FD776" s="4"/>
      <c r="FE776" s="4"/>
      <c r="FF776" s="4"/>
      <c r="FG776" s="4"/>
      <c r="FH776" s="4"/>
      <c r="FI776" s="4"/>
      <c r="FJ776" s="4"/>
      <c r="FK776" s="4"/>
      <c r="FL776" s="4"/>
      <c r="FM776" s="4"/>
      <c r="FN776" s="4"/>
      <c r="FO776" s="4"/>
      <c r="FP776" s="4"/>
      <c r="FQ776" s="4"/>
      <c r="FR776" s="4"/>
      <c r="FS776" s="4"/>
      <c r="FT776" s="4"/>
      <c r="FU776" s="4"/>
      <c r="FV776" s="4"/>
      <c r="FW776" s="4"/>
      <c r="FX776" s="4"/>
      <c r="FY776" s="4"/>
      <c r="FZ776" s="4"/>
      <c r="GA776" s="4"/>
      <c r="GB776" s="4"/>
      <c r="GC776" s="4"/>
      <c r="GD776" s="4"/>
      <c r="GE776" s="4"/>
      <c r="GF776" s="4"/>
      <c r="GG776" s="4"/>
      <c r="GH776" s="4"/>
      <c r="GI776" s="4"/>
      <c r="GJ776" s="4"/>
      <c r="GK776" s="4"/>
      <c r="GL776" s="4"/>
      <c r="GM776" s="4"/>
      <c r="GN776" s="4"/>
      <c r="GO776" s="4"/>
      <c r="GP776" s="4"/>
      <c r="GQ776" s="4"/>
      <c r="GR776" s="4"/>
      <c r="GS776" s="4"/>
      <c r="GT776" s="4"/>
      <c r="GU776" s="4"/>
      <c r="GV776" s="4"/>
      <c r="GW776" s="4"/>
      <c r="GX776" s="4"/>
    </row>
    <row r="777">
      <c r="A777" s="2" t="s">
        <v>4706</v>
      </c>
      <c r="B777" s="2" t="s">
        <v>278</v>
      </c>
      <c r="C777" s="2" t="s">
        <v>1299</v>
      </c>
      <c r="D777" s="2" t="s">
        <v>280</v>
      </c>
      <c r="E777" s="2" t="s">
        <v>281</v>
      </c>
      <c r="F777" s="2" t="s">
        <v>375</v>
      </c>
      <c r="G777" s="2" t="s">
        <v>375</v>
      </c>
      <c r="H777" s="2" t="s">
        <v>375</v>
      </c>
      <c r="I777" s="2" t="s">
        <v>4622</v>
      </c>
      <c r="J777" s="2" t="s">
        <v>247</v>
      </c>
      <c r="K777" s="2" t="s">
        <v>264</v>
      </c>
      <c r="L777" s="3">
        <v>12.92</v>
      </c>
      <c r="M777" s="3">
        <v>13.57</v>
      </c>
      <c r="N777" s="3">
        <v>30.99</v>
      </c>
      <c r="O777" s="2" t="s">
        <v>224</v>
      </c>
      <c r="P777" s="2" t="s">
        <v>225</v>
      </c>
      <c r="Q777" s="2" t="s">
        <v>226</v>
      </c>
      <c r="R777" s="2" t="s">
        <v>227</v>
      </c>
      <c r="S777" s="2" t="s">
        <v>4695</v>
      </c>
      <c r="T777" s="2" t="s">
        <v>375</v>
      </c>
      <c r="U777" s="2" t="s">
        <v>227</v>
      </c>
      <c r="V777" s="2" t="s">
        <v>230</v>
      </c>
      <c r="W777" s="2" t="s">
        <v>231</v>
      </c>
      <c r="X777" s="2" t="s">
        <v>227</v>
      </c>
      <c r="Y777" s="2" t="s">
        <v>232</v>
      </c>
      <c r="Z777" s="4">
        <v>201</v>
      </c>
      <c r="AA777" s="4">
        <f>=ROUNDDOWN(18.6111111111111,0)</f>
      </c>
      <c r="AB777" s="5">
        <v>10.8</v>
      </c>
      <c r="AC777" s="2" t="s">
        <v>397</v>
      </c>
      <c r="AD777" s="4">
        <v>30</v>
      </c>
      <c r="AE777" s="4">
        <v>200</v>
      </c>
      <c r="AF777" s="6">
        <v>65</v>
      </c>
      <c r="AG777" s="6"/>
      <c r="AH777" s="7">
        <v>1</v>
      </c>
      <c r="AI777" s="4"/>
      <c r="AJ777" s="4">
        <f>=ROUNDDOWN({0},0)</f>
      </c>
      <c r="AK777" s="5"/>
      <c r="AL777" s="2" t="s">
        <v>227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227</v>
      </c>
      <c r="AW777" s="8" t="s">
        <v>227</v>
      </c>
      <c r="AX777" s="4" t="s">
        <v>227</v>
      </c>
      <c r="AY777" s="8" t="s">
        <v>227</v>
      </c>
      <c r="AZ777" s="7" t="s">
        <v>227</v>
      </c>
      <c r="BA777" s="7" t="s">
        <v>227</v>
      </c>
      <c r="BB777" s="7"/>
      <c r="BC777" s="4" t="s">
        <v>227</v>
      </c>
      <c r="BD777" s="8" t="s">
        <v>227</v>
      </c>
      <c r="BE777" s="4" t="s">
        <v>227</v>
      </c>
      <c r="BF777" s="8" t="s">
        <v>227</v>
      </c>
      <c r="BG777" s="7" t="s">
        <v>227</v>
      </c>
      <c r="BH777" s="7" t="s">
        <v>227</v>
      </c>
      <c r="BI777" s="7"/>
      <c r="BJ777" s="4">
        <v>56</v>
      </c>
      <c r="BK777" s="8">
        <v>836.21</v>
      </c>
      <c r="BL777" s="2" t="s">
        <v>4707</v>
      </c>
      <c r="BM777" s="7"/>
      <c r="BN777" s="7"/>
      <c r="BO777" s="4"/>
      <c r="BP777" s="8"/>
      <c r="BQ777" s="4"/>
      <c r="BR777" s="8"/>
      <c r="BS777" s="7"/>
      <c r="BT777" s="7"/>
      <c r="BU777" s="2" t="s">
        <v>4708</v>
      </c>
      <c r="BV777" s="2" t="s">
        <v>227</v>
      </c>
      <c r="BW777" s="2" t="s">
        <v>227</v>
      </c>
      <c r="BX777" s="2" t="s">
        <v>235</v>
      </c>
      <c r="BY777" s="2" t="s">
        <v>236</v>
      </c>
      <c r="BZ777" s="2" t="s">
        <v>224</v>
      </c>
      <c r="CA777" s="2" t="s">
        <v>237</v>
      </c>
      <c r="CB777" s="2" t="s">
        <v>443</v>
      </c>
      <c r="CC777" s="2" t="s">
        <v>239</v>
      </c>
      <c r="CD777" s="2" t="s">
        <v>227</v>
      </c>
      <c r="CE777" s="4">
        <v>201</v>
      </c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>
        <v>30</v>
      </c>
      <c r="EF777" s="4"/>
      <c r="EG777" s="4"/>
      <c r="EH777" s="4"/>
      <c r="EI777" s="4"/>
      <c r="EJ777" s="4"/>
      <c r="EK777" s="4"/>
      <c r="EL777" s="4"/>
      <c r="EM777" s="4"/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/>
      <c r="FB777" s="4"/>
      <c r="FC777" s="4"/>
      <c r="FD777" s="4"/>
      <c r="FE777" s="4"/>
      <c r="FF777" s="4"/>
      <c r="FG777" s="4"/>
      <c r="FH777" s="4"/>
      <c r="FI777" s="4"/>
      <c r="FJ777" s="4"/>
      <c r="FK777" s="4"/>
      <c r="FL777" s="4"/>
      <c r="FM777" s="4"/>
      <c r="FN777" s="4"/>
      <c r="FO777" s="4"/>
      <c r="FP777" s="4"/>
      <c r="FQ777" s="4"/>
      <c r="FR777" s="4">
        <v>30</v>
      </c>
      <c r="FS777" s="4"/>
      <c r="FT777" s="4"/>
      <c r="FU777" s="4"/>
      <c r="FV777" s="4"/>
      <c r="FW777" s="4">
        <v>60</v>
      </c>
      <c r="FX777" s="4"/>
      <c r="FY777" s="4"/>
      <c r="FZ777" s="4"/>
      <c r="GA777" s="4"/>
      <c r="GB777" s="4"/>
      <c r="GC777" s="4"/>
      <c r="GD777" s="4"/>
      <c r="GE777" s="4"/>
      <c r="GF777" s="4"/>
      <c r="GG777" s="4"/>
      <c r="GH777" s="4"/>
      <c r="GI777" s="4"/>
      <c r="GJ777" s="4"/>
      <c r="GK777" s="4"/>
      <c r="GL777" s="4"/>
      <c r="GM777" s="4">
        <v>60</v>
      </c>
      <c r="GN777" s="4"/>
      <c r="GO777" s="4"/>
      <c r="GP777" s="4"/>
      <c r="GQ777" s="4"/>
      <c r="GR777" s="4"/>
      <c r="GS777" s="4"/>
      <c r="GT777" s="4"/>
      <c r="GU777" s="4"/>
      <c r="GV777" s="4"/>
      <c r="GW777" s="4"/>
      <c r="GX777" s="4">
        <v>20</v>
      </c>
    </row>
    <row r="778">
      <c r="A778" s="2" t="s">
        <v>4709</v>
      </c>
      <c r="B778" s="2" t="s">
        <v>278</v>
      </c>
      <c r="C778" s="2" t="s">
        <v>1299</v>
      </c>
      <c r="D778" s="2" t="s">
        <v>280</v>
      </c>
      <c r="E778" s="2" t="s">
        <v>281</v>
      </c>
      <c r="F778" s="2" t="s">
        <v>375</v>
      </c>
      <c r="G778" s="2" t="s">
        <v>375</v>
      </c>
      <c r="H778" s="2" t="s">
        <v>375</v>
      </c>
      <c r="I778" s="2" t="s">
        <v>4622</v>
      </c>
      <c r="J778" s="2" t="s">
        <v>257</v>
      </c>
      <c r="K778" s="2" t="s">
        <v>264</v>
      </c>
      <c r="L778" s="3">
        <v>16.75</v>
      </c>
      <c r="M778" s="3">
        <v>17.59</v>
      </c>
      <c r="N778" s="3">
        <v>37.99</v>
      </c>
      <c r="O778" s="2" t="s">
        <v>224</v>
      </c>
      <c r="P778" s="2" t="s">
        <v>225</v>
      </c>
      <c r="Q778" s="2" t="s">
        <v>226</v>
      </c>
      <c r="R778" s="2" t="s">
        <v>227</v>
      </c>
      <c r="S778" s="2" t="s">
        <v>4695</v>
      </c>
      <c r="T778" s="2" t="s">
        <v>375</v>
      </c>
      <c r="U778" s="2" t="s">
        <v>227</v>
      </c>
      <c r="V778" s="2" t="s">
        <v>230</v>
      </c>
      <c r="W778" s="2" t="s">
        <v>231</v>
      </c>
      <c r="X778" s="2" t="s">
        <v>227</v>
      </c>
      <c r="Y778" s="2" t="s">
        <v>232</v>
      </c>
      <c r="Z778" s="4">
        <v>190</v>
      </c>
      <c r="AA778" s="4">
        <f>=ROUNDDOWN(15.5737704918033,0)</f>
      </c>
      <c r="AB778" s="5">
        <v>12.2</v>
      </c>
      <c r="AC778" s="2" t="s">
        <v>397</v>
      </c>
      <c r="AD778" s="4">
        <v>140</v>
      </c>
      <c r="AE778" s="4">
        <v>360</v>
      </c>
      <c r="AF778" s="6">
        <v>65</v>
      </c>
      <c r="AG778" s="6"/>
      <c r="AH778" s="7">
        <v>1</v>
      </c>
      <c r="AI778" s="4"/>
      <c r="AJ778" s="4">
        <f>=ROUNDDOWN({0},0)</f>
      </c>
      <c r="AK778" s="5"/>
      <c r="AL778" s="2" t="s">
        <v>227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227</v>
      </c>
      <c r="AW778" s="8" t="s">
        <v>227</v>
      </c>
      <c r="AX778" s="4" t="s">
        <v>227</v>
      </c>
      <c r="AY778" s="8" t="s">
        <v>227</v>
      </c>
      <c r="AZ778" s="7" t="s">
        <v>227</v>
      </c>
      <c r="BA778" s="7" t="s">
        <v>227</v>
      </c>
      <c r="BB778" s="7"/>
      <c r="BC778" s="4" t="s">
        <v>227</v>
      </c>
      <c r="BD778" s="8" t="s">
        <v>227</v>
      </c>
      <c r="BE778" s="4" t="s">
        <v>227</v>
      </c>
      <c r="BF778" s="8" t="s">
        <v>227</v>
      </c>
      <c r="BG778" s="7" t="s">
        <v>227</v>
      </c>
      <c r="BH778" s="7" t="s">
        <v>227</v>
      </c>
      <c r="BI778" s="7"/>
      <c r="BJ778" s="4">
        <v>52</v>
      </c>
      <c r="BK778" s="8">
        <v>945.11</v>
      </c>
      <c r="BL778" s="2" t="s">
        <v>4710</v>
      </c>
      <c r="BM778" s="7"/>
      <c r="BN778" s="7"/>
      <c r="BO778" s="4"/>
      <c r="BP778" s="8"/>
      <c r="BQ778" s="4"/>
      <c r="BR778" s="8"/>
      <c r="BS778" s="7"/>
      <c r="BT778" s="7"/>
      <c r="BU778" s="2" t="s">
        <v>4711</v>
      </c>
      <c r="BV778" s="2" t="s">
        <v>227</v>
      </c>
      <c r="BW778" s="2" t="s">
        <v>227</v>
      </c>
      <c r="BX778" s="2" t="s">
        <v>235</v>
      </c>
      <c r="BY778" s="2" t="s">
        <v>236</v>
      </c>
      <c r="BZ778" s="2" t="s">
        <v>224</v>
      </c>
      <c r="CA778" s="2" t="s">
        <v>237</v>
      </c>
      <c r="CB778" s="2" t="s">
        <v>443</v>
      </c>
      <c r="CC778" s="2" t="s">
        <v>239</v>
      </c>
      <c r="CD778" s="2" t="s">
        <v>227</v>
      </c>
      <c r="CE778" s="4">
        <v>190</v>
      </c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>
        <v>140</v>
      </c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/>
      <c r="FA778" s="4"/>
      <c r="FB778" s="4"/>
      <c r="FC778" s="4"/>
      <c r="FD778" s="4"/>
      <c r="FE778" s="4"/>
      <c r="FF778" s="4"/>
      <c r="FG778" s="4"/>
      <c r="FH778" s="4"/>
      <c r="FI778" s="4"/>
      <c r="FJ778" s="4"/>
      <c r="FK778" s="4"/>
      <c r="FL778" s="4"/>
      <c r="FM778" s="4"/>
      <c r="FN778" s="4"/>
      <c r="FO778" s="4"/>
      <c r="FP778" s="4"/>
      <c r="FQ778" s="4"/>
      <c r="FR778" s="4">
        <v>120</v>
      </c>
      <c r="FS778" s="4"/>
      <c r="FT778" s="4"/>
      <c r="FU778" s="4"/>
      <c r="FV778" s="4"/>
      <c r="FW778" s="4">
        <v>100</v>
      </c>
      <c r="FX778" s="4"/>
      <c r="FY778" s="4"/>
      <c r="FZ778" s="4"/>
      <c r="GA778" s="4"/>
      <c r="GB778" s="4"/>
      <c r="GC778" s="4"/>
      <c r="GD778" s="4"/>
      <c r="GE778" s="4"/>
      <c r="GF778" s="4"/>
      <c r="GG778" s="4"/>
      <c r="GH778" s="4"/>
      <c r="GI778" s="4"/>
      <c r="GJ778" s="4"/>
      <c r="GK778" s="4"/>
      <c r="GL778" s="4"/>
      <c r="GM778" s="4"/>
      <c r="GN778" s="4"/>
      <c r="GO778" s="4"/>
      <c r="GP778" s="4"/>
      <c r="GQ778" s="4"/>
      <c r="GR778" s="4"/>
      <c r="GS778" s="4"/>
      <c r="GT778" s="4"/>
      <c r="GU778" s="4"/>
      <c r="GV778" s="4"/>
      <c r="GW778" s="4"/>
      <c r="GX778" s="4"/>
    </row>
    <row r="779">
      <c r="A779" s="2" t="s">
        <v>4712</v>
      </c>
      <c r="B779" s="2" t="s">
        <v>697</v>
      </c>
      <c r="C779" s="2" t="s">
        <v>1981</v>
      </c>
      <c r="D779" s="2" t="s">
        <v>1963</v>
      </c>
      <c r="E779" s="2" t="s">
        <v>1964</v>
      </c>
      <c r="F779" s="2" t="s">
        <v>4713</v>
      </c>
      <c r="G779" s="2" t="s">
        <v>4713</v>
      </c>
      <c r="H779" s="2" t="s">
        <v>4713</v>
      </c>
      <c r="I779" s="2" t="s">
        <v>4714</v>
      </c>
      <c r="J779" s="2" t="s">
        <v>222</v>
      </c>
      <c r="K779" s="2" t="s">
        <v>264</v>
      </c>
      <c r="L779" s="3">
        <v>35.71</v>
      </c>
      <c r="M779" s="3">
        <v>37.5</v>
      </c>
      <c r="N779" s="3">
        <v>74.99</v>
      </c>
      <c r="O779" s="2" t="s">
        <v>224</v>
      </c>
      <c r="P779" s="2" t="s">
        <v>225</v>
      </c>
      <c r="Q779" s="2" t="s">
        <v>226</v>
      </c>
      <c r="R779" s="2" t="s">
        <v>227</v>
      </c>
      <c r="S779" s="2" t="s">
        <v>4715</v>
      </c>
      <c r="T779" s="2" t="s">
        <v>375</v>
      </c>
      <c r="U779" s="2" t="s">
        <v>552</v>
      </c>
      <c r="V779" s="2" t="s">
        <v>230</v>
      </c>
      <c r="W779" s="2" t="s">
        <v>231</v>
      </c>
      <c r="X779" s="2" t="s">
        <v>227</v>
      </c>
      <c r="Y779" s="2" t="s">
        <v>1289</v>
      </c>
      <c r="Z779" s="4">
        <v>322</v>
      </c>
      <c r="AA779" s="4">
        <f>=ROUNDDOWN(32.2,0)</f>
      </c>
      <c r="AB779" s="5">
        <v>10</v>
      </c>
      <c r="AC779" s="2" t="s">
        <v>227</v>
      </c>
      <c r="AD779" s="4"/>
      <c r="AE779" s="4"/>
      <c r="AF779" s="6">
        <v>65</v>
      </c>
      <c r="AG779" s="6"/>
      <c r="AH779" s="7">
        <v>1</v>
      </c>
      <c r="AI779" s="4"/>
      <c r="AJ779" s="4">
        <f>=ROUNDDOWN({0},0)</f>
      </c>
      <c r="AK779" s="5"/>
      <c r="AL779" s="2" t="s">
        <v>227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/>
      <c r="AW779" s="8"/>
      <c r="AX779" s="4"/>
      <c r="AY779" s="8"/>
      <c r="AZ779" s="7"/>
      <c r="BA779" s="7"/>
      <c r="BB779" s="7"/>
      <c r="BC779" s="4"/>
      <c r="BD779" s="8"/>
      <c r="BE779" s="4"/>
      <c r="BF779" s="8"/>
      <c r="BG779" s="7"/>
      <c r="BH779" s="7"/>
      <c r="BI779" s="7"/>
      <c r="BJ779" s="4">
        <v>1</v>
      </c>
      <c r="BK779" s="8">
        <v>39.37</v>
      </c>
      <c r="BL779" s="2" t="s">
        <v>4716</v>
      </c>
      <c r="BM779" s="7"/>
      <c r="BN779" s="7"/>
      <c r="BO779" s="4"/>
      <c r="BP779" s="8"/>
      <c r="BQ779" s="4"/>
      <c r="BR779" s="8"/>
      <c r="BS779" s="7"/>
      <c r="BT779" s="7"/>
      <c r="BU779" s="2" t="s">
        <v>4717</v>
      </c>
      <c r="BV779" s="2" t="s">
        <v>227</v>
      </c>
      <c r="BW779" s="2" t="s">
        <v>227</v>
      </c>
      <c r="BX779" s="2" t="s">
        <v>235</v>
      </c>
      <c r="BY779" s="2" t="s">
        <v>236</v>
      </c>
      <c r="BZ779" s="2" t="s">
        <v>224</v>
      </c>
      <c r="CA779" s="2" t="s">
        <v>1529</v>
      </c>
      <c r="CB779" s="2" t="s">
        <v>4718</v>
      </c>
      <c r="CC779" s="2" t="s">
        <v>239</v>
      </c>
      <c r="CD779" s="2" t="s">
        <v>227</v>
      </c>
      <c r="CE779" s="4">
        <v>322</v>
      </c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/>
      <c r="EZ779" s="4"/>
      <c r="FA779" s="4"/>
      <c r="FB779" s="4"/>
      <c r="FC779" s="4"/>
      <c r="FD779" s="4"/>
      <c r="FE779" s="4"/>
      <c r="FF779" s="4"/>
      <c r="FG779" s="4"/>
      <c r="FH779" s="4"/>
      <c r="FI779" s="4"/>
      <c r="FJ779" s="4"/>
      <c r="FK779" s="4"/>
      <c r="FL779" s="4"/>
      <c r="FM779" s="4"/>
      <c r="FN779" s="4"/>
      <c r="FO779" s="4"/>
      <c r="FP779" s="4"/>
      <c r="FQ779" s="4"/>
      <c r="FR779" s="4"/>
      <c r="FS779" s="4"/>
      <c r="FT779" s="4"/>
      <c r="FU779" s="4"/>
      <c r="FV779" s="4"/>
      <c r="FW779" s="4"/>
      <c r="FX779" s="4"/>
      <c r="FY779" s="4"/>
      <c r="FZ779" s="4"/>
      <c r="GA779" s="4"/>
      <c r="GB779" s="4"/>
      <c r="GC779" s="4"/>
      <c r="GD779" s="4"/>
      <c r="GE779" s="4"/>
      <c r="GF779" s="4"/>
      <c r="GG779" s="4"/>
      <c r="GH779" s="4"/>
      <c r="GI779" s="4"/>
      <c r="GJ779" s="4"/>
      <c r="GK779" s="4"/>
      <c r="GL779" s="4"/>
      <c r="GM779" s="4"/>
      <c r="GN779" s="4"/>
      <c r="GO779" s="4"/>
      <c r="GP779" s="4"/>
      <c r="GQ779" s="4"/>
      <c r="GR779" s="4"/>
      <c r="GS779" s="4"/>
      <c r="GT779" s="4"/>
      <c r="GU779" s="4"/>
      <c r="GV779" s="4"/>
      <c r="GW779" s="4"/>
      <c r="GX779" s="4"/>
    </row>
    <row r="780">
      <c r="A780" s="2" t="s">
        <v>4719</v>
      </c>
      <c r="B780" s="2" t="s">
        <v>697</v>
      </c>
      <c r="C780" s="2" t="s">
        <v>1962</v>
      </c>
      <c r="D780" s="2" t="s">
        <v>1982</v>
      </c>
      <c r="E780" s="2" t="s">
        <v>1983</v>
      </c>
      <c r="F780" s="2" t="s">
        <v>4720</v>
      </c>
      <c r="G780" s="2" t="s">
        <v>4720</v>
      </c>
      <c r="H780" s="2" t="s">
        <v>4720</v>
      </c>
      <c r="I780" s="2" t="s">
        <v>4721</v>
      </c>
      <c r="J780" s="2" t="s">
        <v>252</v>
      </c>
      <c r="K780" s="2" t="s">
        <v>3126</v>
      </c>
      <c r="L780" s="3">
        <v>95.23</v>
      </c>
      <c r="M780" s="3">
        <v>99.99</v>
      </c>
      <c r="N780" s="3">
        <v>199.99</v>
      </c>
      <c r="O780" s="2" t="s">
        <v>224</v>
      </c>
      <c r="P780" s="2" t="s">
        <v>225</v>
      </c>
      <c r="Q780" s="2" t="s">
        <v>226</v>
      </c>
      <c r="R780" s="2" t="s">
        <v>227</v>
      </c>
      <c r="S780" s="2" t="s">
        <v>4722</v>
      </c>
      <c r="T780" s="2" t="s">
        <v>1698</v>
      </c>
      <c r="U780" s="2" t="s">
        <v>552</v>
      </c>
      <c r="V780" s="2" t="s">
        <v>230</v>
      </c>
      <c r="W780" s="2" t="s">
        <v>231</v>
      </c>
      <c r="X780" s="2" t="s">
        <v>227</v>
      </c>
      <c r="Y780" s="2" t="s">
        <v>4310</v>
      </c>
      <c r="Z780" s="4">
        <v>52</v>
      </c>
      <c r="AA780" s="4">
        <f>=ROUNDDOWN(3.46666666666667,0)</f>
      </c>
      <c r="AB780" s="5">
        <v>15</v>
      </c>
      <c r="AC780" s="2" t="s">
        <v>151</v>
      </c>
      <c r="AD780" s="4">
        <v>150</v>
      </c>
      <c r="AE780" s="4">
        <v>400</v>
      </c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227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227</v>
      </c>
      <c r="AW780" s="8" t="s">
        <v>227</v>
      </c>
      <c r="AX780" s="4" t="s">
        <v>227</v>
      </c>
      <c r="AY780" s="8" t="s">
        <v>227</v>
      </c>
      <c r="AZ780" s="7" t="s">
        <v>227</v>
      </c>
      <c r="BA780" s="7" t="s">
        <v>227</v>
      </c>
      <c r="BB780" s="7"/>
      <c r="BC780" s="4" t="s">
        <v>227</v>
      </c>
      <c r="BD780" s="8" t="s">
        <v>227</v>
      </c>
      <c r="BE780" s="4" t="s">
        <v>227</v>
      </c>
      <c r="BF780" s="8" t="s">
        <v>227</v>
      </c>
      <c r="BG780" s="7" t="s">
        <v>227</v>
      </c>
      <c r="BH780" s="7" t="s">
        <v>227</v>
      </c>
      <c r="BI780" s="7"/>
      <c r="BJ780" s="4">
        <v>4</v>
      </c>
      <c r="BK780" s="8">
        <v>422.96</v>
      </c>
      <c r="BL780" s="2" t="s">
        <v>2857</v>
      </c>
      <c r="BM780" s="7"/>
      <c r="BN780" s="7"/>
      <c r="BO780" s="4"/>
      <c r="BP780" s="8"/>
      <c r="BQ780" s="4"/>
      <c r="BR780" s="8"/>
      <c r="BS780" s="7"/>
      <c r="BT780" s="7"/>
      <c r="BU780" s="2" t="s">
        <v>4723</v>
      </c>
      <c r="BV780" s="2" t="s">
        <v>227</v>
      </c>
      <c r="BW780" s="2" t="s">
        <v>227</v>
      </c>
      <c r="BX780" s="2" t="s">
        <v>235</v>
      </c>
      <c r="BY780" s="2" t="s">
        <v>236</v>
      </c>
      <c r="BZ780" s="2" t="s">
        <v>224</v>
      </c>
      <c r="CA780" s="2" t="s">
        <v>3634</v>
      </c>
      <c r="CB780" s="2" t="s">
        <v>783</v>
      </c>
      <c r="CC780" s="2" t="s">
        <v>239</v>
      </c>
      <c r="CD780" s="2" t="s">
        <v>227</v>
      </c>
      <c r="CE780" s="4">
        <v>52</v>
      </c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>
        <v>150</v>
      </c>
      <c r="EN780" s="4"/>
      <c r="EO780" s="4"/>
      <c r="EP780" s="4"/>
      <c r="EQ780" s="4"/>
      <c r="ER780" s="4">
        <v>150</v>
      </c>
      <c r="ES780" s="4"/>
      <c r="ET780" s="4"/>
      <c r="EU780" s="4"/>
      <c r="EV780" s="4"/>
      <c r="EW780" s="4"/>
      <c r="EX780" s="4"/>
      <c r="EY780" s="4"/>
      <c r="EZ780" s="4"/>
      <c r="FA780" s="4"/>
      <c r="FB780" s="4"/>
      <c r="FC780" s="4"/>
      <c r="FD780" s="4"/>
      <c r="FE780" s="4"/>
      <c r="FF780" s="4"/>
      <c r="FG780" s="4"/>
      <c r="FH780" s="4"/>
      <c r="FI780" s="4"/>
      <c r="FJ780" s="4"/>
      <c r="FK780" s="4"/>
      <c r="FL780" s="4"/>
      <c r="FM780" s="4"/>
      <c r="FN780" s="4"/>
      <c r="FO780" s="4"/>
      <c r="FP780" s="4"/>
      <c r="FQ780" s="4"/>
      <c r="FR780" s="4">
        <v>100</v>
      </c>
      <c r="FS780" s="4"/>
      <c r="FT780" s="4"/>
      <c r="FU780" s="4"/>
      <c r="FV780" s="4"/>
      <c r="FW780" s="4"/>
      <c r="FX780" s="4"/>
      <c r="FY780" s="4"/>
      <c r="FZ780" s="4"/>
      <c r="GA780" s="4"/>
      <c r="GB780" s="4"/>
      <c r="GC780" s="4"/>
      <c r="GD780" s="4"/>
      <c r="GE780" s="4"/>
      <c r="GF780" s="4"/>
      <c r="GG780" s="4"/>
      <c r="GH780" s="4"/>
      <c r="GI780" s="4"/>
      <c r="GJ780" s="4"/>
      <c r="GK780" s="4"/>
      <c r="GL780" s="4"/>
      <c r="GM780" s="4"/>
      <c r="GN780" s="4"/>
      <c r="GO780" s="4"/>
      <c r="GP780" s="4"/>
      <c r="GQ780" s="4"/>
      <c r="GR780" s="4"/>
      <c r="GS780" s="4"/>
      <c r="GT780" s="4"/>
      <c r="GU780" s="4"/>
      <c r="GV780" s="4"/>
      <c r="GW780" s="4"/>
      <c r="GX780" s="4"/>
    </row>
    <row r="781">
      <c r="A781" s="2" t="s">
        <v>4724</v>
      </c>
      <c r="B781" s="2" t="s">
        <v>697</v>
      </c>
      <c r="C781" s="2" t="s">
        <v>1962</v>
      </c>
      <c r="D781" s="2" t="s">
        <v>1982</v>
      </c>
      <c r="E781" s="2" t="s">
        <v>1983</v>
      </c>
      <c r="F781" s="2" t="s">
        <v>4720</v>
      </c>
      <c r="G781" s="2" t="s">
        <v>4720</v>
      </c>
      <c r="H781" s="2" t="s">
        <v>4720</v>
      </c>
      <c r="I781" s="2" t="s">
        <v>4721</v>
      </c>
      <c r="J781" s="2" t="s">
        <v>257</v>
      </c>
      <c r="K781" s="2" t="s">
        <v>3126</v>
      </c>
      <c r="L781" s="3">
        <v>100</v>
      </c>
      <c r="M781" s="3">
        <v>105</v>
      </c>
      <c r="N781" s="3">
        <v>209.99</v>
      </c>
      <c r="O781" s="2" t="s">
        <v>224</v>
      </c>
      <c r="P781" s="2" t="s">
        <v>225</v>
      </c>
      <c r="Q781" s="2" t="s">
        <v>226</v>
      </c>
      <c r="R781" s="2" t="s">
        <v>227</v>
      </c>
      <c r="S781" s="2" t="s">
        <v>4722</v>
      </c>
      <c r="T781" s="2" t="s">
        <v>1698</v>
      </c>
      <c r="U781" s="2" t="s">
        <v>552</v>
      </c>
      <c r="V781" s="2" t="s">
        <v>230</v>
      </c>
      <c r="W781" s="2" t="s">
        <v>231</v>
      </c>
      <c r="X781" s="2" t="s">
        <v>227</v>
      </c>
      <c r="Y781" s="2" t="s">
        <v>4310</v>
      </c>
      <c r="Z781" s="4"/>
      <c r="AA781" s="4">
        <f>=ROUNDDOWN({0},0)</f>
      </c>
      <c r="AB781" s="5">
        <v>31</v>
      </c>
      <c r="AC781" s="2" t="s">
        <v>151</v>
      </c>
      <c r="AD781" s="4">
        <v>200</v>
      </c>
      <c r="AE781" s="4">
        <v>930</v>
      </c>
      <c r="AF781" s="6">
        <v>65</v>
      </c>
      <c r="AG781" s="6"/>
      <c r="AH781" s="7">
        <v>0</v>
      </c>
      <c r="AI781" s="4"/>
      <c r="AJ781" s="4">
        <f>=ROUNDDOWN({0},0)</f>
      </c>
      <c r="AK781" s="5"/>
      <c r="AL781" s="2" t="s">
        <v>227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227</v>
      </c>
      <c r="AW781" s="8" t="s">
        <v>227</v>
      </c>
      <c r="AX781" s="4" t="s">
        <v>227</v>
      </c>
      <c r="AY781" s="8" t="s">
        <v>227</v>
      </c>
      <c r="AZ781" s="7" t="s">
        <v>227</v>
      </c>
      <c r="BA781" s="7" t="s">
        <v>227</v>
      </c>
      <c r="BB781" s="7"/>
      <c r="BC781" s="4" t="s">
        <v>227</v>
      </c>
      <c r="BD781" s="8" t="s">
        <v>227</v>
      </c>
      <c r="BE781" s="4" t="s">
        <v>227</v>
      </c>
      <c r="BF781" s="8" t="s">
        <v>227</v>
      </c>
      <c r="BG781" s="7" t="s">
        <v>227</v>
      </c>
      <c r="BH781" s="7" t="s">
        <v>227</v>
      </c>
      <c r="BI781" s="7"/>
      <c r="BJ781" s="4"/>
      <c r="BK781" s="8"/>
      <c r="BL781" s="2" t="s">
        <v>227</v>
      </c>
      <c r="BM781" s="7"/>
      <c r="BN781" s="7"/>
      <c r="BO781" s="4"/>
      <c r="BP781" s="8"/>
      <c r="BQ781" s="4"/>
      <c r="BR781" s="8"/>
      <c r="BS781" s="7"/>
      <c r="BT781" s="7"/>
      <c r="BU781" s="2" t="s">
        <v>4725</v>
      </c>
      <c r="BV781" s="2" t="s">
        <v>227</v>
      </c>
      <c r="BW781" s="2" t="s">
        <v>227</v>
      </c>
      <c r="BX781" s="2" t="s">
        <v>235</v>
      </c>
      <c r="BY781" s="2" t="s">
        <v>236</v>
      </c>
      <c r="BZ781" s="2" t="s">
        <v>224</v>
      </c>
      <c r="CA781" s="2" t="s">
        <v>3634</v>
      </c>
      <c r="CB781" s="2" t="s">
        <v>3130</v>
      </c>
      <c r="CC781" s="2" t="s">
        <v>239</v>
      </c>
      <c r="CD781" s="2" t="s">
        <v>227</v>
      </c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>
        <v>200</v>
      </c>
      <c r="EN781" s="4"/>
      <c r="EO781" s="4"/>
      <c r="EP781" s="4"/>
      <c r="EQ781" s="4"/>
      <c r="ER781" s="4">
        <v>280</v>
      </c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  <c r="FG781" s="4"/>
      <c r="FH781" s="4"/>
      <c r="FI781" s="4"/>
      <c r="FJ781" s="4"/>
      <c r="FK781" s="4"/>
      <c r="FL781" s="4">
        <v>230</v>
      </c>
      <c r="FM781" s="4"/>
      <c r="FN781" s="4"/>
      <c r="FO781" s="4"/>
      <c r="FP781" s="4"/>
      <c r="FQ781" s="4"/>
      <c r="FR781" s="4">
        <v>150</v>
      </c>
      <c r="FS781" s="4"/>
      <c r="FT781" s="4"/>
      <c r="FU781" s="4"/>
      <c r="FV781" s="4"/>
      <c r="FW781" s="4"/>
      <c r="FX781" s="4"/>
      <c r="FY781" s="4"/>
      <c r="FZ781" s="4"/>
      <c r="GA781" s="4"/>
      <c r="GB781" s="4"/>
      <c r="GC781" s="4"/>
      <c r="GD781" s="4"/>
      <c r="GE781" s="4"/>
      <c r="GF781" s="4"/>
      <c r="GG781" s="4"/>
      <c r="GH781" s="4"/>
      <c r="GI781" s="4"/>
      <c r="GJ781" s="4"/>
      <c r="GK781" s="4"/>
      <c r="GL781" s="4"/>
      <c r="GM781" s="4">
        <v>70</v>
      </c>
      <c r="GN781" s="4"/>
      <c r="GO781" s="4"/>
      <c r="GP781" s="4"/>
      <c r="GQ781" s="4"/>
      <c r="GR781" s="4"/>
      <c r="GS781" s="4"/>
      <c r="GT781" s="4"/>
      <c r="GU781" s="4"/>
      <c r="GV781" s="4"/>
      <c r="GW781" s="4"/>
      <c r="GX781" s="4"/>
    </row>
    <row r="782">
      <c r="A782" s="2" t="s">
        <v>4726</v>
      </c>
      <c r="B782" s="2" t="s">
        <v>697</v>
      </c>
      <c r="C782" s="2" t="s">
        <v>1962</v>
      </c>
      <c r="D782" s="2" t="s">
        <v>1982</v>
      </c>
      <c r="E782" s="2" t="s">
        <v>1983</v>
      </c>
      <c r="F782" s="2" t="s">
        <v>4720</v>
      </c>
      <c r="G782" s="2" t="s">
        <v>4720</v>
      </c>
      <c r="H782" s="2" t="s">
        <v>4720</v>
      </c>
      <c r="I782" s="2" t="s">
        <v>4721</v>
      </c>
      <c r="J782" s="2" t="s">
        <v>257</v>
      </c>
      <c r="K782" s="2" t="s">
        <v>363</v>
      </c>
      <c r="L782" s="3">
        <v>100</v>
      </c>
      <c r="M782" s="3">
        <v>105</v>
      </c>
      <c r="N782" s="3">
        <v>209.99</v>
      </c>
      <c r="O782" s="2" t="s">
        <v>224</v>
      </c>
      <c r="P782" s="2" t="s">
        <v>225</v>
      </c>
      <c r="Q782" s="2" t="s">
        <v>226</v>
      </c>
      <c r="R782" s="2" t="s">
        <v>227</v>
      </c>
      <c r="S782" s="2" t="s">
        <v>4727</v>
      </c>
      <c r="T782" s="2" t="s">
        <v>1698</v>
      </c>
      <c r="U782" s="2" t="s">
        <v>552</v>
      </c>
      <c r="V782" s="2" t="s">
        <v>230</v>
      </c>
      <c r="W782" s="2" t="s">
        <v>231</v>
      </c>
      <c r="X782" s="2" t="s">
        <v>227</v>
      </c>
      <c r="Y782" s="2" t="s">
        <v>4310</v>
      </c>
      <c r="Z782" s="4"/>
      <c r="AA782" s="4">
        <f>=ROUNDDOWN({0},0)</f>
      </c>
      <c r="AB782" s="5">
        <v>22</v>
      </c>
      <c r="AC782" s="2" t="s">
        <v>151</v>
      </c>
      <c r="AD782" s="4">
        <v>340</v>
      </c>
      <c r="AE782" s="4">
        <v>670</v>
      </c>
      <c r="AF782" s="6">
        <v>65</v>
      </c>
      <c r="AG782" s="6"/>
      <c r="AH782" s="7">
        <v>0</v>
      </c>
      <c r="AI782" s="4"/>
      <c r="AJ782" s="4">
        <f>=ROUNDDOWN({0},0)</f>
      </c>
      <c r="AK782" s="5"/>
      <c r="AL782" s="2" t="s">
        <v>227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/>
      <c r="AW782" s="8"/>
      <c r="AX782" s="4"/>
      <c r="AY782" s="8"/>
      <c r="AZ782" s="7"/>
      <c r="BA782" s="7"/>
      <c r="BB782" s="7"/>
      <c r="BC782" s="4" t="s">
        <v>227</v>
      </c>
      <c r="BD782" s="8" t="s">
        <v>227</v>
      </c>
      <c r="BE782" s="4" t="s">
        <v>227</v>
      </c>
      <c r="BF782" s="8" t="s">
        <v>227</v>
      </c>
      <c r="BG782" s="7" t="s">
        <v>227</v>
      </c>
      <c r="BH782" s="7" t="s">
        <v>227</v>
      </c>
      <c r="BI782" s="7"/>
      <c r="BJ782" s="4"/>
      <c r="BK782" s="8"/>
      <c r="BL782" s="2" t="s">
        <v>227</v>
      </c>
      <c r="BM782" s="7"/>
      <c r="BN782" s="7"/>
      <c r="BO782" s="4"/>
      <c r="BP782" s="8"/>
      <c r="BQ782" s="4"/>
      <c r="BR782" s="8"/>
      <c r="BS782" s="7"/>
      <c r="BT782" s="7"/>
      <c r="BU782" s="2" t="s">
        <v>4728</v>
      </c>
      <c r="BV782" s="2" t="s">
        <v>227</v>
      </c>
      <c r="BW782" s="2" t="s">
        <v>227</v>
      </c>
      <c r="BX782" s="2" t="s">
        <v>235</v>
      </c>
      <c r="BY782" s="2" t="s">
        <v>236</v>
      </c>
      <c r="BZ782" s="2" t="s">
        <v>224</v>
      </c>
      <c r="CA782" s="2" t="s">
        <v>3634</v>
      </c>
      <c r="CB782" s="2" t="s">
        <v>370</v>
      </c>
      <c r="CC782" s="2" t="s">
        <v>239</v>
      </c>
      <c r="CD782" s="2" t="s">
        <v>227</v>
      </c>
      <c r="CE782" s="4"/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>
        <v>340</v>
      </c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/>
      <c r="FB782" s="4"/>
      <c r="FC782" s="4"/>
      <c r="FD782" s="4"/>
      <c r="FE782" s="4"/>
      <c r="FF782" s="4"/>
      <c r="FG782" s="4"/>
      <c r="FH782" s="4"/>
      <c r="FI782" s="4"/>
      <c r="FJ782" s="4"/>
      <c r="FK782" s="4"/>
      <c r="FL782" s="4">
        <v>170</v>
      </c>
      <c r="FM782" s="4"/>
      <c r="FN782" s="4"/>
      <c r="FO782" s="4"/>
      <c r="FP782" s="4"/>
      <c r="FQ782" s="4"/>
      <c r="FR782" s="4">
        <v>160</v>
      </c>
      <c r="FS782" s="4"/>
      <c r="FT782" s="4"/>
      <c r="FU782" s="4"/>
      <c r="FV782" s="4"/>
      <c r="FW782" s="4"/>
      <c r="FX782" s="4"/>
      <c r="FY782" s="4"/>
      <c r="FZ782" s="4"/>
      <c r="GA782" s="4"/>
      <c r="GB782" s="4"/>
      <c r="GC782" s="4"/>
      <c r="GD782" s="4"/>
      <c r="GE782" s="4"/>
      <c r="GF782" s="4"/>
      <c r="GG782" s="4"/>
      <c r="GH782" s="4"/>
      <c r="GI782" s="4"/>
      <c r="GJ782" s="4"/>
      <c r="GK782" s="4"/>
      <c r="GL782" s="4"/>
      <c r="GM782" s="4"/>
      <c r="GN782" s="4"/>
      <c r="GO782" s="4"/>
      <c r="GP782" s="4"/>
      <c r="GQ782" s="4"/>
      <c r="GR782" s="4"/>
      <c r="GS782" s="4"/>
      <c r="GT782" s="4"/>
      <c r="GU782" s="4"/>
      <c r="GV782" s="4"/>
      <c r="GW782" s="4"/>
      <c r="GX782" s="4"/>
    </row>
    <row r="783">
      <c r="A783" s="2" t="s">
        <v>4729</v>
      </c>
      <c r="B783" s="2" t="s">
        <v>697</v>
      </c>
      <c r="C783" s="2" t="s">
        <v>1962</v>
      </c>
      <c r="D783" s="2" t="s">
        <v>1982</v>
      </c>
      <c r="E783" s="2" t="s">
        <v>1983</v>
      </c>
      <c r="F783" s="2" t="s">
        <v>4720</v>
      </c>
      <c r="G783" s="2" t="s">
        <v>4720</v>
      </c>
      <c r="H783" s="2" t="s">
        <v>4720</v>
      </c>
      <c r="I783" s="2" t="s">
        <v>4721</v>
      </c>
      <c r="J783" s="2" t="s">
        <v>252</v>
      </c>
      <c r="K783" s="2" t="s">
        <v>1067</v>
      </c>
      <c r="L783" s="3">
        <v>95.23</v>
      </c>
      <c r="M783" s="3">
        <v>99.99</v>
      </c>
      <c r="N783" s="3">
        <v>199.99</v>
      </c>
      <c r="O783" s="2" t="s">
        <v>224</v>
      </c>
      <c r="P783" s="2" t="s">
        <v>225</v>
      </c>
      <c r="Q783" s="2" t="s">
        <v>226</v>
      </c>
      <c r="R783" s="2" t="s">
        <v>227</v>
      </c>
      <c r="S783" s="2" t="s">
        <v>4730</v>
      </c>
      <c r="T783" s="2" t="s">
        <v>1698</v>
      </c>
      <c r="U783" s="2" t="s">
        <v>552</v>
      </c>
      <c r="V783" s="2" t="s">
        <v>230</v>
      </c>
      <c r="W783" s="2" t="s">
        <v>231</v>
      </c>
      <c r="X783" s="2" t="s">
        <v>227</v>
      </c>
      <c r="Y783" s="2" t="s">
        <v>4310</v>
      </c>
      <c r="Z783" s="4">
        <v>253</v>
      </c>
      <c r="AA783" s="4">
        <f>=ROUNDDOWN(25.3,0)</f>
      </c>
      <c r="AB783" s="5">
        <v>10</v>
      </c>
      <c r="AC783" s="2" t="s">
        <v>151</v>
      </c>
      <c r="AD783" s="4">
        <v>150</v>
      </c>
      <c r="AE783" s="4">
        <v>300</v>
      </c>
      <c r="AF783" s="6">
        <v>65</v>
      </c>
      <c r="AG783" s="6"/>
      <c r="AH783" s="7">
        <v>1</v>
      </c>
      <c r="AI783" s="4"/>
      <c r="AJ783" s="4">
        <f>=ROUNDDOWN({0},0)</f>
      </c>
      <c r="AK783" s="5"/>
      <c r="AL783" s="2" t="s">
        <v>227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227</v>
      </c>
      <c r="AW783" s="8" t="s">
        <v>227</v>
      </c>
      <c r="AX783" s="4" t="s">
        <v>227</v>
      </c>
      <c r="AY783" s="8" t="s">
        <v>227</v>
      </c>
      <c r="AZ783" s="7" t="s">
        <v>227</v>
      </c>
      <c r="BA783" s="7" t="s">
        <v>227</v>
      </c>
      <c r="BB783" s="7"/>
      <c r="BC783" s="4" t="s">
        <v>227</v>
      </c>
      <c r="BD783" s="8" t="s">
        <v>227</v>
      </c>
      <c r="BE783" s="4" t="s">
        <v>227</v>
      </c>
      <c r="BF783" s="8" t="s">
        <v>227</v>
      </c>
      <c r="BG783" s="7" t="s">
        <v>227</v>
      </c>
      <c r="BH783" s="7" t="s">
        <v>227</v>
      </c>
      <c r="BI783" s="7"/>
      <c r="BJ783" s="4">
        <v>4</v>
      </c>
      <c r="BK783" s="8">
        <v>412.96</v>
      </c>
      <c r="BL783" s="2" t="s">
        <v>4731</v>
      </c>
      <c r="BM783" s="7"/>
      <c r="BN783" s="7"/>
      <c r="BO783" s="4"/>
      <c r="BP783" s="8"/>
      <c r="BQ783" s="4"/>
      <c r="BR783" s="8"/>
      <c r="BS783" s="7"/>
      <c r="BT783" s="7"/>
      <c r="BU783" s="2" t="s">
        <v>4732</v>
      </c>
      <c r="BV783" s="2" t="s">
        <v>227</v>
      </c>
      <c r="BW783" s="2" t="s">
        <v>227</v>
      </c>
      <c r="BX783" s="2" t="s">
        <v>235</v>
      </c>
      <c r="BY783" s="2" t="s">
        <v>236</v>
      </c>
      <c r="BZ783" s="2" t="s">
        <v>224</v>
      </c>
      <c r="CA783" s="2" t="s">
        <v>3634</v>
      </c>
      <c r="CB783" s="2" t="s">
        <v>4718</v>
      </c>
      <c r="CC783" s="2" t="s">
        <v>239</v>
      </c>
      <c r="CD783" s="2" t="s">
        <v>227</v>
      </c>
      <c r="CE783" s="4">
        <v>253</v>
      </c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>
        <v>150</v>
      </c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/>
      <c r="FD783" s="4"/>
      <c r="FE783" s="4"/>
      <c r="FF783" s="4"/>
      <c r="FG783" s="4"/>
      <c r="FH783" s="4"/>
      <c r="FI783" s="4"/>
      <c r="FJ783" s="4"/>
      <c r="FK783" s="4"/>
      <c r="FL783" s="4">
        <v>150</v>
      </c>
      <c r="FM783" s="4"/>
      <c r="FN783" s="4"/>
      <c r="FO783" s="4"/>
      <c r="FP783" s="4"/>
      <c r="FQ783" s="4"/>
      <c r="FR783" s="4"/>
      <c r="FS783" s="4"/>
      <c r="FT783" s="4"/>
      <c r="FU783" s="4"/>
      <c r="FV783" s="4"/>
      <c r="FW783" s="4"/>
      <c r="FX783" s="4"/>
      <c r="FY783" s="4"/>
      <c r="FZ783" s="4"/>
      <c r="GA783" s="4"/>
      <c r="GB783" s="4"/>
      <c r="GC783" s="4"/>
      <c r="GD783" s="4"/>
      <c r="GE783" s="4"/>
      <c r="GF783" s="4"/>
      <c r="GG783" s="4"/>
      <c r="GH783" s="4"/>
      <c r="GI783" s="4"/>
      <c r="GJ783" s="4"/>
      <c r="GK783" s="4"/>
      <c r="GL783" s="4"/>
      <c r="GM783" s="4"/>
      <c r="GN783" s="4"/>
      <c r="GO783" s="4"/>
      <c r="GP783" s="4"/>
      <c r="GQ783" s="4"/>
      <c r="GR783" s="4"/>
      <c r="GS783" s="4"/>
      <c r="GT783" s="4"/>
      <c r="GU783" s="4"/>
      <c r="GV783" s="4"/>
      <c r="GW783" s="4"/>
      <c r="GX783" s="4"/>
    </row>
    <row r="784">
      <c r="A784" s="2" t="s">
        <v>4733</v>
      </c>
      <c r="B784" s="2" t="s">
        <v>697</v>
      </c>
      <c r="C784" s="2" t="s">
        <v>1962</v>
      </c>
      <c r="D784" s="2" t="s">
        <v>1982</v>
      </c>
      <c r="E784" s="2" t="s">
        <v>1983</v>
      </c>
      <c r="F784" s="2" t="s">
        <v>4720</v>
      </c>
      <c r="G784" s="2" t="s">
        <v>4720</v>
      </c>
      <c r="H784" s="2" t="s">
        <v>4720</v>
      </c>
      <c r="I784" s="2" t="s">
        <v>4721</v>
      </c>
      <c r="J784" s="2" t="s">
        <v>257</v>
      </c>
      <c r="K784" s="2" t="s">
        <v>1067</v>
      </c>
      <c r="L784" s="3">
        <v>100</v>
      </c>
      <c r="M784" s="3">
        <v>105</v>
      </c>
      <c r="N784" s="3">
        <v>209.99</v>
      </c>
      <c r="O784" s="2" t="s">
        <v>224</v>
      </c>
      <c r="P784" s="2" t="s">
        <v>225</v>
      </c>
      <c r="Q784" s="2" t="s">
        <v>226</v>
      </c>
      <c r="R784" s="2" t="s">
        <v>227</v>
      </c>
      <c r="S784" s="2" t="s">
        <v>4730</v>
      </c>
      <c r="T784" s="2" t="s">
        <v>1698</v>
      </c>
      <c r="U784" s="2" t="s">
        <v>552</v>
      </c>
      <c r="V784" s="2" t="s">
        <v>230</v>
      </c>
      <c r="W784" s="2" t="s">
        <v>231</v>
      </c>
      <c r="X784" s="2" t="s">
        <v>227</v>
      </c>
      <c r="Y784" s="2" t="s">
        <v>4310</v>
      </c>
      <c r="Z784" s="4"/>
      <c r="AA784" s="4">
        <f>=ROUNDDOWN({0},0)</f>
      </c>
      <c r="AB784" s="5">
        <v>18</v>
      </c>
      <c r="AC784" s="2" t="s">
        <v>151</v>
      </c>
      <c r="AD784" s="4">
        <v>150</v>
      </c>
      <c r="AE784" s="4">
        <v>550</v>
      </c>
      <c r="AF784" s="6">
        <v>65</v>
      </c>
      <c r="AG784" s="6"/>
      <c r="AH784" s="7">
        <v>0</v>
      </c>
      <c r="AI784" s="4"/>
      <c r="AJ784" s="4">
        <f>=ROUNDDOWN({0},0)</f>
      </c>
      <c r="AK784" s="5"/>
      <c r="AL784" s="2" t="s">
        <v>227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227</v>
      </c>
      <c r="AW784" s="8" t="s">
        <v>227</v>
      </c>
      <c r="AX784" s="4" t="s">
        <v>227</v>
      </c>
      <c r="AY784" s="8" t="s">
        <v>227</v>
      </c>
      <c r="AZ784" s="7" t="s">
        <v>227</v>
      </c>
      <c r="BA784" s="7" t="s">
        <v>227</v>
      </c>
      <c r="BB784" s="7"/>
      <c r="BC784" s="4" t="s">
        <v>227</v>
      </c>
      <c r="BD784" s="8" t="s">
        <v>227</v>
      </c>
      <c r="BE784" s="4" t="s">
        <v>227</v>
      </c>
      <c r="BF784" s="8" t="s">
        <v>227</v>
      </c>
      <c r="BG784" s="7" t="s">
        <v>227</v>
      </c>
      <c r="BH784" s="7" t="s">
        <v>227</v>
      </c>
      <c r="BI784" s="7"/>
      <c r="BJ784" s="4"/>
      <c r="BK784" s="8"/>
      <c r="BL784" s="2" t="s">
        <v>227</v>
      </c>
      <c r="BM784" s="7"/>
      <c r="BN784" s="7"/>
      <c r="BO784" s="4"/>
      <c r="BP784" s="8"/>
      <c r="BQ784" s="4"/>
      <c r="BR784" s="8"/>
      <c r="BS784" s="7"/>
      <c r="BT784" s="7"/>
      <c r="BU784" s="2" t="s">
        <v>4734</v>
      </c>
      <c r="BV784" s="2" t="s">
        <v>227</v>
      </c>
      <c r="BW784" s="2" t="s">
        <v>227</v>
      </c>
      <c r="BX784" s="2" t="s">
        <v>235</v>
      </c>
      <c r="BY784" s="2" t="s">
        <v>236</v>
      </c>
      <c r="BZ784" s="2" t="s">
        <v>224</v>
      </c>
      <c r="CA784" s="2" t="s">
        <v>3634</v>
      </c>
      <c r="CB784" s="2" t="s">
        <v>1973</v>
      </c>
      <c r="CC784" s="2" t="s">
        <v>239</v>
      </c>
      <c r="CD784" s="2" t="s">
        <v>227</v>
      </c>
      <c r="CE784" s="4"/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>
        <v>150</v>
      </c>
      <c r="EN784" s="4"/>
      <c r="EO784" s="4"/>
      <c r="EP784" s="4"/>
      <c r="EQ784" s="4"/>
      <c r="ER784" s="4">
        <v>150</v>
      </c>
      <c r="ES784" s="4"/>
      <c r="ET784" s="4"/>
      <c r="EU784" s="4"/>
      <c r="EV784" s="4"/>
      <c r="EW784" s="4"/>
      <c r="EX784" s="4"/>
      <c r="EY784" s="4"/>
      <c r="EZ784" s="4"/>
      <c r="FA784" s="4"/>
      <c r="FB784" s="4"/>
      <c r="FC784" s="4"/>
      <c r="FD784" s="4"/>
      <c r="FE784" s="4"/>
      <c r="FF784" s="4"/>
      <c r="FG784" s="4"/>
      <c r="FH784" s="4"/>
      <c r="FI784" s="4"/>
      <c r="FJ784" s="4"/>
      <c r="FK784" s="4"/>
      <c r="FL784" s="4">
        <v>150</v>
      </c>
      <c r="FM784" s="4"/>
      <c r="FN784" s="4"/>
      <c r="FO784" s="4"/>
      <c r="FP784" s="4"/>
      <c r="FQ784" s="4"/>
      <c r="FR784" s="4">
        <v>100</v>
      </c>
      <c r="FS784" s="4"/>
      <c r="FT784" s="4"/>
      <c r="FU784" s="4"/>
      <c r="FV784" s="4"/>
      <c r="FW784" s="4"/>
      <c r="FX784" s="4"/>
      <c r="FY784" s="4"/>
      <c r="FZ784" s="4"/>
      <c r="GA784" s="4"/>
      <c r="GB784" s="4"/>
      <c r="GC784" s="4"/>
      <c r="GD784" s="4"/>
      <c r="GE784" s="4"/>
      <c r="GF784" s="4"/>
      <c r="GG784" s="4"/>
      <c r="GH784" s="4"/>
      <c r="GI784" s="4"/>
      <c r="GJ784" s="4"/>
      <c r="GK784" s="4"/>
      <c r="GL784" s="4"/>
      <c r="GM784" s="4"/>
      <c r="GN784" s="4"/>
      <c r="GO784" s="4"/>
      <c r="GP784" s="4"/>
      <c r="GQ784" s="4"/>
      <c r="GR784" s="4"/>
      <c r="GS784" s="4"/>
      <c r="GT784" s="4"/>
      <c r="GU784" s="4"/>
      <c r="GV784" s="4"/>
      <c r="GW784" s="4"/>
      <c r="GX784" s="4"/>
    </row>
    <row r="785">
      <c r="A785" s="2" t="s">
        <v>4735</v>
      </c>
      <c r="B785" s="2" t="s">
        <v>1001</v>
      </c>
      <c r="C785" s="2" t="s">
        <v>668</v>
      </c>
      <c r="D785" s="2" t="s">
        <v>4736</v>
      </c>
      <c r="E785" s="2" t="s">
        <v>4737</v>
      </c>
      <c r="F785" s="2" t="s">
        <v>4738</v>
      </c>
      <c r="G785" s="2" t="s">
        <v>4738</v>
      </c>
      <c r="H785" s="2" t="s">
        <v>4738</v>
      </c>
      <c r="I785" s="2" t="s">
        <v>4739</v>
      </c>
      <c r="J785" s="2" t="s">
        <v>548</v>
      </c>
      <c r="K785" s="2" t="s">
        <v>737</v>
      </c>
      <c r="L785" s="3">
        <v>68.4</v>
      </c>
      <c r="M785" s="3">
        <v>71.82</v>
      </c>
      <c r="N785" s="3">
        <v>149.99</v>
      </c>
      <c r="O785" s="2" t="s">
        <v>224</v>
      </c>
      <c r="P785" s="2" t="s">
        <v>225</v>
      </c>
      <c r="Q785" s="2" t="s">
        <v>226</v>
      </c>
      <c r="R785" s="2" t="s">
        <v>227</v>
      </c>
      <c r="S785" s="2" t="s">
        <v>227</v>
      </c>
      <c r="T785" s="2" t="s">
        <v>227</v>
      </c>
      <c r="U785" s="2" t="s">
        <v>552</v>
      </c>
      <c r="V785" s="2" t="s">
        <v>566</v>
      </c>
      <c r="W785" s="2" t="s">
        <v>1045</v>
      </c>
      <c r="X785" s="2" t="s">
        <v>231</v>
      </c>
      <c r="Y785" s="2" t="s">
        <v>1956</v>
      </c>
      <c r="Z785" s="4">
        <v>108</v>
      </c>
      <c r="AA785" s="4">
        <f>=ROUNDDOWN(13.5,0)</f>
      </c>
      <c r="AB785" s="5">
        <v>8</v>
      </c>
      <c r="AC785" s="2" t="s">
        <v>185</v>
      </c>
      <c r="AD785" s="4">
        <v>100</v>
      </c>
      <c r="AE785" s="4">
        <v>100</v>
      </c>
      <c r="AF785" s="6">
        <v>63</v>
      </c>
      <c r="AG785" s="6"/>
      <c r="AH785" s="7">
        <v>0.4839</v>
      </c>
      <c r="AI785" s="4"/>
      <c r="AJ785" s="4">
        <f>=ROUNDDOWN({0},0)</f>
      </c>
      <c r="AK785" s="5"/>
      <c r="AL785" s="2" t="s">
        <v>227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/>
      <c r="AW785" s="8"/>
      <c r="AX785" s="4"/>
      <c r="AY785" s="8"/>
      <c r="AZ785" s="7"/>
      <c r="BA785" s="7"/>
      <c r="BB785" s="7"/>
      <c r="BC785" s="4"/>
      <c r="BD785" s="8"/>
      <c r="BE785" s="4"/>
      <c r="BF785" s="8"/>
      <c r="BG785" s="7"/>
      <c r="BH785" s="7"/>
      <c r="BI785" s="7"/>
      <c r="BJ785" s="4">
        <v>8</v>
      </c>
      <c r="BK785" s="8">
        <v>565.39</v>
      </c>
      <c r="BL785" s="2" t="s">
        <v>1290</v>
      </c>
      <c r="BM785" s="7"/>
      <c r="BN785" s="7"/>
      <c r="BO785" s="4"/>
      <c r="BP785" s="8"/>
      <c r="BQ785" s="4"/>
      <c r="BR785" s="8"/>
      <c r="BS785" s="7"/>
      <c r="BT785" s="7"/>
      <c r="BU785" s="2" t="s">
        <v>4740</v>
      </c>
      <c r="BV785" s="2" t="s">
        <v>227</v>
      </c>
      <c r="BW785" s="2" t="s">
        <v>227</v>
      </c>
      <c r="BX785" s="2" t="s">
        <v>235</v>
      </c>
      <c r="BY785" s="2" t="s">
        <v>236</v>
      </c>
      <c r="BZ785" s="2" t="s">
        <v>224</v>
      </c>
      <c r="CA785" s="2" t="s">
        <v>1959</v>
      </c>
      <c r="CB785" s="2" t="s">
        <v>4741</v>
      </c>
      <c r="CC785" s="2" t="s">
        <v>239</v>
      </c>
      <c r="CD785" s="2" t="s">
        <v>227</v>
      </c>
      <c r="CE785" s="4"/>
      <c r="CF785" s="4">
        <v>108</v>
      </c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/>
      <c r="FB785" s="4"/>
      <c r="FC785" s="4"/>
      <c r="FD785" s="4"/>
      <c r="FE785" s="4"/>
      <c r="FF785" s="4"/>
      <c r="FG785" s="4"/>
      <c r="FH785" s="4"/>
      <c r="FI785" s="4"/>
      <c r="FJ785" s="4"/>
      <c r="FK785" s="4"/>
      <c r="FL785" s="4"/>
      <c r="FM785" s="4"/>
      <c r="FN785" s="4"/>
      <c r="FO785" s="4"/>
      <c r="FP785" s="4"/>
      <c r="FQ785" s="4"/>
      <c r="FR785" s="4"/>
      <c r="FS785" s="4"/>
      <c r="FT785" s="4"/>
      <c r="FU785" s="4">
        <v>100</v>
      </c>
      <c r="FV785" s="4"/>
      <c r="FW785" s="4"/>
      <c r="FX785" s="4"/>
      <c r="FY785" s="4"/>
      <c r="FZ785" s="4"/>
      <c r="GA785" s="4"/>
      <c r="GB785" s="4"/>
      <c r="GC785" s="4"/>
      <c r="GD785" s="4"/>
      <c r="GE785" s="4"/>
      <c r="GF785" s="4"/>
      <c r="GG785" s="4"/>
      <c r="GH785" s="4"/>
      <c r="GI785" s="4"/>
      <c r="GJ785" s="4"/>
      <c r="GK785" s="4"/>
      <c r="GL785" s="4"/>
      <c r="GM785" s="4"/>
      <c r="GN785" s="4"/>
      <c r="GO785" s="4"/>
      <c r="GP785" s="4"/>
      <c r="GQ785" s="4"/>
      <c r="GR785" s="4"/>
      <c r="GS785" s="4"/>
      <c r="GT785" s="4"/>
      <c r="GU785" s="4"/>
      <c r="GV785" s="4"/>
      <c r="GW785" s="4"/>
      <c r="GX785" s="4"/>
    </row>
    <row r="786">
      <c r="A786" s="2" t="s">
        <v>4742</v>
      </c>
      <c r="B786" s="2" t="s">
        <v>618</v>
      </c>
      <c r="C786" s="2" t="s">
        <v>1299</v>
      </c>
      <c r="D786" s="2" t="s">
        <v>687</v>
      </c>
      <c r="E786" s="2" t="s">
        <v>688</v>
      </c>
      <c r="F786" s="2" t="s">
        <v>4743</v>
      </c>
      <c r="G786" s="2" t="s">
        <v>4744</v>
      </c>
      <c r="H786" s="2" t="s">
        <v>4745</v>
      </c>
      <c r="I786" s="2" t="s">
        <v>4746</v>
      </c>
      <c r="J786" s="2" t="s">
        <v>626</v>
      </c>
      <c r="K786" s="2" t="s">
        <v>389</v>
      </c>
      <c r="L786" s="3">
        <v>42.85</v>
      </c>
      <c r="M786" s="3">
        <v>44.99</v>
      </c>
      <c r="N786" s="3">
        <v>89.99</v>
      </c>
      <c r="O786" s="2" t="s">
        <v>224</v>
      </c>
      <c r="P786" s="2" t="s">
        <v>225</v>
      </c>
      <c r="Q786" s="2" t="s">
        <v>226</v>
      </c>
      <c r="R786" s="2" t="s">
        <v>227</v>
      </c>
      <c r="S786" s="2" t="s">
        <v>4747</v>
      </c>
      <c r="T786" s="2" t="s">
        <v>1871</v>
      </c>
      <c r="U786" s="2" t="s">
        <v>674</v>
      </c>
      <c r="V786" s="2" t="s">
        <v>230</v>
      </c>
      <c r="W786" s="2" t="s">
        <v>487</v>
      </c>
      <c r="X786" s="2" t="s">
        <v>231</v>
      </c>
      <c r="Y786" s="2" t="s">
        <v>3822</v>
      </c>
      <c r="Z786" s="4">
        <v>566</v>
      </c>
      <c r="AA786" s="4">
        <f>=ROUNDDOWN(56.6,0)</f>
      </c>
      <c r="AB786" s="5">
        <v>10</v>
      </c>
      <c r="AC786" s="2" t="s">
        <v>4265</v>
      </c>
      <c r="AD786" s="4">
        <v>270</v>
      </c>
      <c r="AE786" s="4">
        <v>270</v>
      </c>
      <c r="AF786" s="6">
        <v>64</v>
      </c>
      <c r="AG786" s="6"/>
      <c r="AH786" s="7">
        <v>1</v>
      </c>
      <c r="AI786" s="4"/>
      <c r="AJ786" s="4">
        <f>=ROUNDDOWN({0},0)</f>
      </c>
      <c r="AK786" s="5"/>
      <c r="AL786" s="2" t="s">
        <v>227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 t="s">
        <v>227</v>
      </c>
      <c r="AW786" s="8" t="s">
        <v>227</v>
      </c>
      <c r="AX786" s="4" t="s">
        <v>227</v>
      </c>
      <c r="AY786" s="8" t="s">
        <v>227</v>
      </c>
      <c r="AZ786" s="7" t="s">
        <v>227</v>
      </c>
      <c r="BA786" s="7" t="s">
        <v>227</v>
      </c>
      <c r="BB786" s="7"/>
      <c r="BC786" s="4" t="s">
        <v>227</v>
      </c>
      <c r="BD786" s="8" t="s">
        <v>227</v>
      </c>
      <c r="BE786" s="4" t="s">
        <v>227</v>
      </c>
      <c r="BF786" s="8" t="s">
        <v>227</v>
      </c>
      <c r="BG786" s="7" t="s">
        <v>227</v>
      </c>
      <c r="BH786" s="7" t="s">
        <v>227</v>
      </c>
      <c r="BI786" s="7"/>
      <c r="BJ786" s="4">
        <v>12</v>
      </c>
      <c r="BK786" s="8">
        <v>564.87</v>
      </c>
      <c r="BL786" s="2" t="s">
        <v>295</v>
      </c>
      <c r="BM786" s="7"/>
      <c r="BN786" s="7"/>
      <c r="BO786" s="4"/>
      <c r="BP786" s="8"/>
      <c r="BQ786" s="4"/>
      <c r="BR786" s="8"/>
      <c r="BS786" s="7"/>
      <c r="BT786" s="7"/>
      <c r="BU786" s="2" t="s">
        <v>4748</v>
      </c>
      <c r="BV786" s="2" t="s">
        <v>227</v>
      </c>
      <c r="BW786" s="2" t="s">
        <v>227</v>
      </c>
      <c r="BX786" s="2" t="s">
        <v>235</v>
      </c>
      <c r="BY786" s="2" t="s">
        <v>236</v>
      </c>
      <c r="BZ786" s="2" t="s">
        <v>224</v>
      </c>
      <c r="CA786" s="2" t="s">
        <v>1749</v>
      </c>
      <c r="CB786" s="2" t="s">
        <v>4540</v>
      </c>
      <c r="CC786" s="2" t="s">
        <v>239</v>
      </c>
      <c r="CD786" s="2" t="s">
        <v>227</v>
      </c>
      <c r="CE786" s="4">
        <v>566</v>
      </c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/>
      <c r="FB786" s="4"/>
      <c r="FC786" s="4"/>
      <c r="FD786" s="4"/>
      <c r="FE786" s="4"/>
      <c r="FF786" s="4"/>
      <c r="FG786" s="4"/>
      <c r="FH786" s="4"/>
      <c r="FI786" s="4"/>
      <c r="FJ786" s="4"/>
      <c r="FK786" s="4"/>
      <c r="FL786" s="4"/>
      <c r="FM786" s="4"/>
      <c r="FN786" s="4"/>
      <c r="FO786" s="4"/>
      <c r="FP786" s="4"/>
      <c r="FQ786" s="4"/>
      <c r="FR786" s="4"/>
      <c r="FS786" s="4"/>
      <c r="FT786" s="4"/>
      <c r="FU786" s="4"/>
      <c r="FV786" s="4"/>
      <c r="FW786" s="4"/>
      <c r="FX786" s="4"/>
      <c r="FY786" s="4"/>
      <c r="FZ786" s="4"/>
      <c r="GA786" s="4"/>
      <c r="GB786" s="4"/>
      <c r="GC786" s="4"/>
      <c r="GD786" s="4"/>
      <c r="GE786" s="4"/>
      <c r="GF786" s="4"/>
      <c r="GG786" s="4"/>
      <c r="GH786" s="4"/>
      <c r="GI786" s="4"/>
      <c r="GJ786" s="4"/>
      <c r="GK786" s="4"/>
      <c r="GL786" s="4"/>
      <c r="GM786" s="4"/>
      <c r="GN786" s="4"/>
      <c r="GO786" s="4"/>
      <c r="GP786" s="4"/>
      <c r="GQ786" s="4"/>
      <c r="GR786" s="4"/>
      <c r="GS786" s="4"/>
      <c r="GT786" s="4"/>
      <c r="GU786" s="4"/>
      <c r="GV786" s="4">
        <v>270</v>
      </c>
      <c r="GW786" s="4"/>
      <c r="GX786" s="4"/>
    </row>
    <row r="787">
      <c r="A787" s="2" t="s">
        <v>4749</v>
      </c>
      <c r="B787" s="2" t="s">
        <v>618</v>
      </c>
      <c r="C787" s="2" t="s">
        <v>1299</v>
      </c>
      <c r="D787" s="2" t="s">
        <v>687</v>
      </c>
      <c r="E787" s="2" t="s">
        <v>688</v>
      </c>
      <c r="F787" s="2" t="s">
        <v>4743</v>
      </c>
      <c r="G787" s="2" t="s">
        <v>4744</v>
      </c>
      <c r="H787" s="2" t="s">
        <v>4745</v>
      </c>
      <c r="I787" s="2" t="s">
        <v>4746</v>
      </c>
      <c r="J787" s="2" t="s">
        <v>682</v>
      </c>
      <c r="K787" s="2" t="s">
        <v>389</v>
      </c>
      <c r="L787" s="3">
        <v>47.61</v>
      </c>
      <c r="M787" s="3">
        <v>49.99</v>
      </c>
      <c r="N787" s="3">
        <v>99.99</v>
      </c>
      <c r="O787" s="2" t="s">
        <v>224</v>
      </c>
      <c r="P787" s="2" t="s">
        <v>225</v>
      </c>
      <c r="Q787" s="2" t="s">
        <v>226</v>
      </c>
      <c r="R787" s="2" t="s">
        <v>227</v>
      </c>
      <c r="S787" s="2" t="s">
        <v>4747</v>
      </c>
      <c r="T787" s="2" t="s">
        <v>1871</v>
      </c>
      <c r="U787" s="2" t="s">
        <v>674</v>
      </c>
      <c r="V787" s="2" t="s">
        <v>230</v>
      </c>
      <c r="W787" s="2" t="s">
        <v>487</v>
      </c>
      <c r="X787" s="2" t="s">
        <v>231</v>
      </c>
      <c r="Y787" s="2" t="s">
        <v>3822</v>
      </c>
      <c r="Z787" s="4">
        <v>256</v>
      </c>
      <c r="AA787" s="4">
        <f>=ROUNDDOWN(64,0)</f>
      </c>
      <c r="AB787" s="5">
        <v>4</v>
      </c>
      <c r="AC787" s="2" t="s">
        <v>4265</v>
      </c>
      <c r="AD787" s="4">
        <v>220</v>
      </c>
      <c r="AE787" s="4">
        <v>220</v>
      </c>
      <c r="AF787" s="6">
        <v>64</v>
      </c>
      <c r="AG787" s="6"/>
      <c r="AH787" s="7">
        <v>1</v>
      </c>
      <c r="AI787" s="4"/>
      <c r="AJ787" s="4">
        <f>=ROUNDDOWN({0},0)</f>
      </c>
      <c r="AK787" s="5"/>
      <c r="AL787" s="2" t="s">
        <v>227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227</v>
      </c>
      <c r="AW787" s="8" t="s">
        <v>227</v>
      </c>
      <c r="AX787" s="4" t="s">
        <v>227</v>
      </c>
      <c r="AY787" s="8" t="s">
        <v>227</v>
      </c>
      <c r="AZ787" s="7" t="s">
        <v>227</v>
      </c>
      <c r="BA787" s="7" t="s">
        <v>227</v>
      </c>
      <c r="BB787" s="7"/>
      <c r="BC787" s="4" t="s">
        <v>227</v>
      </c>
      <c r="BD787" s="8" t="s">
        <v>227</v>
      </c>
      <c r="BE787" s="4" t="s">
        <v>227</v>
      </c>
      <c r="BF787" s="8" t="s">
        <v>227</v>
      </c>
      <c r="BG787" s="7" t="s">
        <v>227</v>
      </c>
      <c r="BH787" s="7" t="s">
        <v>227</v>
      </c>
      <c r="BI787" s="7"/>
      <c r="BJ787" s="4">
        <v>2</v>
      </c>
      <c r="BK787" s="8">
        <v>120.98</v>
      </c>
      <c r="BL787" s="2" t="s">
        <v>4750</v>
      </c>
      <c r="BM787" s="7"/>
      <c r="BN787" s="7"/>
      <c r="BO787" s="4"/>
      <c r="BP787" s="8"/>
      <c r="BQ787" s="4"/>
      <c r="BR787" s="8"/>
      <c r="BS787" s="7"/>
      <c r="BT787" s="7"/>
      <c r="BU787" s="2" t="s">
        <v>4751</v>
      </c>
      <c r="BV787" s="2" t="s">
        <v>227</v>
      </c>
      <c r="BW787" s="2" t="s">
        <v>227</v>
      </c>
      <c r="BX787" s="2" t="s">
        <v>235</v>
      </c>
      <c r="BY787" s="2" t="s">
        <v>236</v>
      </c>
      <c r="BZ787" s="2" t="s">
        <v>224</v>
      </c>
      <c r="CA787" s="2" t="s">
        <v>1749</v>
      </c>
      <c r="CB787" s="2" t="s">
        <v>4312</v>
      </c>
      <c r="CC787" s="2" t="s">
        <v>239</v>
      </c>
      <c r="CD787" s="2" t="s">
        <v>227</v>
      </c>
      <c r="CE787" s="4">
        <v>256</v>
      </c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/>
      <c r="FB787" s="4"/>
      <c r="FC787" s="4"/>
      <c r="FD787" s="4"/>
      <c r="FE787" s="4"/>
      <c r="FF787" s="4"/>
      <c r="FG787" s="4"/>
      <c r="FH787" s="4"/>
      <c r="FI787" s="4"/>
      <c r="FJ787" s="4"/>
      <c r="FK787" s="4"/>
      <c r="FL787" s="4"/>
      <c r="FM787" s="4"/>
      <c r="FN787" s="4"/>
      <c r="FO787" s="4"/>
      <c r="FP787" s="4"/>
      <c r="FQ787" s="4"/>
      <c r="FR787" s="4"/>
      <c r="FS787" s="4"/>
      <c r="FT787" s="4"/>
      <c r="FU787" s="4"/>
      <c r="FV787" s="4"/>
      <c r="FW787" s="4"/>
      <c r="FX787" s="4"/>
      <c r="FY787" s="4"/>
      <c r="FZ787" s="4"/>
      <c r="GA787" s="4"/>
      <c r="GB787" s="4"/>
      <c r="GC787" s="4"/>
      <c r="GD787" s="4"/>
      <c r="GE787" s="4"/>
      <c r="GF787" s="4"/>
      <c r="GG787" s="4"/>
      <c r="GH787" s="4"/>
      <c r="GI787" s="4"/>
      <c r="GJ787" s="4"/>
      <c r="GK787" s="4"/>
      <c r="GL787" s="4"/>
      <c r="GM787" s="4"/>
      <c r="GN787" s="4"/>
      <c r="GO787" s="4"/>
      <c r="GP787" s="4"/>
      <c r="GQ787" s="4"/>
      <c r="GR787" s="4"/>
      <c r="GS787" s="4"/>
      <c r="GT787" s="4"/>
      <c r="GU787" s="4"/>
      <c r="GV787" s="4">
        <v>220</v>
      </c>
      <c r="GW787" s="4"/>
      <c r="GX787" s="4"/>
    </row>
    <row r="788">
      <c r="A788" s="2" t="s">
        <v>4752</v>
      </c>
      <c r="B788" s="2" t="s">
        <v>618</v>
      </c>
      <c r="C788" s="2" t="s">
        <v>1299</v>
      </c>
      <c r="D788" s="2" t="s">
        <v>687</v>
      </c>
      <c r="E788" s="2" t="s">
        <v>688</v>
      </c>
      <c r="F788" s="2" t="s">
        <v>4743</v>
      </c>
      <c r="G788" s="2" t="s">
        <v>4744</v>
      </c>
      <c r="H788" s="2" t="s">
        <v>4745</v>
      </c>
      <c r="I788" s="2" t="s">
        <v>4746</v>
      </c>
      <c r="J788" s="2" t="s">
        <v>1304</v>
      </c>
      <c r="K788" s="2" t="s">
        <v>1761</v>
      </c>
      <c r="L788" s="3">
        <v>33.33</v>
      </c>
      <c r="M788" s="3">
        <v>35</v>
      </c>
      <c r="N788" s="3">
        <v>69.99</v>
      </c>
      <c r="O788" s="2" t="s">
        <v>224</v>
      </c>
      <c r="P788" s="2" t="s">
        <v>225</v>
      </c>
      <c r="Q788" s="2" t="s">
        <v>226</v>
      </c>
      <c r="R788" s="2" t="s">
        <v>227</v>
      </c>
      <c r="S788" s="2" t="s">
        <v>4753</v>
      </c>
      <c r="T788" s="2" t="s">
        <v>1871</v>
      </c>
      <c r="U788" s="2" t="s">
        <v>1044</v>
      </c>
      <c r="V788" s="2" t="s">
        <v>230</v>
      </c>
      <c r="W788" s="2" t="s">
        <v>487</v>
      </c>
      <c r="X788" s="2" t="s">
        <v>231</v>
      </c>
      <c r="Y788" s="2" t="s">
        <v>3822</v>
      </c>
      <c r="Z788" s="4">
        <v>285</v>
      </c>
      <c r="AA788" s="4">
        <f>=ROUNDDOWN(57,0)</f>
      </c>
      <c r="AB788" s="5">
        <v>5</v>
      </c>
      <c r="AC788" s="2" t="s">
        <v>4265</v>
      </c>
      <c r="AD788" s="4">
        <v>110</v>
      </c>
      <c r="AE788" s="4">
        <v>110</v>
      </c>
      <c r="AF788" s="6">
        <v>64</v>
      </c>
      <c r="AG788" s="6"/>
      <c r="AH788" s="7">
        <v>1</v>
      </c>
      <c r="AI788" s="4"/>
      <c r="AJ788" s="4">
        <f>=ROUNDDOWN({0},0)</f>
      </c>
      <c r="AK788" s="5"/>
      <c r="AL788" s="2" t="s">
        <v>227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227</v>
      </c>
      <c r="AW788" s="8" t="s">
        <v>227</v>
      </c>
      <c r="AX788" s="4" t="s">
        <v>227</v>
      </c>
      <c r="AY788" s="8" t="s">
        <v>227</v>
      </c>
      <c r="AZ788" s="7" t="s">
        <v>227</v>
      </c>
      <c r="BA788" s="7" t="s">
        <v>227</v>
      </c>
      <c r="BB788" s="7"/>
      <c r="BC788" s="4" t="s">
        <v>227</v>
      </c>
      <c r="BD788" s="8" t="s">
        <v>227</v>
      </c>
      <c r="BE788" s="4" t="s">
        <v>227</v>
      </c>
      <c r="BF788" s="8" t="s">
        <v>227</v>
      </c>
      <c r="BG788" s="7" t="s">
        <v>227</v>
      </c>
      <c r="BH788" s="7" t="s">
        <v>227</v>
      </c>
      <c r="BI788" s="7"/>
      <c r="BJ788" s="4">
        <v>11</v>
      </c>
      <c r="BK788" s="8">
        <v>434.22</v>
      </c>
      <c r="BL788" s="2" t="s">
        <v>4754</v>
      </c>
      <c r="BM788" s="7"/>
      <c r="BN788" s="7"/>
      <c r="BO788" s="4"/>
      <c r="BP788" s="8"/>
      <c r="BQ788" s="4"/>
      <c r="BR788" s="8"/>
      <c r="BS788" s="7"/>
      <c r="BT788" s="7"/>
      <c r="BU788" s="2" t="s">
        <v>4755</v>
      </c>
      <c r="BV788" s="2" t="s">
        <v>227</v>
      </c>
      <c r="BW788" s="2" t="s">
        <v>227</v>
      </c>
      <c r="BX788" s="2" t="s">
        <v>235</v>
      </c>
      <c r="BY788" s="2" t="s">
        <v>236</v>
      </c>
      <c r="BZ788" s="2" t="s">
        <v>224</v>
      </c>
      <c r="CA788" s="2" t="s">
        <v>1749</v>
      </c>
      <c r="CB788" s="2" t="s">
        <v>3628</v>
      </c>
      <c r="CC788" s="2" t="s">
        <v>239</v>
      </c>
      <c r="CD788" s="2" t="s">
        <v>227</v>
      </c>
      <c r="CE788" s="4">
        <v>285</v>
      </c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/>
      <c r="FA788" s="4"/>
      <c r="FB788" s="4"/>
      <c r="FC788" s="4"/>
      <c r="FD788" s="4"/>
      <c r="FE788" s="4"/>
      <c r="FF788" s="4"/>
      <c r="FG788" s="4"/>
      <c r="FH788" s="4"/>
      <c r="FI788" s="4"/>
      <c r="FJ788" s="4"/>
      <c r="FK788" s="4"/>
      <c r="FL788" s="4"/>
      <c r="FM788" s="4"/>
      <c r="FN788" s="4"/>
      <c r="FO788" s="4"/>
      <c r="FP788" s="4"/>
      <c r="FQ788" s="4"/>
      <c r="FR788" s="4"/>
      <c r="FS788" s="4"/>
      <c r="FT788" s="4"/>
      <c r="FU788" s="4"/>
      <c r="FV788" s="4"/>
      <c r="FW788" s="4"/>
      <c r="FX788" s="4"/>
      <c r="FY788" s="4"/>
      <c r="FZ788" s="4"/>
      <c r="GA788" s="4"/>
      <c r="GB788" s="4"/>
      <c r="GC788" s="4"/>
      <c r="GD788" s="4"/>
      <c r="GE788" s="4"/>
      <c r="GF788" s="4"/>
      <c r="GG788" s="4"/>
      <c r="GH788" s="4"/>
      <c r="GI788" s="4"/>
      <c r="GJ788" s="4"/>
      <c r="GK788" s="4"/>
      <c r="GL788" s="4"/>
      <c r="GM788" s="4"/>
      <c r="GN788" s="4"/>
      <c r="GO788" s="4"/>
      <c r="GP788" s="4"/>
      <c r="GQ788" s="4"/>
      <c r="GR788" s="4"/>
      <c r="GS788" s="4"/>
      <c r="GT788" s="4"/>
      <c r="GU788" s="4"/>
      <c r="GV788" s="4">
        <v>110</v>
      </c>
      <c r="GW788" s="4"/>
      <c r="GX788" s="4"/>
    </row>
    <row r="789">
      <c r="A789" s="2" t="s">
        <v>4756</v>
      </c>
      <c r="B789" s="2" t="s">
        <v>618</v>
      </c>
      <c r="C789" s="2" t="s">
        <v>1299</v>
      </c>
      <c r="D789" s="2" t="s">
        <v>687</v>
      </c>
      <c r="E789" s="2" t="s">
        <v>688</v>
      </c>
      <c r="F789" s="2" t="s">
        <v>4743</v>
      </c>
      <c r="G789" s="2" t="s">
        <v>4744</v>
      </c>
      <c r="H789" s="2" t="s">
        <v>4745</v>
      </c>
      <c r="I789" s="2" t="s">
        <v>4746</v>
      </c>
      <c r="J789" s="2" t="s">
        <v>626</v>
      </c>
      <c r="K789" s="2" t="s">
        <v>1761</v>
      </c>
      <c r="L789" s="3">
        <v>42.85</v>
      </c>
      <c r="M789" s="3">
        <v>44.99</v>
      </c>
      <c r="N789" s="3">
        <v>89.99</v>
      </c>
      <c r="O789" s="2" t="s">
        <v>224</v>
      </c>
      <c r="P789" s="2" t="s">
        <v>225</v>
      </c>
      <c r="Q789" s="2" t="s">
        <v>226</v>
      </c>
      <c r="R789" s="2" t="s">
        <v>227</v>
      </c>
      <c r="S789" s="2" t="s">
        <v>4753</v>
      </c>
      <c r="T789" s="2" t="s">
        <v>1871</v>
      </c>
      <c r="U789" s="2" t="s">
        <v>674</v>
      </c>
      <c r="V789" s="2" t="s">
        <v>230</v>
      </c>
      <c r="W789" s="2" t="s">
        <v>487</v>
      </c>
      <c r="X789" s="2" t="s">
        <v>231</v>
      </c>
      <c r="Y789" s="2" t="s">
        <v>3822</v>
      </c>
      <c r="Z789" s="4">
        <v>543</v>
      </c>
      <c r="AA789" s="4">
        <f>=ROUNDDOWN(67.875,0)</f>
      </c>
      <c r="AB789" s="5">
        <v>8</v>
      </c>
      <c r="AC789" s="2" t="s">
        <v>4265</v>
      </c>
      <c r="AD789" s="4">
        <v>240</v>
      </c>
      <c r="AE789" s="4">
        <v>240</v>
      </c>
      <c r="AF789" s="6">
        <v>64</v>
      </c>
      <c r="AG789" s="6"/>
      <c r="AH789" s="7">
        <v>1</v>
      </c>
      <c r="AI789" s="4"/>
      <c r="AJ789" s="4">
        <f>=ROUNDDOWN({0},0)</f>
      </c>
      <c r="AK789" s="5"/>
      <c r="AL789" s="2" t="s">
        <v>227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227</v>
      </c>
      <c r="AW789" s="8" t="s">
        <v>227</v>
      </c>
      <c r="AX789" s="4" t="s">
        <v>227</v>
      </c>
      <c r="AY789" s="8" t="s">
        <v>227</v>
      </c>
      <c r="AZ789" s="7" t="s">
        <v>227</v>
      </c>
      <c r="BA789" s="7" t="s">
        <v>227</v>
      </c>
      <c r="BB789" s="7"/>
      <c r="BC789" s="4" t="s">
        <v>227</v>
      </c>
      <c r="BD789" s="8" t="s">
        <v>227</v>
      </c>
      <c r="BE789" s="4" t="s">
        <v>227</v>
      </c>
      <c r="BF789" s="8" t="s">
        <v>227</v>
      </c>
      <c r="BG789" s="7" t="s">
        <v>227</v>
      </c>
      <c r="BH789" s="7" t="s">
        <v>227</v>
      </c>
      <c r="BI789" s="7"/>
      <c r="BJ789" s="4">
        <v>16</v>
      </c>
      <c r="BK789" s="8">
        <v>771.14</v>
      </c>
      <c r="BL789" s="2" t="s">
        <v>1500</v>
      </c>
      <c r="BM789" s="7"/>
      <c r="BN789" s="7"/>
      <c r="BO789" s="4"/>
      <c r="BP789" s="8"/>
      <c r="BQ789" s="4"/>
      <c r="BR789" s="8"/>
      <c r="BS789" s="7"/>
      <c r="BT789" s="7"/>
      <c r="BU789" s="2" t="s">
        <v>4757</v>
      </c>
      <c r="BV789" s="2" t="s">
        <v>227</v>
      </c>
      <c r="BW789" s="2" t="s">
        <v>227</v>
      </c>
      <c r="BX789" s="2" t="s">
        <v>235</v>
      </c>
      <c r="BY789" s="2" t="s">
        <v>236</v>
      </c>
      <c r="BZ789" s="2" t="s">
        <v>224</v>
      </c>
      <c r="CA789" s="2" t="s">
        <v>1749</v>
      </c>
      <c r="CB789" s="2" t="s">
        <v>571</v>
      </c>
      <c r="CC789" s="2" t="s">
        <v>239</v>
      </c>
      <c r="CD789" s="2" t="s">
        <v>227</v>
      </c>
      <c r="CE789" s="4">
        <v>543</v>
      </c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/>
      <c r="FB789" s="4"/>
      <c r="FC789" s="4"/>
      <c r="FD789" s="4"/>
      <c r="FE789" s="4"/>
      <c r="FF789" s="4"/>
      <c r="FG789" s="4"/>
      <c r="FH789" s="4"/>
      <c r="FI789" s="4"/>
      <c r="FJ789" s="4"/>
      <c r="FK789" s="4"/>
      <c r="FL789" s="4"/>
      <c r="FM789" s="4"/>
      <c r="FN789" s="4"/>
      <c r="FO789" s="4"/>
      <c r="FP789" s="4"/>
      <c r="FQ789" s="4"/>
      <c r="FR789" s="4"/>
      <c r="FS789" s="4"/>
      <c r="FT789" s="4"/>
      <c r="FU789" s="4"/>
      <c r="FV789" s="4"/>
      <c r="FW789" s="4"/>
      <c r="FX789" s="4"/>
      <c r="FY789" s="4"/>
      <c r="FZ789" s="4"/>
      <c r="GA789" s="4"/>
      <c r="GB789" s="4"/>
      <c r="GC789" s="4"/>
      <c r="GD789" s="4"/>
      <c r="GE789" s="4"/>
      <c r="GF789" s="4"/>
      <c r="GG789" s="4"/>
      <c r="GH789" s="4"/>
      <c r="GI789" s="4"/>
      <c r="GJ789" s="4"/>
      <c r="GK789" s="4"/>
      <c r="GL789" s="4"/>
      <c r="GM789" s="4"/>
      <c r="GN789" s="4"/>
      <c r="GO789" s="4"/>
      <c r="GP789" s="4"/>
      <c r="GQ789" s="4"/>
      <c r="GR789" s="4"/>
      <c r="GS789" s="4"/>
      <c r="GT789" s="4"/>
      <c r="GU789" s="4"/>
      <c r="GV789" s="4">
        <v>240</v>
      </c>
      <c r="GW789" s="4"/>
      <c r="GX789" s="4"/>
    </row>
    <row r="790">
      <c r="A790" s="2" t="s">
        <v>4758</v>
      </c>
      <c r="B790" s="2" t="s">
        <v>618</v>
      </c>
      <c r="C790" s="2" t="s">
        <v>1299</v>
      </c>
      <c r="D790" s="2" t="s">
        <v>687</v>
      </c>
      <c r="E790" s="2" t="s">
        <v>688</v>
      </c>
      <c r="F790" s="2" t="s">
        <v>4743</v>
      </c>
      <c r="G790" s="2" t="s">
        <v>4744</v>
      </c>
      <c r="H790" s="2" t="s">
        <v>4745</v>
      </c>
      <c r="I790" s="2" t="s">
        <v>4746</v>
      </c>
      <c r="J790" s="2" t="s">
        <v>682</v>
      </c>
      <c r="K790" s="2" t="s">
        <v>1761</v>
      </c>
      <c r="L790" s="3">
        <v>47.61</v>
      </c>
      <c r="M790" s="3">
        <v>49.99</v>
      </c>
      <c r="N790" s="3">
        <v>99.99</v>
      </c>
      <c r="O790" s="2" t="s">
        <v>224</v>
      </c>
      <c r="P790" s="2" t="s">
        <v>225</v>
      </c>
      <c r="Q790" s="2" t="s">
        <v>226</v>
      </c>
      <c r="R790" s="2" t="s">
        <v>227</v>
      </c>
      <c r="S790" s="2" t="s">
        <v>4753</v>
      </c>
      <c r="T790" s="2" t="s">
        <v>1871</v>
      </c>
      <c r="U790" s="2" t="s">
        <v>674</v>
      </c>
      <c r="V790" s="2" t="s">
        <v>230</v>
      </c>
      <c r="W790" s="2" t="s">
        <v>487</v>
      </c>
      <c r="X790" s="2" t="s">
        <v>231</v>
      </c>
      <c r="Y790" s="2" t="s">
        <v>3822</v>
      </c>
      <c r="Z790" s="4">
        <v>300</v>
      </c>
      <c r="AA790" s="4">
        <f>=ROUNDDOWN(50,0)</f>
      </c>
      <c r="AB790" s="5">
        <v>6</v>
      </c>
      <c r="AC790" s="2" t="s">
        <v>4265</v>
      </c>
      <c r="AD790" s="4">
        <v>110</v>
      </c>
      <c r="AE790" s="4">
        <v>110</v>
      </c>
      <c r="AF790" s="6">
        <v>64</v>
      </c>
      <c r="AG790" s="6"/>
      <c r="AH790" s="7">
        <v>1</v>
      </c>
      <c r="AI790" s="4"/>
      <c r="AJ790" s="4">
        <f>=ROUNDDOWN({0},0)</f>
      </c>
      <c r="AK790" s="5"/>
      <c r="AL790" s="2" t="s">
        <v>227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227</v>
      </c>
      <c r="AW790" s="8" t="s">
        <v>227</v>
      </c>
      <c r="AX790" s="4" t="s">
        <v>227</v>
      </c>
      <c r="AY790" s="8" t="s">
        <v>227</v>
      </c>
      <c r="AZ790" s="7" t="s">
        <v>227</v>
      </c>
      <c r="BA790" s="7" t="s">
        <v>227</v>
      </c>
      <c r="BB790" s="7"/>
      <c r="BC790" s="4" t="s">
        <v>227</v>
      </c>
      <c r="BD790" s="8" t="s">
        <v>227</v>
      </c>
      <c r="BE790" s="4" t="s">
        <v>227</v>
      </c>
      <c r="BF790" s="8" t="s">
        <v>227</v>
      </c>
      <c r="BG790" s="7" t="s">
        <v>227</v>
      </c>
      <c r="BH790" s="7" t="s">
        <v>227</v>
      </c>
      <c r="BI790" s="7"/>
      <c r="BJ790" s="4">
        <v>7</v>
      </c>
      <c r="BK790" s="8">
        <v>384.91</v>
      </c>
      <c r="BL790" s="2" t="s">
        <v>4759</v>
      </c>
      <c r="BM790" s="7"/>
      <c r="BN790" s="7"/>
      <c r="BO790" s="4"/>
      <c r="BP790" s="8"/>
      <c r="BQ790" s="4"/>
      <c r="BR790" s="8"/>
      <c r="BS790" s="7"/>
      <c r="BT790" s="7"/>
      <c r="BU790" s="2" t="s">
        <v>4760</v>
      </c>
      <c r="BV790" s="2" t="s">
        <v>227</v>
      </c>
      <c r="BW790" s="2" t="s">
        <v>227</v>
      </c>
      <c r="BX790" s="2" t="s">
        <v>235</v>
      </c>
      <c r="BY790" s="2" t="s">
        <v>236</v>
      </c>
      <c r="BZ790" s="2" t="s">
        <v>224</v>
      </c>
      <c r="CA790" s="2" t="s">
        <v>1749</v>
      </c>
      <c r="CB790" s="2" t="s">
        <v>4761</v>
      </c>
      <c r="CC790" s="2" t="s">
        <v>239</v>
      </c>
      <c r="CD790" s="2" t="s">
        <v>227</v>
      </c>
      <c r="CE790" s="4">
        <v>300</v>
      </c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/>
      <c r="EZ790" s="4"/>
      <c r="FA790" s="4"/>
      <c r="FB790" s="4"/>
      <c r="FC790" s="4"/>
      <c r="FD790" s="4"/>
      <c r="FE790" s="4"/>
      <c r="FF790" s="4"/>
      <c r="FG790" s="4"/>
      <c r="FH790" s="4"/>
      <c r="FI790" s="4"/>
      <c r="FJ790" s="4"/>
      <c r="FK790" s="4"/>
      <c r="FL790" s="4"/>
      <c r="FM790" s="4"/>
      <c r="FN790" s="4"/>
      <c r="FO790" s="4"/>
      <c r="FP790" s="4"/>
      <c r="FQ790" s="4"/>
      <c r="FR790" s="4"/>
      <c r="FS790" s="4"/>
      <c r="FT790" s="4"/>
      <c r="FU790" s="4"/>
      <c r="FV790" s="4"/>
      <c r="FW790" s="4"/>
      <c r="FX790" s="4"/>
      <c r="FY790" s="4"/>
      <c r="FZ790" s="4"/>
      <c r="GA790" s="4"/>
      <c r="GB790" s="4"/>
      <c r="GC790" s="4"/>
      <c r="GD790" s="4"/>
      <c r="GE790" s="4"/>
      <c r="GF790" s="4"/>
      <c r="GG790" s="4"/>
      <c r="GH790" s="4"/>
      <c r="GI790" s="4"/>
      <c r="GJ790" s="4"/>
      <c r="GK790" s="4"/>
      <c r="GL790" s="4"/>
      <c r="GM790" s="4"/>
      <c r="GN790" s="4"/>
      <c r="GO790" s="4"/>
      <c r="GP790" s="4"/>
      <c r="GQ790" s="4"/>
      <c r="GR790" s="4"/>
      <c r="GS790" s="4"/>
      <c r="GT790" s="4"/>
      <c r="GU790" s="4"/>
      <c r="GV790" s="4">
        <v>110</v>
      </c>
      <c r="GW790" s="4"/>
      <c r="GX790" s="4"/>
    </row>
    <row r="791">
      <c r="A791" s="2" t="s">
        <v>4762</v>
      </c>
      <c r="B791" s="2" t="s">
        <v>618</v>
      </c>
      <c r="C791" s="2" t="s">
        <v>1299</v>
      </c>
      <c r="D791" s="2" t="s">
        <v>687</v>
      </c>
      <c r="E791" s="2" t="s">
        <v>688</v>
      </c>
      <c r="F791" s="2" t="s">
        <v>4743</v>
      </c>
      <c r="G791" s="2" t="s">
        <v>4744</v>
      </c>
      <c r="H791" s="2" t="s">
        <v>4745</v>
      </c>
      <c r="I791" s="2" t="s">
        <v>4746</v>
      </c>
      <c r="J791" s="2" t="s">
        <v>1304</v>
      </c>
      <c r="K791" s="2" t="s">
        <v>536</v>
      </c>
      <c r="L791" s="3">
        <v>33.33</v>
      </c>
      <c r="M791" s="3">
        <v>35</v>
      </c>
      <c r="N791" s="3">
        <v>69.99</v>
      </c>
      <c r="O791" s="2" t="s">
        <v>224</v>
      </c>
      <c r="P791" s="2" t="s">
        <v>225</v>
      </c>
      <c r="Q791" s="2" t="s">
        <v>226</v>
      </c>
      <c r="R791" s="2" t="s">
        <v>227</v>
      </c>
      <c r="S791" s="2" t="s">
        <v>4763</v>
      </c>
      <c r="T791" s="2" t="s">
        <v>1871</v>
      </c>
      <c r="U791" s="2" t="s">
        <v>1044</v>
      </c>
      <c r="V791" s="2" t="s">
        <v>230</v>
      </c>
      <c r="W791" s="2" t="s">
        <v>487</v>
      </c>
      <c r="X791" s="2" t="s">
        <v>231</v>
      </c>
      <c r="Y791" s="2" t="s">
        <v>3822</v>
      </c>
      <c r="Z791" s="4">
        <v>261</v>
      </c>
      <c r="AA791" s="4">
        <f>=ROUNDDOWN(65.25,0)</f>
      </c>
      <c r="AB791" s="5">
        <v>4</v>
      </c>
      <c r="AC791" s="2" t="s">
        <v>4265</v>
      </c>
      <c r="AD791" s="4">
        <v>40</v>
      </c>
      <c r="AE791" s="4">
        <v>40</v>
      </c>
      <c r="AF791" s="6">
        <v>64</v>
      </c>
      <c r="AG791" s="6"/>
      <c r="AH791" s="7">
        <v>1</v>
      </c>
      <c r="AI791" s="4"/>
      <c r="AJ791" s="4">
        <f>=ROUNDDOWN({0},0)</f>
      </c>
      <c r="AK791" s="5"/>
      <c r="AL791" s="2" t="s">
        <v>227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227</v>
      </c>
      <c r="AW791" s="8" t="s">
        <v>227</v>
      </c>
      <c r="AX791" s="4" t="s">
        <v>227</v>
      </c>
      <c r="AY791" s="8" t="s">
        <v>227</v>
      </c>
      <c r="AZ791" s="7" t="s">
        <v>227</v>
      </c>
      <c r="BA791" s="7" t="s">
        <v>227</v>
      </c>
      <c r="BB791" s="7"/>
      <c r="BC791" s="4" t="s">
        <v>227</v>
      </c>
      <c r="BD791" s="8" t="s">
        <v>227</v>
      </c>
      <c r="BE791" s="4" t="s">
        <v>227</v>
      </c>
      <c r="BF791" s="8" t="s">
        <v>227</v>
      </c>
      <c r="BG791" s="7" t="s">
        <v>227</v>
      </c>
      <c r="BH791" s="7" t="s">
        <v>227</v>
      </c>
      <c r="BI791" s="7"/>
      <c r="BJ791" s="4">
        <v>6</v>
      </c>
      <c r="BK791" s="8">
        <v>214.73</v>
      </c>
      <c r="BL791" s="2" t="s">
        <v>4764</v>
      </c>
      <c r="BM791" s="7"/>
      <c r="BN791" s="7"/>
      <c r="BO791" s="4"/>
      <c r="BP791" s="8"/>
      <c r="BQ791" s="4"/>
      <c r="BR791" s="8"/>
      <c r="BS791" s="7"/>
      <c r="BT791" s="7"/>
      <c r="BU791" s="2" t="s">
        <v>4765</v>
      </c>
      <c r="BV791" s="2" t="s">
        <v>227</v>
      </c>
      <c r="BW791" s="2" t="s">
        <v>227</v>
      </c>
      <c r="BX791" s="2" t="s">
        <v>235</v>
      </c>
      <c r="BY791" s="2" t="s">
        <v>236</v>
      </c>
      <c r="BZ791" s="2" t="s">
        <v>224</v>
      </c>
      <c r="CA791" s="2" t="s">
        <v>1749</v>
      </c>
      <c r="CB791" s="2" t="s">
        <v>4766</v>
      </c>
      <c r="CC791" s="2" t="s">
        <v>239</v>
      </c>
      <c r="CD791" s="2" t="s">
        <v>227</v>
      </c>
      <c r="CE791" s="4">
        <v>261</v>
      </c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/>
      <c r="FD791" s="4"/>
      <c r="FE791" s="4"/>
      <c r="FF791" s="4"/>
      <c r="FG791" s="4"/>
      <c r="FH791" s="4"/>
      <c r="FI791" s="4"/>
      <c r="FJ791" s="4"/>
      <c r="FK791" s="4"/>
      <c r="FL791" s="4"/>
      <c r="FM791" s="4"/>
      <c r="FN791" s="4"/>
      <c r="FO791" s="4"/>
      <c r="FP791" s="4"/>
      <c r="FQ791" s="4"/>
      <c r="FR791" s="4"/>
      <c r="FS791" s="4"/>
      <c r="FT791" s="4"/>
      <c r="FU791" s="4"/>
      <c r="FV791" s="4"/>
      <c r="FW791" s="4"/>
      <c r="FX791" s="4"/>
      <c r="FY791" s="4"/>
      <c r="FZ791" s="4"/>
      <c r="GA791" s="4"/>
      <c r="GB791" s="4"/>
      <c r="GC791" s="4"/>
      <c r="GD791" s="4"/>
      <c r="GE791" s="4"/>
      <c r="GF791" s="4"/>
      <c r="GG791" s="4"/>
      <c r="GH791" s="4"/>
      <c r="GI791" s="4"/>
      <c r="GJ791" s="4"/>
      <c r="GK791" s="4"/>
      <c r="GL791" s="4"/>
      <c r="GM791" s="4"/>
      <c r="GN791" s="4"/>
      <c r="GO791" s="4"/>
      <c r="GP791" s="4"/>
      <c r="GQ791" s="4"/>
      <c r="GR791" s="4"/>
      <c r="GS791" s="4"/>
      <c r="GT791" s="4"/>
      <c r="GU791" s="4"/>
      <c r="GV791" s="4">
        <v>40</v>
      </c>
      <c r="GW791" s="4"/>
      <c r="GX791" s="4"/>
    </row>
    <row r="792">
      <c r="A792" s="2" t="s">
        <v>4767</v>
      </c>
      <c r="B792" s="2" t="s">
        <v>618</v>
      </c>
      <c r="C792" s="2" t="s">
        <v>1299</v>
      </c>
      <c r="D792" s="2" t="s">
        <v>687</v>
      </c>
      <c r="E792" s="2" t="s">
        <v>688</v>
      </c>
      <c r="F792" s="2" t="s">
        <v>4743</v>
      </c>
      <c r="G792" s="2" t="s">
        <v>4744</v>
      </c>
      <c r="H792" s="2" t="s">
        <v>4745</v>
      </c>
      <c r="I792" s="2" t="s">
        <v>4746</v>
      </c>
      <c r="J792" s="2" t="s">
        <v>682</v>
      </c>
      <c r="K792" s="2" t="s">
        <v>536</v>
      </c>
      <c r="L792" s="3">
        <v>47.61</v>
      </c>
      <c r="M792" s="3">
        <v>49.99</v>
      </c>
      <c r="N792" s="3">
        <v>99.99</v>
      </c>
      <c r="O792" s="2" t="s">
        <v>224</v>
      </c>
      <c r="P792" s="2" t="s">
        <v>225</v>
      </c>
      <c r="Q792" s="2" t="s">
        <v>226</v>
      </c>
      <c r="R792" s="2" t="s">
        <v>227</v>
      </c>
      <c r="S792" s="2" t="s">
        <v>4763</v>
      </c>
      <c r="T792" s="2" t="s">
        <v>1871</v>
      </c>
      <c r="U792" s="2" t="s">
        <v>674</v>
      </c>
      <c r="V792" s="2" t="s">
        <v>230</v>
      </c>
      <c r="W792" s="2" t="s">
        <v>487</v>
      </c>
      <c r="X792" s="2" t="s">
        <v>231</v>
      </c>
      <c r="Y792" s="2" t="s">
        <v>3822</v>
      </c>
      <c r="Z792" s="4">
        <v>292</v>
      </c>
      <c r="AA792" s="4">
        <f>=ROUNDDOWN(58.4,0)</f>
      </c>
      <c r="AB792" s="5">
        <v>5</v>
      </c>
      <c r="AC792" s="2" t="s">
        <v>4265</v>
      </c>
      <c r="AD792" s="4">
        <v>210</v>
      </c>
      <c r="AE792" s="4">
        <v>210</v>
      </c>
      <c r="AF792" s="6">
        <v>64</v>
      </c>
      <c r="AG792" s="6"/>
      <c r="AH792" s="7">
        <v>1</v>
      </c>
      <c r="AI792" s="4"/>
      <c r="AJ792" s="4">
        <f>=ROUNDDOWN({0},0)</f>
      </c>
      <c r="AK792" s="5"/>
      <c r="AL792" s="2" t="s">
        <v>227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227</v>
      </c>
      <c r="AW792" s="8" t="s">
        <v>227</v>
      </c>
      <c r="AX792" s="4" t="s">
        <v>227</v>
      </c>
      <c r="AY792" s="8" t="s">
        <v>227</v>
      </c>
      <c r="AZ792" s="7" t="s">
        <v>227</v>
      </c>
      <c r="BA792" s="7" t="s">
        <v>227</v>
      </c>
      <c r="BB792" s="7"/>
      <c r="BC792" s="4" t="s">
        <v>227</v>
      </c>
      <c r="BD792" s="8" t="s">
        <v>227</v>
      </c>
      <c r="BE792" s="4" t="s">
        <v>227</v>
      </c>
      <c r="BF792" s="8" t="s">
        <v>227</v>
      </c>
      <c r="BG792" s="7" t="s">
        <v>227</v>
      </c>
      <c r="BH792" s="7" t="s">
        <v>227</v>
      </c>
      <c r="BI792" s="7"/>
      <c r="BJ792" s="4">
        <v>8</v>
      </c>
      <c r="BK792" s="8">
        <v>440.16</v>
      </c>
      <c r="BL792" s="2" t="s">
        <v>4768</v>
      </c>
      <c r="BM792" s="7"/>
      <c r="BN792" s="7"/>
      <c r="BO792" s="4"/>
      <c r="BP792" s="8"/>
      <c r="BQ792" s="4"/>
      <c r="BR792" s="8"/>
      <c r="BS792" s="7"/>
      <c r="BT792" s="7"/>
      <c r="BU792" s="2" t="s">
        <v>4769</v>
      </c>
      <c r="BV792" s="2" t="s">
        <v>227</v>
      </c>
      <c r="BW792" s="2" t="s">
        <v>227</v>
      </c>
      <c r="BX792" s="2" t="s">
        <v>235</v>
      </c>
      <c r="BY792" s="2" t="s">
        <v>236</v>
      </c>
      <c r="BZ792" s="2" t="s">
        <v>224</v>
      </c>
      <c r="CA792" s="2" t="s">
        <v>1749</v>
      </c>
      <c r="CB792" s="2" t="s">
        <v>570</v>
      </c>
      <c r="CC792" s="2" t="s">
        <v>239</v>
      </c>
      <c r="CD792" s="2" t="s">
        <v>227</v>
      </c>
      <c r="CE792" s="4">
        <v>292</v>
      </c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/>
      <c r="FA792" s="4"/>
      <c r="FB792" s="4"/>
      <c r="FC792" s="4"/>
      <c r="FD792" s="4"/>
      <c r="FE792" s="4"/>
      <c r="FF792" s="4"/>
      <c r="FG792" s="4"/>
      <c r="FH792" s="4"/>
      <c r="FI792" s="4"/>
      <c r="FJ792" s="4"/>
      <c r="FK792" s="4"/>
      <c r="FL792" s="4"/>
      <c r="FM792" s="4"/>
      <c r="FN792" s="4"/>
      <c r="FO792" s="4"/>
      <c r="FP792" s="4"/>
      <c r="FQ792" s="4"/>
      <c r="FR792" s="4"/>
      <c r="FS792" s="4"/>
      <c r="FT792" s="4"/>
      <c r="FU792" s="4"/>
      <c r="FV792" s="4"/>
      <c r="FW792" s="4"/>
      <c r="FX792" s="4"/>
      <c r="FY792" s="4"/>
      <c r="FZ792" s="4"/>
      <c r="GA792" s="4"/>
      <c r="GB792" s="4"/>
      <c r="GC792" s="4"/>
      <c r="GD792" s="4"/>
      <c r="GE792" s="4"/>
      <c r="GF792" s="4"/>
      <c r="GG792" s="4"/>
      <c r="GH792" s="4"/>
      <c r="GI792" s="4"/>
      <c r="GJ792" s="4"/>
      <c r="GK792" s="4"/>
      <c r="GL792" s="4"/>
      <c r="GM792" s="4"/>
      <c r="GN792" s="4"/>
      <c r="GO792" s="4"/>
      <c r="GP792" s="4"/>
      <c r="GQ792" s="4"/>
      <c r="GR792" s="4"/>
      <c r="GS792" s="4"/>
      <c r="GT792" s="4"/>
      <c r="GU792" s="4"/>
      <c r="GV792" s="4">
        <v>210</v>
      </c>
      <c r="GW792" s="4"/>
      <c r="GX792" s="4"/>
    </row>
    <row r="793">
      <c r="A793" s="2" t="s">
        <v>4770</v>
      </c>
      <c r="B793" s="2" t="s">
        <v>715</v>
      </c>
      <c r="C793" s="2" t="s">
        <v>1210</v>
      </c>
      <c r="D793" s="2" t="s">
        <v>716</v>
      </c>
      <c r="E793" s="2" t="s">
        <v>717</v>
      </c>
      <c r="F793" s="2" t="s">
        <v>4771</v>
      </c>
      <c r="G793" s="2" t="s">
        <v>4772</v>
      </c>
      <c r="H793" s="2" t="s">
        <v>4773</v>
      </c>
      <c r="I793" s="2" t="s">
        <v>4774</v>
      </c>
      <c r="J793" s="2" t="s">
        <v>983</v>
      </c>
      <c r="K793" s="2" t="s">
        <v>1242</v>
      </c>
      <c r="L793" s="3">
        <v>21</v>
      </c>
      <c r="M793" s="3">
        <v>22.05</v>
      </c>
      <c r="N793" s="3">
        <v>49.99</v>
      </c>
      <c r="O793" s="2" t="s">
        <v>224</v>
      </c>
      <c r="P793" s="2" t="s">
        <v>225</v>
      </c>
      <c r="Q793" s="2" t="s">
        <v>226</v>
      </c>
      <c r="R793" s="2" t="s">
        <v>227</v>
      </c>
      <c r="S793" s="2" t="s">
        <v>4775</v>
      </c>
      <c r="T793" s="2" t="s">
        <v>227</v>
      </c>
      <c r="U793" s="2" t="s">
        <v>227</v>
      </c>
      <c r="V793" s="2" t="s">
        <v>3355</v>
      </c>
      <c r="W793" s="2" t="s">
        <v>524</v>
      </c>
      <c r="X793" s="2" t="s">
        <v>1216</v>
      </c>
      <c r="Y793" s="2" t="s">
        <v>2185</v>
      </c>
      <c r="Z793" s="4">
        <v>333</v>
      </c>
      <c r="AA793" s="4">
        <f>=ROUNDDOWN(37,0)</f>
      </c>
      <c r="AB793" s="5">
        <v>9</v>
      </c>
      <c r="AC793" s="2" t="s">
        <v>227</v>
      </c>
      <c r="AD793" s="4"/>
      <c r="AE793" s="4"/>
      <c r="AF793" s="6">
        <v>68</v>
      </c>
      <c r="AG793" s="6"/>
      <c r="AH793" s="7">
        <v>1</v>
      </c>
      <c r="AI793" s="4"/>
      <c r="AJ793" s="4">
        <f>=ROUNDDOWN({0},0)</f>
      </c>
      <c r="AK793" s="5"/>
      <c r="AL793" s="2" t="s">
        <v>227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/>
      <c r="AW793" s="8"/>
      <c r="AX793" s="4"/>
      <c r="AY793" s="8"/>
      <c r="AZ793" s="7"/>
      <c r="BA793" s="7"/>
      <c r="BB793" s="7"/>
      <c r="BC793" s="4" t="s">
        <v>227</v>
      </c>
      <c r="BD793" s="8" t="s">
        <v>227</v>
      </c>
      <c r="BE793" s="4" t="s">
        <v>227</v>
      </c>
      <c r="BF793" s="8" t="s">
        <v>227</v>
      </c>
      <c r="BG793" s="7" t="s">
        <v>227</v>
      </c>
      <c r="BH793" s="7" t="s">
        <v>227</v>
      </c>
      <c r="BI793" s="7"/>
      <c r="BJ793" s="4">
        <v>31</v>
      </c>
      <c r="BK793" s="8">
        <v>663.59</v>
      </c>
      <c r="BL793" s="2" t="s">
        <v>4776</v>
      </c>
      <c r="BM793" s="7"/>
      <c r="BN793" s="7"/>
      <c r="BO793" s="4"/>
      <c r="BP793" s="8"/>
      <c r="BQ793" s="4"/>
      <c r="BR793" s="8"/>
      <c r="BS793" s="7"/>
      <c r="BT793" s="7"/>
      <c r="BU793" s="2" t="s">
        <v>4777</v>
      </c>
      <c r="BV793" s="2" t="s">
        <v>227</v>
      </c>
      <c r="BW793" s="2" t="s">
        <v>227</v>
      </c>
      <c r="BX793" s="2" t="s">
        <v>235</v>
      </c>
      <c r="BY793" s="2" t="s">
        <v>236</v>
      </c>
      <c r="BZ793" s="2" t="s">
        <v>224</v>
      </c>
      <c r="CA793" s="2" t="s">
        <v>3992</v>
      </c>
      <c r="CB793" s="2" t="s">
        <v>2243</v>
      </c>
      <c r="CC793" s="2" t="s">
        <v>239</v>
      </c>
      <c r="CD793" s="2" t="s">
        <v>227</v>
      </c>
      <c r="CE793" s="4">
        <v>333</v>
      </c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/>
      <c r="FA793" s="4"/>
      <c r="FB793" s="4"/>
      <c r="FC793" s="4"/>
      <c r="FD793" s="4"/>
      <c r="FE793" s="4"/>
      <c r="FF793" s="4"/>
      <c r="FG793" s="4"/>
      <c r="FH793" s="4"/>
      <c r="FI793" s="4"/>
      <c r="FJ793" s="4"/>
      <c r="FK793" s="4"/>
      <c r="FL793" s="4"/>
      <c r="FM793" s="4"/>
      <c r="FN793" s="4"/>
      <c r="FO793" s="4"/>
      <c r="FP793" s="4"/>
      <c r="FQ793" s="4"/>
      <c r="FR793" s="4"/>
      <c r="FS793" s="4"/>
      <c r="FT793" s="4"/>
      <c r="FU793" s="4"/>
      <c r="FV793" s="4"/>
      <c r="FW793" s="4"/>
      <c r="FX793" s="4"/>
      <c r="FY793" s="4"/>
      <c r="FZ793" s="4"/>
      <c r="GA793" s="4"/>
      <c r="GB793" s="4"/>
      <c r="GC793" s="4"/>
      <c r="GD793" s="4"/>
      <c r="GE793" s="4"/>
      <c r="GF793" s="4"/>
      <c r="GG793" s="4"/>
      <c r="GH793" s="4"/>
      <c r="GI793" s="4"/>
      <c r="GJ793" s="4"/>
      <c r="GK793" s="4"/>
      <c r="GL793" s="4"/>
      <c r="GM793" s="4"/>
      <c r="GN793" s="4"/>
      <c r="GO793" s="4"/>
      <c r="GP793" s="4"/>
      <c r="GQ793" s="4"/>
      <c r="GR793" s="4"/>
      <c r="GS793" s="4"/>
      <c r="GT793" s="4"/>
      <c r="GU793" s="4"/>
      <c r="GV793" s="4"/>
      <c r="GW793" s="4"/>
      <c r="GX793" s="4"/>
    </row>
    <row r="794">
      <c r="A794" s="2" t="s">
        <v>4778</v>
      </c>
      <c r="B794" s="2" t="s">
        <v>715</v>
      </c>
      <c r="C794" s="2" t="s">
        <v>1210</v>
      </c>
      <c r="D794" s="2" t="s">
        <v>716</v>
      </c>
      <c r="E794" s="2" t="s">
        <v>717</v>
      </c>
      <c r="F794" s="2" t="s">
        <v>4771</v>
      </c>
      <c r="G794" s="2" t="s">
        <v>4772</v>
      </c>
      <c r="H794" s="2" t="s">
        <v>4773</v>
      </c>
      <c r="I794" s="2" t="s">
        <v>4774</v>
      </c>
      <c r="J794" s="2" t="s">
        <v>722</v>
      </c>
      <c r="K794" s="2" t="s">
        <v>536</v>
      </c>
      <c r="L794" s="3">
        <v>16.8</v>
      </c>
      <c r="M794" s="3">
        <v>17.64</v>
      </c>
      <c r="N794" s="3">
        <v>39.99</v>
      </c>
      <c r="O794" s="2" t="s">
        <v>224</v>
      </c>
      <c r="P794" s="2" t="s">
        <v>225</v>
      </c>
      <c r="Q794" s="2" t="s">
        <v>226</v>
      </c>
      <c r="R794" s="2" t="s">
        <v>227</v>
      </c>
      <c r="S794" s="2" t="s">
        <v>227</v>
      </c>
      <c r="T794" s="2" t="s">
        <v>227</v>
      </c>
      <c r="U794" s="2" t="s">
        <v>227</v>
      </c>
      <c r="V794" s="2" t="s">
        <v>3355</v>
      </c>
      <c r="W794" s="2" t="s">
        <v>487</v>
      </c>
      <c r="X794" s="2" t="s">
        <v>1216</v>
      </c>
      <c r="Y794" s="2" t="s">
        <v>2185</v>
      </c>
      <c r="Z794" s="4">
        <v>519</v>
      </c>
      <c r="AA794" s="4">
        <f>=ROUNDDOWN(16.21875,0)</f>
      </c>
      <c r="AB794" s="5">
        <v>32</v>
      </c>
      <c r="AC794" s="2" t="s">
        <v>182</v>
      </c>
      <c r="AD794" s="4">
        <v>300</v>
      </c>
      <c r="AE794" s="4">
        <v>620</v>
      </c>
      <c r="AF794" s="6">
        <v>68</v>
      </c>
      <c r="AG794" s="6"/>
      <c r="AH794" s="7">
        <v>1</v>
      </c>
      <c r="AI794" s="4"/>
      <c r="AJ794" s="4">
        <f>=ROUNDDOWN({0},0)</f>
      </c>
      <c r="AK794" s="5"/>
      <c r="AL794" s="2" t="s">
        <v>227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/>
      <c r="AW794" s="8"/>
      <c r="AX794" s="4"/>
      <c r="AY794" s="8"/>
      <c r="AZ794" s="7"/>
      <c r="BA794" s="7"/>
      <c r="BB794" s="7"/>
      <c r="BC794" s="4" t="s">
        <v>227</v>
      </c>
      <c r="BD794" s="8" t="s">
        <v>227</v>
      </c>
      <c r="BE794" s="4" t="s">
        <v>227</v>
      </c>
      <c r="BF794" s="8" t="s">
        <v>227</v>
      </c>
      <c r="BG794" s="7" t="s">
        <v>227</v>
      </c>
      <c r="BH794" s="7" t="s">
        <v>227</v>
      </c>
      <c r="BI794" s="7"/>
      <c r="BJ794" s="4">
        <v>148</v>
      </c>
      <c r="BK794" s="8">
        <v>2514.86</v>
      </c>
      <c r="BL794" s="2" t="s">
        <v>4779</v>
      </c>
      <c r="BM794" s="7"/>
      <c r="BN794" s="7"/>
      <c r="BO794" s="4"/>
      <c r="BP794" s="8"/>
      <c r="BQ794" s="4"/>
      <c r="BR794" s="8"/>
      <c r="BS794" s="7"/>
      <c r="BT794" s="7"/>
      <c r="BU794" s="2" t="s">
        <v>4780</v>
      </c>
      <c r="BV794" s="2" t="s">
        <v>227</v>
      </c>
      <c r="BW794" s="2" t="s">
        <v>227</v>
      </c>
      <c r="BX794" s="2" t="s">
        <v>235</v>
      </c>
      <c r="BY794" s="2" t="s">
        <v>236</v>
      </c>
      <c r="BZ794" s="2" t="s">
        <v>224</v>
      </c>
      <c r="CA794" s="2" t="s">
        <v>3992</v>
      </c>
      <c r="CB794" s="2" t="s">
        <v>4781</v>
      </c>
      <c r="CC794" s="2" t="s">
        <v>239</v>
      </c>
      <c r="CD794" s="2" t="s">
        <v>227</v>
      </c>
      <c r="CE794" s="4">
        <v>519</v>
      </c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/>
      <c r="FC794" s="4"/>
      <c r="FD794" s="4"/>
      <c r="FE794" s="4"/>
      <c r="FF794" s="4"/>
      <c r="FG794" s="4"/>
      <c r="FH794" s="4"/>
      <c r="FI794" s="4"/>
      <c r="FJ794" s="4"/>
      <c r="FK794" s="4"/>
      <c r="FL794" s="4"/>
      <c r="FM794" s="4"/>
      <c r="FN794" s="4"/>
      <c r="FO794" s="4"/>
      <c r="FP794" s="4"/>
      <c r="FQ794" s="4"/>
      <c r="FR794" s="4">
        <v>300</v>
      </c>
      <c r="FS794" s="4"/>
      <c r="FT794" s="4"/>
      <c r="FU794" s="4"/>
      <c r="FV794" s="4"/>
      <c r="FW794" s="4"/>
      <c r="FX794" s="4"/>
      <c r="FY794" s="4"/>
      <c r="FZ794" s="4"/>
      <c r="GA794" s="4"/>
      <c r="GB794" s="4"/>
      <c r="GC794" s="4"/>
      <c r="GD794" s="4"/>
      <c r="GE794" s="4"/>
      <c r="GF794" s="4"/>
      <c r="GG794" s="4"/>
      <c r="GH794" s="4"/>
      <c r="GI794" s="4"/>
      <c r="GJ794" s="4"/>
      <c r="GK794" s="4"/>
      <c r="GL794" s="4"/>
      <c r="GM794" s="4">
        <v>320</v>
      </c>
      <c r="GN794" s="4"/>
      <c r="GO794" s="4"/>
      <c r="GP794" s="4"/>
      <c r="GQ794" s="4"/>
      <c r="GR794" s="4"/>
      <c r="GS794" s="4"/>
      <c r="GT794" s="4"/>
      <c r="GU794" s="4"/>
      <c r="GV794" s="4"/>
      <c r="GW794" s="4"/>
      <c r="GX794" s="4"/>
    </row>
    <row r="795">
      <c r="A795" s="2" t="s">
        <v>4782</v>
      </c>
      <c r="B795" s="2" t="s">
        <v>573</v>
      </c>
      <c r="C795" s="2" t="s">
        <v>668</v>
      </c>
      <c r="D795" s="2" t="s">
        <v>4783</v>
      </c>
      <c r="E795" s="2" t="s">
        <v>2842</v>
      </c>
      <c r="F795" s="2" t="s">
        <v>4784</v>
      </c>
      <c r="G795" s="2" t="s">
        <v>4784</v>
      </c>
      <c r="H795" s="2" t="s">
        <v>4784</v>
      </c>
      <c r="I795" s="2" t="s">
        <v>4785</v>
      </c>
      <c r="J795" s="2" t="s">
        <v>2842</v>
      </c>
      <c r="K795" s="2" t="s">
        <v>4093</v>
      </c>
      <c r="L795" s="3">
        <v>118.8</v>
      </c>
      <c r="M795" s="3">
        <v>124.74</v>
      </c>
      <c r="N795" s="3">
        <v>249</v>
      </c>
      <c r="O795" s="2" t="s">
        <v>224</v>
      </c>
      <c r="P795" s="2" t="s">
        <v>580</v>
      </c>
      <c r="Q795" s="2" t="s">
        <v>226</v>
      </c>
      <c r="R795" s="2" t="s">
        <v>227</v>
      </c>
      <c r="S795" s="2" t="s">
        <v>227</v>
      </c>
      <c r="T795" s="2" t="s">
        <v>227</v>
      </c>
      <c r="U795" s="2" t="s">
        <v>552</v>
      </c>
      <c r="V795" s="2" t="s">
        <v>566</v>
      </c>
      <c r="W795" s="2" t="s">
        <v>836</v>
      </c>
      <c r="X795" s="2" t="s">
        <v>231</v>
      </c>
      <c r="Y795" s="2" t="s">
        <v>4786</v>
      </c>
      <c r="Z795" s="4">
        <v>15</v>
      </c>
      <c r="AA795" s="4">
        <f>=ROUNDDOWN(18.75,0)</f>
      </c>
      <c r="AB795" s="5">
        <v>0.8</v>
      </c>
      <c r="AC795" s="2" t="s">
        <v>188</v>
      </c>
      <c r="AD795" s="4">
        <v>30</v>
      </c>
      <c r="AE795" s="4">
        <v>30</v>
      </c>
      <c r="AF795" s="6">
        <v>74</v>
      </c>
      <c r="AG795" s="6"/>
      <c r="AH795" s="7">
        <v>1</v>
      </c>
      <c r="AI795" s="4"/>
      <c r="AJ795" s="4">
        <f>=ROUNDDOWN({0},0)</f>
      </c>
      <c r="AK795" s="5"/>
      <c r="AL795" s="2" t="s">
        <v>227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/>
      <c r="AW795" s="8"/>
      <c r="AX795" s="4"/>
      <c r="AY795" s="8"/>
      <c r="AZ795" s="7"/>
      <c r="BA795" s="7"/>
      <c r="BB795" s="7"/>
      <c r="BC795" s="4"/>
      <c r="BD795" s="8"/>
      <c r="BE795" s="4"/>
      <c r="BF795" s="8"/>
      <c r="BG795" s="7"/>
      <c r="BH795" s="7"/>
      <c r="BI795" s="7"/>
      <c r="BJ795" s="4">
        <v>2</v>
      </c>
      <c r="BK795" s="8">
        <v>249.48</v>
      </c>
      <c r="BL795" s="2" t="s">
        <v>2646</v>
      </c>
      <c r="BM795" s="7"/>
      <c r="BN795" s="7"/>
      <c r="BO795" s="4"/>
      <c r="BP795" s="8"/>
      <c r="BQ795" s="4"/>
      <c r="BR795" s="8"/>
      <c r="BS795" s="7"/>
      <c r="BT795" s="7"/>
      <c r="BU795" s="2" t="s">
        <v>4787</v>
      </c>
      <c r="BV795" s="2" t="s">
        <v>227</v>
      </c>
      <c r="BW795" s="2" t="s">
        <v>227</v>
      </c>
      <c r="BX795" s="2" t="s">
        <v>235</v>
      </c>
      <c r="BY795" s="2" t="s">
        <v>236</v>
      </c>
      <c r="BZ795" s="2" t="s">
        <v>224</v>
      </c>
      <c r="CA795" s="2" t="s">
        <v>4766</v>
      </c>
      <c r="CB795" s="2" t="s">
        <v>4788</v>
      </c>
      <c r="CC795" s="2" t="s">
        <v>239</v>
      </c>
      <c r="CD795" s="2" t="s">
        <v>227</v>
      </c>
      <c r="CE795" s="4"/>
      <c r="CF795" s="4">
        <v>15</v>
      </c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/>
      <c r="EZ795" s="4"/>
      <c r="FA795" s="4"/>
      <c r="FB795" s="4"/>
      <c r="FC795" s="4"/>
      <c r="FD795" s="4"/>
      <c r="FE795" s="4"/>
      <c r="FF795" s="4"/>
      <c r="FG795" s="4"/>
      <c r="FH795" s="4"/>
      <c r="FI795" s="4"/>
      <c r="FJ795" s="4"/>
      <c r="FK795" s="4"/>
      <c r="FL795" s="4"/>
      <c r="FM795" s="4"/>
      <c r="FN795" s="4"/>
      <c r="FO795" s="4"/>
      <c r="FP795" s="4"/>
      <c r="FQ795" s="4"/>
      <c r="FR795" s="4"/>
      <c r="FS795" s="4"/>
      <c r="FT795" s="4"/>
      <c r="FU795" s="4"/>
      <c r="FV795" s="4"/>
      <c r="FW795" s="4"/>
      <c r="FX795" s="4">
        <v>30</v>
      </c>
      <c r="FY795" s="4"/>
      <c r="FZ795" s="4"/>
      <c r="GA795" s="4"/>
      <c r="GB795" s="4"/>
      <c r="GC795" s="4"/>
      <c r="GD795" s="4"/>
      <c r="GE795" s="4"/>
      <c r="GF795" s="4"/>
      <c r="GG795" s="4"/>
      <c r="GH795" s="4"/>
      <c r="GI795" s="4"/>
      <c r="GJ795" s="4"/>
      <c r="GK795" s="4"/>
      <c r="GL795" s="4"/>
      <c r="GM795" s="4"/>
      <c r="GN795" s="4"/>
      <c r="GO795" s="4"/>
      <c r="GP795" s="4"/>
      <c r="GQ795" s="4"/>
      <c r="GR795" s="4"/>
      <c r="GS795" s="4"/>
      <c r="GT795" s="4"/>
      <c r="GU795" s="4"/>
      <c r="GV795" s="4"/>
      <c r="GW795" s="4"/>
      <c r="GX795" s="4"/>
    </row>
    <row r="796">
      <c r="A796" s="2" t="s">
        <v>4789</v>
      </c>
      <c r="B796" s="2" t="s">
        <v>542</v>
      </c>
      <c r="C796" s="2" t="s">
        <v>360</v>
      </c>
      <c r="D796" s="2" t="s">
        <v>1052</v>
      </c>
      <c r="E796" s="2" t="s">
        <v>1053</v>
      </c>
      <c r="F796" s="2" t="s">
        <v>4790</v>
      </c>
      <c r="G796" s="2" t="s">
        <v>4790</v>
      </c>
      <c r="H796" s="2" t="s">
        <v>4790</v>
      </c>
      <c r="I796" s="2" t="s">
        <v>4791</v>
      </c>
      <c r="J796" s="2" t="s">
        <v>548</v>
      </c>
      <c r="K796" s="2" t="s">
        <v>976</v>
      </c>
      <c r="L796" s="3">
        <v>61.71</v>
      </c>
      <c r="M796" s="3">
        <v>64.8</v>
      </c>
      <c r="N796" s="3">
        <v>127.49</v>
      </c>
      <c r="O796" s="2" t="s">
        <v>224</v>
      </c>
      <c r="P796" s="2" t="s">
        <v>550</v>
      </c>
      <c r="Q796" s="2" t="s">
        <v>226</v>
      </c>
      <c r="R796" s="2" t="s">
        <v>227</v>
      </c>
      <c r="S796" s="2" t="s">
        <v>4792</v>
      </c>
      <c r="T796" s="2" t="s">
        <v>227</v>
      </c>
      <c r="U796" s="2" t="s">
        <v>1044</v>
      </c>
      <c r="V796" s="2" t="s">
        <v>945</v>
      </c>
      <c r="W796" s="2" t="s">
        <v>836</v>
      </c>
      <c r="X796" s="2" t="s">
        <v>487</v>
      </c>
      <c r="Y796" s="2" t="s">
        <v>1057</v>
      </c>
      <c r="Z796" s="4">
        <v>143</v>
      </c>
      <c r="AA796" s="4">
        <f>=ROUNDDOWN(23.8333333333333,0)</f>
      </c>
      <c r="AB796" s="5">
        <v>6</v>
      </c>
      <c r="AC796" s="2" t="s">
        <v>227</v>
      </c>
      <c r="AD796" s="4"/>
      <c r="AE796" s="4"/>
      <c r="AF796" s="6">
        <v>63</v>
      </c>
      <c r="AG796" s="6"/>
      <c r="AH796" s="7">
        <v>1</v>
      </c>
      <c r="AI796" s="4"/>
      <c r="AJ796" s="4">
        <f>=ROUNDDOWN({0},0)</f>
      </c>
      <c r="AK796" s="5"/>
      <c r="AL796" s="2" t="s">
        <v>227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/>
      <c r="AW796" s="8"/>
      <c r="AX796" s="4"/>
      <c r="AY796" s="8"/>
      <c r="AZ796" s="7"/>
      <c r="BA796" s="7"/>
      <c r="BB796" s="7"/>
      <c r="BC796" s="4"/>
      <c r="BD796" s="8"/>
      <c r="BE796" s="4"/>
      <c r="BF796" s="8"/>
      <c r="BG796" s="7"/>
      <c r="BH796" s="7"/>
      <c r="BI796" s="7"/>
      <c r="BJ796" s="4">
        <v>25</v>
      </c>
      <c r="BK796" s="8">
        <v>1852.09</v>
      </c>
      <c r="BL796" s="2" t="s">
        <v>4793</v>
      </c>
      <c r="BM796" s="7"/>
      <c r="BN796" s="7"/>
      <c r="BO796" s="4"/>
      <c r="BP796" s="8"/>
      <c r="BQ796" s="4"/>
      <c r="BR796" s="8"/>
      <c r="BS796" s="7"/>
      <c r="BT796" s="7"/>
      <c r="BU796" s="2" t="s">
        <v>4794</v>
      </c>
      <c r="BV796" s="2" t="s">
        <v>227</v>
      </c>
      <c r="BW796" s="2" t="s">
        <v>227</v>
      </c>
      <c r="BX796" s="2" t="s">
        <v>235</v>
      </c>
      <c r="BY796" s="2" t="s">
        <v>236</v>
      </c>
      <c r="BZ796" s="2" t="s">
        <v>224</v>
      </c>
      <c r="CA796" s="2" t="s">
        <v>1060</v>
      </c>
      <c r="CB796" s="2" t="s">
        <v>4795</v>
      </c>
      <c r="CC796" s="2" t="s">
        <v>239</v>
      </c>
      <c r="CD796" s="2" t="s">
        <v>227</v>
      </c>
      <c r="CE796" s="4"/>
      <c r="CF796" s="4">
        <v>143</v>
      </c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/>
      <c r="FB796" s="4"/>
      <c r="FC796" s="4"/>
      <c r="FD796" s="4"/>
      <c r="FE796" s="4"/>
      <c r="FF796" s="4"/>
      <c r="FG796" s="4"/>
      <c r="FH796" s="4"/>
      <c r="FI796" s="4"/>
      <c r="FJ796" s="4"/>
      <c r="FK796" s="4"/>
      <c r="FL796" s="4"/>
      <c r="FM796" s="4"/>
      <c r="FN796" s="4"/>
      <c r="FO796" s="4"/>
      <c r="FP796" s="4"/>
      <c r="FQ796" s="4"/>
      <c r="FR796" s="4"/>
      <c r="FS796" s="4"/>
      <c r="FT796" s="4"/>
      <c r="FU796" s="4"/>
      <c r="FV796" s="4"/>
      <c r="FW796" s="4"/>
      <c r="FX796" s="4"/>
      <c r="FY796" s="4"/>
      <c r="FZ796" s="4"/>
      <c r="GA796" s="4"/>
      <c r="GB796" s="4"/>
      <c r="GC796" s="4"/>
      <c r="GD796" s="4"/>
      <c r="GE796" s="4"/>
      <c r="GF796" s="4"/>
      <c r="GG796" s="4"/>
      <c r="GH796" s="4"/>
      <c r="GI796" s="4"/>
      <c r="GJ796" s="4"/>
      <c r="GK796" s="4"/>
      <c r="GL796" s="4"/>
      <c r="GM796" s="4"/>
      <c r="GN796" s="4"/>
      <c r="GO796" s="4"/>
      <c r="GP796" s="4"/>
      <c r="GQ796" s="4"/>
      <c r="GR796" s="4"/>
      <c r="GS796" s="4"/>
      <c r="GT796" s="4"/>
      <c r="GU796" s="4"/>
      <c r="GV796" s="4"/>
      <c r="GW796" s="4"/>
      <c r="GX796" s="4"/>
    </row>
    <row r="797">
      <c r="A797" s="2" t="s">
        <v>4796</v>
      </c>
      <c r="B797" s="2" t="s">
        <v>744</v>
      </c>
      <c r="C797" s="2" t="s">
        <v>1299</v>
      </c>
      <c r="D797" s="2" t="s">
        <v>4110</v>
      </c>
      <c r="E797" s="2" t="s">
        <v>517</v>
      </c>
      <c r="F797" s="2" t="s">
        <v>4797</v>
      </c>
      <c r="G797" s="2" t="s">
        <v>4797</v>
      </c>
      <c r="H797" s="2" t="s">
        <v>4797</v>
      </c>
      <c r="I797" s="2" t="s">
        <v>4112</v>
      </c>
      <c r="J797" s="2" t="s">
        <v>548</v>
      </c>
      <c r="K797" s="2" t="s">
        <v>448</v>
      </c>
      <c r="L797" s="3">
        <v>28.99</v>
      </c>
      <c r="M797" s="3">
        <v>30.44</v>
      </c>
      <c r="N797" s="3">
        <v>49.99</v>
      </c>
      <c r="O797" s="2" t="s">
        <v>224</v>
      </c>
      <c r="P797" s="2" t="s">
        <v>580</v>
      </c>
      <c r="Q797" s="2" t="s">
        <v>226</v>
      </c>
      <c r="R797" s="2" t="s">
        <v>227</v>
      </c>
      <c r="S797" s="2" t="s">
        <v>227</v>
      </c>
      <c r="T797" s="2" t="s">
        <v>227</v>
      </c>
      <c r="U797" s="2" t="s">
        <v>594</v>
      </c>
      <c r="V797" s="2" t="s">
        <v>4798</v>
      </c>
      <c r="W797" s="2" t="s">
        <v>227</v>
      </c>
      <c r="X797" s="2" t="s">
        <v>227</v>
      </c>
      <c r="Y797" s="2" t="s">
        <v>3116</v>
      </c>
      <c r="Z797" s="4">
        <v>171</v>
      </c>
      <c r="AA797" s="4">
        <f>=ROUNDDOWN(85.5,0)</f>
      </c>
      <c r="AB797" s="5">
        <v>2</v>
      </c>
      <c r="AC797" s="2" t="s">
        <v>227</v>
      </c>
      <c r="AD797" s="4"/>
      <c r="AE797" s="4"/>
      <c r="AF797" s="6">
        <v>73</v>
      </c>
      <c r="AG797" s="6"/>
      <c r="AH797" s="7">
        <v>1</v>
      </c>
      <c r="AI797" s="4"/>
      <c r="AJ797" s="4">
        <f>=ROUNDDOWN({0},0)</f>
      </c>
      <c r="AK797" s="5"/>
      <c r="AL797" s="2" t="s">
        <v>227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/>
      <c r="AW797" s="8"/>
      <c r="AX797" s="4"/>
      <c r="AY797" s="8"/>
      <c r="AZ797" s="7"/>
      <c r="BA797" s="7"/>
      <c r="BB797" s="7"/>
      <c r="BC797" s="4"/>
      <c r="BD797" s="8"/>
      <c r="BE797" s="4"/>
      <c r="BF797" s="8"/>
      <c r="BG797" s="7"/>
      <c r="BH797" s="7"/>
      <c r="BI797" s="7"/>
      <c r="BJ797" s="4">
        <v>2</v>
      </c>
      <c r="BK797" s="8">
        <v>57.98</v>
      </c>
      <c r="BL797" s="2" t="s">
        <v>1627</v>
      </c>
      <c r="BM797" s="7"/>
      <c r="BN797" s="7"/>
      <c r="BO797" s="4"/>
      <c r="BP797" s="8"/>
      <c r="BQ797" s="4"/>
      <c r="BR797" s="8"/>
      <c r="BS797" s="7"/>
      <c r="BT797" s="7"/>
      <c r="BU797" s="2" t="s">
        <v>4799</v>
      </c>
      <c r="BV797" s="2" t="s">
        <v>227</v>
      </c>
      <c r="BW797" s="2" t="s">
        <v>227</v>
      </c>
      <c r="BX797" s="2" t="s">
        <v>235</v>
      </c>
      <c r="BY797" s="2" t="s">
        <v>236</v>
      </c>
      <c r="BZ797" s="2" t="s">
        <v>224</v>
      </c>
      <c r="CA797" s="2" t="s">
        <v>4116</v>
      </c>
      <c r="CB797" s="2" t="s">
        <v>227</v>
      </c>
      <c r="CC797" s="2" t="s">
        <v>239</v>
      </c>
      <c r="CD797" s="2" t="s">
        <v>227</v>
      </c>
      <c r="CE797" s="4">
        <v>171</v>
      </c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/>
      <c r="FD797" s="4"/>
      <c r="FE797" s="4"/>
      <c r="FF797" s="4"/>
      <c r="FG797" s="4"/>
      <c r="FH797" s="4"/>
      <c r="FI797" s="4"/>
      <c r="FJ797" s="4"/>
      <c r="FK797" s="4"/>
      <c r="FL797" s="4"/>
      <c r="FM797" s="4"/>
      <c r="FN797" s="4"/>
      <c r="FO797" s="4"/>
      <c r="FP797" s="4"/>
      <c r="FQ797" s="4"/>
      <c r="FR797" s="4"/>
      <c r="FS797" s="4"/>
      <c r="FT797" s="4"/>
      <c r="FU797" s="4"/>
      <c r="FV797" s="4"/>
      <c r="FW797" s="4"/>
      <c r="FX797" s="4"/>
      <c r="FY797" s="4"/>
      <c r="FZ797" s="4"/>
      <c r="GA797" s="4"/>
      <c r="GB797" s="4"/>
      <c r="GC797" s="4"/>
      <c r="GD797" s="4"/>
      <c r="GE797" s="4"/>
      <c r="GF797" s="4"/>
      <c r="GG797" s="4"/>
      <c r="GH797" s="4"/>
      <c r="GI797" s="4"/>
      <c r="GJ797" s="4"/>
      <c r="GK797" s="4"/>
      <c r="GL797" s="4"/>
      <c r="GM797" s="4"/>
      <c r="GN797" s="4"/>
      <c r="GO797" s="4"/>
      <c r="GP797" s="4"/>
      <c r="GQ797" s="4"/>
      <c r="GR797" s="4"/>
      <c r="GS797" s="4"/>
      <c r="GT797" s="4"/>
      <c r="GU797" s="4"/>
      <c r="GV797" s="4"/>
      <c r="GW797" s="4"/>
      <c r="GX797" s="4"/>
    </row>
    <row r="798">
      <c r="A798" s="2" t="s">
        <v>4800</v>
      </c>
      <c r="B798" s="2" t="s">
        <v>635</v>
      </c>
      <c r="C798" s="2" t="s">
        <v>636</v>
      </c>
      <c r="D798" s="2" t="s">
        <v>637</v>
      </c>
      <c r="E798" s="2" t="s">
        <v>638</v>
      </c>
      <c r="F798" s="2" t="s">
        <v>4801</v>
      </c>
      <c r="G798" s="2" t="s">
        <v>4801</v>
      </c>
      <c r="H798" s="2" t="s">
        <v>4801</v>
      </c>
      <c r="I798" s="2" t="s">
        <v>4802</v>
      </c>
      <c r="J798" s="2" t="s">
        <v>748</v>
      </c>
      <c r="K798" s="2" t="s">
        <v>410</v>
      </c>
      <c r="L798" s="3">
        <v>9.51</v>
      </c>
      <c r="M798" s="3">
        <v>9.99</v>
      </c>
      <c r="N798" s="3">
        <v>24.99</v>
      </c>
      <c r="O798" s="2" t="s">
        <v>224</v>
      </c>
      <c r="P798" s="2" t="s">
        <v>225</v>
      </c>
      <c r="Q798" s="2" t="s">
        <v>226</v>
      </c>
      <c r="R798" s="2" t="s">
        <v>227</v>
      </c>
      <c r="S798" s="2" t="s">
        <v>227</v>
      </c>
      <c r="T798" s="2" t="s">
        <v>227</v>
      </c>
      <c r="U798" s="2" t="s">
        <v>552</v>
      </c>
      <c r="V798" s="2" t="s">
        <v>566</v>
      </c>
      <c r="W798" s="2" t="s">
        <v>231</v>
      </c>
      <c r="X798" s="2" t="s">
        <v>227</v>
      </c>
      <c r="Y798" s="2" t="s">
        <v>1626</v>
      </c>
      <c r="Z798" s="4">
        <v>62</v>
      </c>
      <c r="AA798" s="4">
        <f>=ROUNDDOWN(14.0909090909091,0)</f>
      </c>
      <c r="AB798" s="5">
        <v>4.4</v>
      </c>
      <c r="AC798" s="2" t="s">
        <v>161</v>
      </c>
      <c r="AD798" s="4">
        <v>360</v>
      </c>
      <c r="AE798" s="4">
        <v>360</v>
      </c>
      <c r="AF798" s="6">
        <v>65</v>
      </c>
      <c r="AG798" s="6"/>
      <c r="AH798" s="7">
        <v>1</v>
      </c>
      <c r="AI798" s="4"/>
      <c r="AJ798" s="4">
        <f>=ROUNDDOWN({0},0)</f>
      </c>
      <c r="AK798" s="5"/>
      <c r="AL798" s="2" t="s">
        <v>227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227</v>
      </c>
      <c r="AW798" s="8" t="s">
        <v>227</v>
      </c>
      <c r="AX798" s="4" t="s">
        <v>227</v>
      </c>
      <c r="AY798" s="8" t="s">
        <v>227</v>
      </c>
      <c r="AZ798" s="7" t="s">
        <v>227</v>
      </c>
      <c r="BA798" s="7" t="s">
        <v>227</v>
      </c>
      <c r="BB798" s="7"/>
      <c r="BC798" s="4" t="s">
        <v>227</v>
      </c>
      <c r="BD798" s="8" t="s">
        <v>227</v>
      </c>
      <c r="BE798" s="4" t="s">
        <v>227</v>
      </c>
      <c r="BF798" s="8" t="s">
        <v>227</v>
      </c>
      <c r="BG798" s="7" t="s">
        <v>227</v>
      </c>
      <c r="BH798" s="7" t="s">
        <v>227</v>
      </c>
      <c r="BI798" s="7"/>
      <c r="BJ798" s="4">
        <v>5</v>
      </c>
      <c r="BK798" s="8">
        <v>61.32</v>
      </c>
      <c r="BL798" s="2" t="s">
        <v>3349</v>
      </c>
      <c r="BM798" s="7"/>
      <c r="BN798" s="7"/>
      <c r="BO798" s="4"/>
      <c r="BP798" s="8"/>
      <c r="BQ798" s="4"/>
      <c r="BR798" s="8"/>
      <c r="BS798" s="7"/>
      <c r="BT798" s="7"/>
      <c r="BU798" s="2" t="s">
        <v>4803</v>
      </c>
      <c r="BV798" s="2" t="s">
        <v>227</v>
      </c>
      <c r="BW798" s="2" t="s">
        <v>227</v>
      </c>
      <c r="BX798" s="2" t="s">
        <v>235</v>
      </c>
      <c r="BY798" s="2" t="s">
        <v>236</v>
      </c>
      <c r="BZ798" s="2" t="s">
        <v>224</v>
      </c>
      <c r="CA798" s="2" t="s">
        <v>4277</v>
      </c>
      <c r="CB798" s="2" t="s">
        <v>4804</v>
      </c>
      <c r="CC798" s="2" t="s">
        <v>239</v>
      </c>
      <c r="CD798" s="2" t="s">
        <v>227</v>
      </c>
      <c r="CE798" s="4">
        <v>62</v>
      </c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>
        <v>360</v>
      </c>
      <c r="EX798" s="4"/>
      <c r="EY798" s="4"/>
      <c r="EZ798" s="4"/>
      <c r="FA798" s="4"/>
      <c r="FB798" s="4"/>
      <c r="FC798" s="4"/>
      <c r="FD798" s="4"/>
      <c r="FE798" s="4"/>
      <c r="FF798" s="4"/>
      <c r="FG798" s="4"/>
      <c r="FH798" s="4"/>
      <c r="FI798" s="4"/>
      <c r="FJ798" s="4"/>
      <c r="FK798" s="4"/>
      <c r="FL798" s="4"/>
      <c r="FM798" s="4"/>
      <c r="FN798" s="4"/>
      <c r="FO798" s="4"/>
      <c r="FP798" s="4"/>
      <c r="FQ798" s="4"/>
      <c r="FR798" s="4"/>
      <c r="FS798" s="4"/>
      <c r="FT798" s="4"/>
      <c r="FU798" s="4"/>
      <c r="FV798" s="4"/>
      <c r="FW798" s="4"/>
      <c r="FX798" s="4"/>
      <c r="FY798" s="4"/>
      <c r="FZ798" s="4"/>
      <c r="GA798" s="4"/>
      <c r="GB798" s="4"/>
      <c r="GC798" s="4"/>
      <c r="GD798" s="4"/>
      <c r="GE798" s="4"/>
      <c r="GF798" s="4"/>
      <c r="GG798" s="4"/>
      <c r="GH798" s="4"/>
      <c r="GI798" s="4"/>
      <c r="GJ798" s="4"/>
      <c r="GK798" s="4"/>
      <c r="GL798" s="4"/>
      <c r="GM798" s="4"/>
      <c r="GN798" s="4"/>
      <c r="GO798" s="4"/>
      <c r="GP798" s="4"/>
      <c r="GQ798" s="4"/>
      <c r="GR798" s="4"/>
      <c r="GS798" s="4"/>
      <c r="GT798" s="4"/>
      <c r="GU798" s="4"/>
      <c r="GV798" s="4"/>
      <c r="GW798" s="4"/>
      <c r="GX798" s="4"/>
    </row>
    <row r="799">
      <c r="A799" s="2" t="s">
        <v>4805</v>
      </c>
      <c r="B799" s="2" t="s">
        <v>635</v>
      </c>
      <c r="C799" s="2" t="s">
        <v>636</v>
      </c>
      <c r="D799" s="2" t="s">
        <v>637</v>
      </c>
      <c r="E799" s="2" t="s">
        <v>638</v>
      </c>
      <c r="F799" s="2" t="s">
        <v>4801</v>
      </c>
      <c r="G799" s="2" t="s">
        <v>4801</v>
      </c>
      <c r="H799" s="2" t="s">
        <v>4801</v>
      </c>
      <c r="I799" s="2" t="s">
        <v>4806</v>
      </c>
      <c r="J799" s="2" t="s">
        <v>4807</v>
      </c>
      <c r="K799" s="2" t="s">
        <v>410</v>
      </c>
      <c r="L799" s="3">
        <v>16.01</v>
      </c>
      <c r="M799" s="3">
        <v>16.81</v>
      </c>
      <c r="N799" s="3">
        <v>34.99</v>
      </c>
      <c r="O799" s="2" t="s">
        <v>224</v>
      </c>
      <c r="P799" s="2" t="s">
        <v>225</v>
      </c>
      <c r="Q799" s="2" t="s">
        <v>226</v>
      </c>
      <c r="R799" s="2" t="s">
        <v>227</v>
      </c>
      <c r="S799" s="2" t="s">
        <v>227</v>
      </c>
      <c r="T799" s="2" t="s">
        <v>227</v>
      </c>
      <c r="U799" s="2" t="s">
        <v>552</v>
      </c>
      <c r="V799" s="2" t="s">
        <v>566</v>
      </c>
      <c r="W799" s="2" t="s">
        <v>231</v>
      </c>
      <c r="X799" s="2" t="s">
        <v>227</v>
      </c>
      <c r="Y799" s="2" t="s">
        <v>1626</v>
      </c>
      <c r="Z799" s="4">
        <v>253</v>
      </c>
      <c r="AA799" s="4">
        <f>=ROUNDDOWN(27.2043010752688,0)</f>
      </c>
      <c r="AB799" s="5">
        <v>9.3</v>
      </c>
      <c r="AC799" s="2" t="s">
        <v>161</v>
      </c>
      <c r="AD799" s="4">
        <v>240</v>
      </c>
      <c r="AE799" s="4">
        <v>240</v>
      </c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227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227</v>
      </c>
      <c r="AW799" s="8" t="s">
        <v>227</v>
      </c>
      <c r="AX799" s="4" t="s">
        <v>227</v>
      </c>
      <c r="AY799" s="8" t="s">
        <v>227</v>
      </c>
      <c r="AZ799" s="7" t="s">
        <v>227</v>
      </c>
      <c r="BA799" s="7" t="s">
        <v>227</v>
      </c>
      <c r="BB799" s="7"/>
      <c r="BC799" s="4" t="s">
        <v>227</v>
      </c>
      <c r="BD799" s="8" t="s">
        <v>227</v>
      </c>
      <c r="BE799" s="4" t="s">
        <v>227</v>
      </c>
      <c r="BF799" s="8" t="s">
        <v>227</v>
      </c>
      <c r="BG799" s="7" t="s">
        <v>227</v>
      </c>
      <c r="BH799" s="7" t="s">
        <v>227</v>
      </c>
      <c r="BI799" s="7"/>
      <c r="BJ799" s="4">
        <v>43</v>
      </c>
      <c r="BK799" s="8">
        <v>770.67</v>
      </c>
      <c r="BL799" s="2" t="s">
        <v>1977</v>
      </c>
      <c r="BM799" s="7"/>
      <c r="BN799" s="7"/>
      <c r="BO799" s="4"/>
      <c r="BP799" s="8"/>
      <c r="BQ799" s="4"/>
      <c r="BR799" s="8"/>
      <c r="BS799" s="7"/>
      <c r="BT799" s="7"/>
      <c r="BU799" s="2" t="s">
        <v>4808</v>
      </c>
      <c r="BV799" s="2" t="s">
        <v>227</v>
      </c>
      <c r="BW799" s="2" t="s">
        <v>227</v>
      </c>
      <c r="BX799" s="2" t="s">
        <v>235</v>
      </c>
      <c r="BY799" s="2" t="s">
        <v>236</v>
      </c>
      <c r="BZ799" s="2" t="s">
        <v>224</v>
      </c>
      <c r="CA799" s="2" t="s">
        <v>4277</v>
      </c>
      <c r="CB799" s="2" t="s">
        <v>227</v>
      </c>
      <c r="CC799" s="2" t="s">
        <v>239</v>
      </c>
      <c r="CD799" s="2" t="s">
        <v>227</v>
      </c>
      <c r="CE799" s="4">
        <v>253</v>
      </c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>
        <v>240</v>
      </c>
      <c r="EX799" s="4"/>
      <c r="EY799" s="4"/>
      <c r="EZ799" s="4"/>
      <c r="FA799" s="4"/>
      <c r="FB799" s="4"/>
      <c r="FC799" s="4"/>
      <c r="FD799" s="4"/>
      <c r="FE799" s="4"/>
      <c r="FF799" s="4"/>
      <c r="FG799" s="4"/>
      <c r="FH799" s="4"/>
      <c r="FI799" s="4"/>
      <c r="FJ799" s="4"/>
      <c r="FK799" s="4"/>
      <c r="FL799" s="4"/>
      <c r="FM799" s="4"/>
      <c r="FN799" s="4"/>
      <c r="FO799" s="4"/>
      <c r="FP799" s="4"/>
      <c r="FQ799" s="4"/>
      <c r="FR799" s="4"/>
      <c r="FS799" s="4"/>
      <c r="FT799" s="4"/>
      <c r="FU799" s="4"/>
      <c r="FV799" s="4"/>
      <c r="FW799" s="4"/>
      <c r="FX799" s="4"/>
      <c r="FY799" s="4"/>
      <c r="FZ799" s="4"/>
      <c r="GA799" s="4"/>
      <c r="GB799" s="4"/>
      <c r="GC799" s="4"/>
      <c r="GD799" s="4"/>
      <c r="GE799" s="4"/>
      <c r="GF799" s="4"/>
      <c r="GG799" s="4"/>
      <c r="GH799" s="4"/>
      <c r="GI799" s="4"/>
      <c r="GJ799" s="4"/>
      <c r="GK799" s="4"/>
      <c r="GL799" s="4"/>
      <c r="GM799" s="4"/>
      <c r="GN799" s="4"/>
      <c r="GO799" s="4"/>
      <c r="GP799" s="4"/>
      <c r="GQ799" s="4"/>
      <c r="GR799" s="4"/>
      <c r="GS799" s="4"/>
      <c r="GT799" s="4"/>
      <c r="GU799" s="4"/>
      <c r="GV799" s="4"/>
      <c r="GW799" s="4"/>
      <c r="GX799" s="4"/>
    </row>
    <row r="800">
      <c r="A800" s="2" t="s">
        <v>4809</v>
      </c>
      <c r="B800" s="2" t="s">
        <v>667</v>
      </c>
      <c r="C800" s="2" t="s">
        <v>668</v>
      </c>
      <c r="D800" s="2" t="s">
        <v>687</v>
      </c>
      <c r="E800" s="2" t="s">
        <v>688</v>
      </c>
      <c r="F800" s="2" t="s">
        <v>4810</v>
      </c>
      <c r="G800" s="2" t="s">
        <v>4810</v>
      </c>
      <c r="H800" s="2" t="s">
        <v>4810</v>
      </c>
      <c r="I800" s="2" t="s">
        <v>4811</v>
      </c>
      <c r="J800" s="2" t="s">
        <v>626</v>
      </c>
      <c r="K800" s="2" t="s">
        <v>2664</v>
      </c>
      <c r="L800" s="3">
        <v>51.84</v>
      </c>
      <c r="M800" s="3">
        <v>54.43</v>
      </c>
      <c r="N800" s="3">
        <v>104.99</v>
      </c>
      <c r="O800" s="2" t="s">
        <v>224</v>
      </c>
      <c r="P800" s="2" t="s">
        <v>485</v>
      </c>
      <c r="Q800" s="2" t="s">
        <v>226</v>
      </c>
      <c r="R800" s="2" t="s">
        <v>227</v>
      </c>
      <c r="S800" s="2" t="s">
        <v>4812</v>
      </c>
      <c r="T800" s="2" t="s">
        <v>286</v>
      </c>
      <c r="U800" s="2" t="s">
        <v>674</v>
      </c>
      <c r="V800" s="2" t="s">
        <v>4813</v>
      </c>
      <c r="W800" s="2" t="s">
        <v>836</v>
      </c>
      <c r="X800" s="2" t="s">
        <v>4813</v>
      </c>
      <c r="Y800" s="2" t="s">
        <v>4814</v>
      </c>
      <c r="Z800" s="4">
        <v>52</v>
      </c>
      <c r="AA800" s="4">
        <f>=ROUNDDOWN(5.77777777777778,0)</f>
      </c>
      <c r="AB800" s="5">
        <v>9</v>
      </c>
      <c r="AC800" s="2" t="s">
        <v>1810</v>
      </c>
      <c r="AD800" s="4">
        <v>100</v>
      </c>
      <c r="AE800" s="4">
        <v>490</v>
      </c>
      <c r="AF800" s="6">
        <v>66</v>
      </c>
      <c r="AG800" s="6"/>
      <c r="AH800" s="7">
        <v>1</v>
      </c>
      <c r="AI800" s="4"/>
      <c r="AJ800" s="4">
        <f>=ROUNDDOWN({0},0)</f>
      </c>
      <c r="AK800" s="5"/>
      <c r="AL800" s="2" t="s">
        <v>227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/>
      <c r="AW800" s="8"/>
      <c r="AX800" s="4"/>
      <c r="AY800" s="8"/>
      <c r="AZ800" s="7"/>
      <c r="BA800" s="7"/>
      <c r="BB800" s="7"/>
      <c r="BC800" s="4"/>
      <c r="BD800" s="8"/>
      <c r="BE800" s="4"/>
      <c r="BF800" s="8"/>
      <c r="BG800" s="7"/>
      <c r="BH800" s="7"/>
      <c r="BI800" s="7"/>
      <c r="BJ800" s="4">
        <v>39</v>
      </c>
      <c r="BK800" s="8">
        <v>2357.87</v>
      </c>
      <c r="BL800" s="2" t="s">
        <v>4815</v>
      </c>
      <c r="BM800" s="7"/>
      <c r="BN800" s="7"/>
      <c r="BO800" s="4"/>
      <c r="BP800" s="8"/>
      <c r="BQ800" s="4"/>
      <c r="BR800" s="8"/>
      <c r="BS800" s="7"/>
      <c r="BT800" s="7"/>
      <c r="BU800" s="2" t="s">
        <v>4816</v>
      </c>
      <c r="BV800" s="2" t="s">
        <v>227</v>
      </c>
      <c r="BW800" s="2" t="s">
        <v>227</v>
      </c>
      <c r="BX800" s="2" t="s">
        <v>235</v>
      </c>
      <c r="BY800" s="2" t="s">
        <v>236</v>
      </c>
      <c r="BZ800" s="2" t="s">
        <v>224</v>
      </c>
      <c r="CA800" s="2" t="s">
        <v>4814</v>
      </c>
      <c r="CB800" s="2" t="s">
        <v>4817</v>
      </c>
      <c r="CC800" s="2" t="s">
        <v>239</v>
      </c>
      <c r="CD800" s="2" t="s">
        <v>227</v>
      </c>
      <c r="CE800" s="4">
        <v>52</v>
      </c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>
        <v>100</v>
      </c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>
        <v>60</v>
      </c>
      <c r="EY800" s="4"/>
      <c r="EZ800" s="4">
        <v>330</v>
      </c>
      <c r="FA800" s="4"/>
      <c r="FB800" s="4"/>
      <c r="FC800" s="4"/>
      <c r="FD800" s="4"/>
      <c r="FE800" s="4"/>
      <c r="FF800" s="4"/>
      <c r="FG800" s="4"/>
      <c r="FH800" s="4"/>
      <c r="FI800" s="4"/>
      <c r="FJ800" s="4"/>
      <c r="FK800" s="4"/>
      <c r="FL800" s="4"/>
      <c r="FM800" s="4"/>
      <c r="FN800" s="4"/>
      <c r="FO800" s="4"/>
      <c r="FP800" s="4"/>
      <c r="FQ800" s="4"/>
      <c r="FR800" s="4"/>
      <c r="FS800" s="4"/>
      <c r="FT800" s="4"/>
      <c r="FU800" s="4"/>
      <c r="FV800" s="4"/>
      <c r="FW800" s="4"/>
      <c r="FX800" s="4"/>
      <c r="FY800" s="4"/>
      <c r="FZ800" s="4"/>
      <c r="GA800" s="4"/>
      <c r="GB800" s="4"/>
      <c r="GC800" s="4"/>
      <c r="GD800" s="4"/>
      <c r="GE800" s="4"/>
      <c r="GF800" s="4"/>
      <c r="GG800" s="4"/>
      <c r="GH800" s="4"/>
      <c r="GI800" s="4"/>
      <c r="GJ800" s="4"/>
      <c r="GK800" s="4"/>
      <c r="GL800" s="4"/>
      <c r="GM800" s="4"/>
      <c r="GN800" s="4"/>
      <c r="GO800" s="4"/>
      <c r="GP800" s="4"/>
      <c r="GQ800" s="4"/>
      <c r="GR800" s="4"/>
      <c r="GS800" s="4"/>
      <c r="GT800" s="4"/>
      <c r="GU800" s="4"/>
      <c r="GV800" s="4"/>
      <c r="GW800" s="4"/>
      <c r="GX800" s="4"/>
    </row>
    <row r="801">
      <c r="A801" s="2" t="s">
        <v>4818</v>
      </c>
      <c r="B801" s="2" t="s">
        <v>542</v>
      </c>
      <c r="C801" s="2" t="s">
        <v>668</v>
      </c>
      <c r="D801" s="2" t="s">
        <v>1052</v>
      </c>
      <c r="E801" s="2" t="s">
        <v>545</v>
      </c>
      <c r="F801" s="2" t="s">
        <v>4819</v>
      </c>
      <c r="G801" s="2" t="s">
        <v>4819</v>
      </c>
      <c r="H801" s="2" t="s">
        <v>4819</v>
      </c>
      <c r="I801" s="2" t="s">
        <v>4820</v>
      </c>
      <c r="J801" s="2" t="s">
        <v>548</v>
      </c>
      <c r="K801" s="2" t="s">
        <v>976</v>
      </c>
      <c r="L801" s="3">
        <v>47.61</v>
      </c>
      <c r="M801" s="3">
        <v>49.99</v>
      </c>
      <c r="N801" s="3">
        <v>99.99</v>
      </c>
      <c r="O801" s="2" t="s">
        <v>224</v>
      </c>
      <c r="P801" s="2" t="s">
        <v>580</v>
      </c>
      <c r="Q801" s="2" t="s">
        <v>226</v>
      </c>
      <c r="R801" s="2" t="s">
        <v>227</v>
      </c>
      <c r="S801" s="2" t="s">
        <v>227</v>
      </c>
      <c r="T801" s="2" t="s">
        <v>227</v>
      </c>
      <c r="U801" s="2" t="s">
        <v>1044</v>
      </c>
      <c r="V801" s="2" t="s">
        <v>4821</v>
      </c>
      <c r="W801" s="2" t="s">
        <v>836</v>
      </c>
      <c r="X801" s="2" t="s">
        <v>676</v>
      </c>
      <c r="Y801" s="2" t="s">
        <v>4822</v>
      </c>
      <c r="Z801" s="4">
        <v>57</v>
      </c>
      <c r="AA801" s="4">
        <f>=ROUNDDOWN(57,0)</f>
      </c>
      <c r="AB801" s="5">
        <v>1</v>
      </c>
      <c r="AC801" s="2" t="s">
        <v>227</v>
      </c>
      <c r="AD801" s="4"/>
      <c r="AE801" s="4"/>
      <c r="AF801" s="6">
        <v>63</v>
      </c>
      <c r="AG801" s="6"/>
      <c r="AH801" s="7">
        <v>1</v>
      </c>
      <c r="AI801" s="4"/>
      <c r="AJ801" s="4">
        <f>=ROUNDDOWN({0},0)</f>
      </c>
      <c r="AK801" s="5"/>
      <c r="AL801" s="2" t="s">
        <v>227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/>
      <c r="AW801" s="8"/>
      <c r="AX801" s="4"/>
      <c r="AY801" s="8"/>
      <c r="AZ801" s="7"/>
      <c r="BA801" s="7"/>
      <c r="BB801" s="7"/>
      <c r="BC801" s="4"/>
      <c r="BD801" s="8"/>
      <c r="BE801" s="4"/>
      <c r="BF801" s="8"/>
      <c r="BG801" s="7"/>
      <c r="BH801" s="7"/>
      <c r="BI801" s="7"/>
      <c r="BJ801" s="4">
        <v>3</v>
      </c>
      <c r="BK801" s="8">
        <v>161.46</v>
      </c>
      <c r="BL801" s="2" t="s">
        <v>1155</v>
      </c>
      <c r="BM801" s="7"/>
      <c r="BN801" s="7"/>
      <c r="BO801" s="4"/>
      <c r="BP801" s="8"/>
      <c r="BQ801" s="4"/>
      <c r="BR801" s="8"/>
      <c r="BS801" s="7"/>
      <c r="BT801" s="7"/>
      <c r="BU801" s="2" t="s">
        <v>4823</v>
      </c>
      <c r="BV801" s="2" t="s">
        <v>227</v>
      </c>
      <c r="BW801" s="2" t="s">
        <v>227</v>
      </c>
      <c r="BX801" s="2" t="s">
        <v>235</v>
      </c>
      <c r="BY801" s="2" t="s">
        <v>236</v>
      </c>
      <c r="BZ801" s="2" t="s">
        <v>224</v>
      </c>
      <c r="CA801" s="2" t="s">
        <v>293</v>
      </c>
      <c r="CB801" s="2" t="s">
        <v>227</v>
      </c>
      <c r="CC801" s="2" t="s">
        <v>239</v>
      </c>
      <c r="CD801" s="2" t="s">
        <v>227</v>
      </c>
      <c r="CE801" s="4"/>
      <c r="CF801" s="4">
        <v>57</v>
      </c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/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/>
      <c r="FB801" s="4"/>
      <c r="FC801" s="4"/>
      <c r="FD801" s="4"/>
      <c r="FE801" s="4"/>
      <c r="FF801" s="4"/>
      <c r="FG801" s="4"/>
      <c r="FH801" s="4"/>
      <c r="FI801" s="4"/>
      <c r="FJ801" s="4"/>
      <c r="FK801" s="4"/>
      <c r="FL801" s="4"/>
      <c r="FM801" s="4"/>
      <c r="FN801" s="4"/>
      <c r="FO801" s="4"/>
      <c r="FP801" s="4"/>
      <c r="FQ801" s="4"/>
      <c r="FR801" s="4"/>
      <c r="FS801" s="4"/>
      <c r="FT801" s="4"/>
      <c r="FU801" s="4"/>
      <c r="FV801" s="4"/>
      <c r="FW801" s="4"/>
      <c r="FX801" s="4"/>
      <c r="FY801" s="4"/>
      <c r="FZ801" s="4"/>
      <c r="GA801" s="4"/>
      <c r="GB801" s="4"/>
      <c r="GC801" s="4"/>
      <c r="GD801" s="4"/>
      <c r="GE801" s="4"/>
      <c r="GF801" s="4"/>
      <c r="GG801" s="4"/>
      <c r="GH801" s="4"/>
      <c r="GI801" s="4"/>
      <c r="GJ801" s="4"/>
      <c r="GK801" s="4"/>
      <c r="GL801" s="4"/>
      <c r="GM801" s="4"/>
      <c r="GN801" s="4"/>
      <c r="GO801" s="4"/>
      <c r="GP801" s="4"/>
      <c r="GQ801" s="4"/>
      <c r="GR801" s="4"/>
      <c r="GS801" s="4"/>
      <c r="GT801" s="4"/>
      <c r="GU801" s="4"/>
      <c r="GV801" s="4"/>
      <c r="GW801" s="4"/>
      <c r="GX801" s="4"/>
    </row>
    <row r="802">
      <c r="A802" s="2" t="s">
        <v>4824</v>
      </c>
      <c r="B802" s="2" t="s">
        <v>573</v>
      </c>
      <c r="C802" s="2" t="s">
        <v>668</v>
      </c>
      <c r="D802" s="2" t="s">
        <v>832</v>
      </c>
      <c r="E802" s="2" t="s">
        <v>833</v>
      </c>
      <c r="F802" s="2" t="s">
        <v>4825</v>
      </c>
      <c r="G802" s="2" t="s">
        <v>4825</v>
      </c>
      <c r="H802" s="2" t="s">
        <v>4825</v>
      </c>
      <c r="I802" s="2" t="s">
        <v>4826</v>
      </c>
      <c r="J802" s="2" t="s">
        <v>548</v>
      </c>
      <c r="K802" s="2" t="s">
        <v>1242</v>
      </c>
      <c r="L802" s="3">
        <v>180.5</v>
      </c>
      <c r="M802" s="3">
        <v>189.52</v>
      </c>
      <c r="N802" s="3">
        <v>379</v>
      </c>
      <c r="O802" s="2" t="s">
        <v>224</v>
      </c>
      <c r="P802" s="2" t="s">
        <v>550</v>
      </c>
      <c r="Q802" s="2" t="s">
        <v>226</v>
      </c>
      <c r="R802" s="2" t="s">
        <v>227</v>
      </c>
      <c r="S802" s="2" t="s">
        <v>227</v>
      </c>
      <c r="T802" s="2" t="s">
        <v>227</v>
      </c>
      <c r="U802" s="2" t="s">
        <v>552</v>
      </c>
      <c r="V802" s="2" t="s">
        <v>230</v>
      </c>
      <c r="W802" s="2" t="s">
        <v>676</v>
      </c>
      <c r="X802" s="2" t="s">
        <v>227</v>
      </c>
      <c r="Y802" s="2" t="s">
        <v>4827</v>
      </c>
      <c r="Z802" s="4">
        <v>226</v>
      </c>
      <c r="AA802" s="4">
        <f>=ROUNDDOWN(83.7037037037037,0)</f>
      </c>
      <c r="AB802" s="5">
        <v>2.7</v>
      </c>
      <c r="AC802" s="2" t="s">
        <v>1085</v>
      </c>
      <c r="AD802" s="4">
        <v>70</v>
      </c>
      <c r="AE802" s="4">
        <v>260</v>
      </c>
      <c r="AF802" s="6">
        <v>74</v>
      </c>
      <c r="AG802" s="6">
        <v>60</v>
      </c>
      <c r="AH802" s="7">
        <v>1</v>
      </c>
      <c r="AI802" s="4"/>
      <c r="AJ802" s="4">
        <f>=ROUNDDOWN({0},0)</f>
      </c>
      <c r="AK802" s="5">
        <v>13.6</v>
      </c>
      <c r="AL802" s="2" t="s">
        <v>227</v>
      </c>
      <c r="AM802" s="4"/>
      <c r="AN802" s="4"/>
      <c r="AO802" s="7">
        <v>0.5484</v>
      </c>
      <c r="AP802" s="4"/>
      <c r="AQ802" s="8"/>
      <c r="AR802" s="4"/>
      <c r="AS802" s="8"/>
      <c r="AT802" s="7"/>
      <c r="AU802" s="7"/>
      <c r="AV802" s="4"/>
      <c r="AW802" s="8"/>
      <c r="AX802" s="4"/>
      <c r="AY802" s="8"/>
      <c r="AZ802" s="7"/>
      <c r="BA802" s="7"/>
      <c r="BB802" s="7"/>
      <c r="BC802" s="4" t="s">
        <v>227</v>
      </c>
      <c r="BD802" s="8" t="s">
        <v>227</v>
      </c>
      <c r="BE802" s="4" t="s">
        <v>227</v>
      </c>
      <c r="BF802" s="8" t="s">
        <v>227</v>
      </c>
      <c r="BG802" s="7" t="s">
        <v>227</v>
      </c>
      <c r="BH802" s="7" t="s">
        <v>227</v>
      </c>
      <c r="BI802" s="7"/>
      <c r="BJ802" s="4">
        <v>51</v>
      </c>
      <c r="BK802" s="8">
        <v>8435.1</v>
      </c>
      <c r="BL802" s="2" t="s">
        <v>4828</v>
      </c>
      <c r="BM802" s="7"/>
      <c r="BN802" s="7"/>
      <c r="BO802" s="4"/>
      <c r="BP802" s="8"/>
      <c r="BQ802" s="4"/>
      <c r="BR802" s="8"/>
      <c r="BS802" s="7"/>
      <c r="BT802" s="7"/>
      <c r="BU802" s="2" t="s">
        <v>4829</v>
      </c>
      <c r="BV802" s="2" t="s">
        <v>227</v>
      </c>
      <c r="BW802" s="2" t="s">
        <v>227</v>
      </c>
      <c r="BX802" s="2" t="s">
        <v>4364</v>
      </c>
      <c r="BY802" s="2" t="s">
        <v>236</v>
      </c>
      <c r="BZ802" s="2" t="s">
        <v>224</v>
      </c>
      <c r="CA802" s="2" t="s">
        <v>4830</v>
      </c>
      <c r="CB802" s="2" t="s">
        <v>4831</v>
      </c>
      <c r="CC802" s="2" t="s">
        <v>239</v>
      </c>
      <c r="CD802" s="2" t="s">
        <v>227</v>
      </c>
      <c r="CE802" s="4"/>
      <c r="CF802" s="4">
        <v>226</v>
      </c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>
        <v>70</v>
      </c>
      <c r="DX802" s="4"/>
      <c r="DY802" s="4"/>
      <c r="DZ802" s="4"/>
      <c r="EA802" s="4"/>
      <c r="EB802" s="4"/>
      <c r="EC802" s="4">
        <v>50</v>
      </c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/>
      <c r="FD802" s="4"/>
      <c r="FE802" s="4">
        <v>140</v>
      </c>
      <c r="FF802" s="4"/>
      <c r="FG802" s="4"/>
      <c r="FH802" s="4"/>
      <c r="FI802" s="4"/>
      <c r="FJ802" s="4"/>
      <c r="FK802" s="4"/>
      <c r="FL802" s="4"/>
      <c r="FM802" s="4"/>
      <c r="FN802" s="4"/>
      <c r="FO802" s="4"/>
      <c r="FP802" s="4"/>
      <c r="FQ802" s="4"/>
      <c r="FR802" s="4"/>
      <c r="FS802" s="4"/>
      <c r="FT802" s="4"/>
      <c r="FU802" s="4"/>
      <c r="FV802" s="4"/>
      <c r="FW802" s="4"/>
      <c r="FX802" s="4"/>
      <c r="FY802" s="4"/>
      <c r="FZ802" s="4"/>
      <c r="GA802" s="4"/>
      <c r="GB802" s="4"/>
      <c r="GC802" s="4"/>
      <c r="GD802" s="4"/>
      <c r="GE802" s="4"/>
      <c r="GF802" s="4"/>
      <c r="GG802" s="4"/>
      <c r="GH802" s="4"/>
      <c r="GI802" s="4"/>
      <c r="GJ802" s="4"/>
      <c r="GK802" s="4"/>
      <c r="GL802" s="4"/>
      <c r="GM802" s="4"/>
      <c r="GN802" s="4"/>
      <c r="GO802" s="4"/>
      <c r="GP802" s="4"/>
      <c r="GQ802" s="4"/>
      <c r="GR802" s="4"/>
      <c r="GS802" s="4"/>
      <c r="GT802" s="4"/>
      <c r="GU802" s="4"/>
      <c r="GV802" s="4"/>
      <c r="GW802" s="4"/>
      <c r="GX802" s="4"/>
    </row>
    <row r="803">
      <c r="A803" s="2" t="s">
        <v>4832</v>
      </c>
      <c r="B803" s="2" t="s">
        <v>573</v>
      </c>
      <c r="C803" s="2" t="s">
        <v>668</v>
      </c>
      <c r="D803" s="2" t="s">
        <v>832</v>
      </c>
      <c r="E803" s="2" t="s">
        <v>833</v>
      </c>
      <c r="F803" s="2" t="s">
        <v>4825</v>
      </c>
      <c r="G803" s="2" t="s">
        <v>4825</v>
      </c>
      <c r="H803" s="2" t="s">
        <v>4825</v>
      </c>
      <c r="I803" s="2" t="s">
        <v>4826</v>
      </c>
      <c r="J803" s="2" t="s">
        <v>548</v>
      </c>
      <c r="K803" s="2" t="s">
        <v>1477</v>
      </c>
      <c r="L803" s="3">
        <v>180.5</v>
      </c>
      <c r="M803" s="3">
        <v>189.52</v>
      </c>
      <c r="N803" s="3">
        <v>379</v>
      </c>
      <c r="O803" s="2" t="s">
        <v>224</v>
      </c>
      <c r="P803" s="2" t="s">
        <v>225</v>
      </c>
      <c r="Q803" s="2" t="s">
        <v>226</v>
      </c>
      <c r="R803" s="2" t="s">
        <v>227</v>
      </c>
      <c r="S803" s="2" t="s">
        <v>227</v>
      </c>
      <c r="T803" s="2" t="s">
        <v>227</v>
      </c>
      <c r="U803" s="2" t="s">
        <v>552</v>
      </c>
      <c r="V803" s="2" t="s">
        <v>230</v>
      </c>
      <c r="W803" s="2" t="s">
        <v>676</v>
      </c>
      <c r="X803" s="2" t="s">
        <v>227</v>
      </c>
      <c r="Y803" s="2" t="s">
        <v>4833</v>
      </c>
      <c r="Z803" s="4">
        <v>233</v>
      </c>
      <c r="AA803" s="4">
        <f>=ROUNDDOWN(86.2962962962963,0)</f>
      </c>
      <c r="AB803" s="5">
        <v>2.7</v>
      </c>
      <c r="AC803" s="2" t="s">
        <v>169</v>
      </c>
      <c r="AD803" s="4">
        <v>100</v>
      </c>
      <c r="AE803" s="4">
        <v>270</v>
      </c>
      <c r="AF803" s="6">
        <v>74</v>
      </c>
      <c r="AG803" s="6">
        <v>60</v>
      </c>
      <c r="AH803" s="7">
        <v>1</v>
      </c>
      <c r="AI803" s="4"/>
      <c r="AJ803" s="4">
        <f>=ROUNDDOWN({0},0)</f>
      </c>
      <c r="AK803" s="5">
        <v>10.3</v>
      </c>
      <c r="AL803" s="2" t="s">
        <v>227</v>
      </c>
      <c r="AM803" s="4"/>
      <c r="AN803" s="4"/>
      <c r="AO803" s="7">
        <v>0.5484</v>
      </c>
      <c r="AP803" s="4"/>
      <c r="AQ803" s="8"/>
      <c r="AR803" s="4"/>
      <c r="AS803" s="8"/>
      <c r="AT803" s="7"/>
      <c r="AU803" s="7"/>
      <c r="AV803" s="4"/>
      <c r="AW803" s="8"/>
      <c r="AX803" s="4"/>
      <c r="AY803" s="8"/>
      <c r="AZ803" s="7"/>
      <c r="BA803" s="7"/>
      <c r="BB803" s="7"/>
      <c r="BC803" s="4" t="s">
        <v>227</v>
      </c>
      <c r="BD803" s="8" t="s">
        <v>227</v>
      </c>
      <c r="BE803" s="4" t="s">
        <v>227</v>
      </c>
      <c r="BF803" s="8" t="s">
        <v>227</v>
      </c>
      <c r="BG803" s="7" t="s">
        <v>227</v>
      </c>
      <c r="BH803" s="7" t="s">
        <v>227</v>
      </c>
      <c r="BI803" s="7"/>
      <c r="BJ803" s="4">
        <v>43</v>
      </c>
      <c r="BK803" s="8">
        <v>7253.48</v>
      </c>
      <c r="BL803" s="2" t="s">
        <v>4828</v>
      </c>
      <c r="BM803" s="7"/>
      <c r="BN803" s="7"/>
      <c r="BO803" s="4"/>
      <c r="BP803" s="8"/>
      <c r="BQ803" s="4"/>
      <c r="BR803" s="8"/>
      <c r="BS803" s="7"/>
      <c r="BT803" s="7"/>
      <c r="BU803" s="2" t="s">
        <v>4834</v>
      </c>
      <c r="BV803" s="2" t="s">
        <v>227</v>
      </c>
      <c r="BW803" s="2" t="s">
        <v>227</v>
      </c>
      <c r="BX803" s="2" t="s">
        <v>4364</v>
      </c>
      <c r="BY803" s="2" t="s">
        <v>236</v>
      </c>
      <c r="BZ803" s="2" t="s">
        <v>224</v>
      </c>
      <c r="CA803" s="2" t="s">
        <v>2515</v>
      </c>
      <c r="CB803" s="2" t="s">
        <v>4835</v>
      </c>
      <c r="CC803" s="2" t="s">
        <v>239</v>
      </c>
      <c r="CD803" s="2" t="s">
        <v>227</v>
      </c>
      <c r="CE803" s="4"/>
      <c r="CF803" s="4">
        <v>233</v>
      </c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/>
      <c r="FA803" s="4"/>
      <c r="FB803" s="4"/>
      <c r="FC803" s="4"/>
      <c r="FD803" s="4"/>
      <c r="FE803" s="4">
        <v>100</v>
      </c>
      <c r="FF803" s="4"/>
      <c r="FG803" s="4"/>
      <c r="FH803" s="4"/>
      <c r="FI803" s="4"/>
      <c r="FJ803" s="4"/>
      <c r="FK803" s="4"/>
      <c r="FL803" s="4"/>
      <c r="FM803" s="4"/>
      <c r="FN803" s="4"/>
      <c r="FO803" s="4"/>
      <c r="FP803" s="4"/>
      <c r="FQ803" s="4"/>
      <c r="FR803" s="4"/>
      <c r="FS803" s="4"/>
      <c r="FT803" s="4"/>
      <c r="FU803" s="4"/>
      <c r="FV803" s="4"/>
      <c r="FW803" s="4"/>
      <c r="FX803" s="4"/>
      <c r="FY803" s="4"/>
      <c r="FZ803" s="4"/>
      <c r="GA803" s="4"/>
      <c r="GB803" s="4"/>
      <c r="GC803" s="4"/>
      <c r="GD803" s="4"/>
      <c r="GE803" s="4"/>
      <c r="GF803" s="4"/>
      <c r="GG803" s="4"/>
      <c r="GH803" s="4"/>
      <c r="GI803" s="4"/>
      <c r="GJ803" s="4"/>
      <c r="GK803" s="4"/>
      <c r="GL803" s="4"/>
      <c r="GM803" s="4"/>
      <c r="GN803" s="4"/>
      <c r="GO803" s="4"/>
      <c r="GP803" s="4"/>
      <c r="GQ803" s="4"/>
      <c r="GR803" s="4"/>
      <c r="GS803" s="4">
        <v>170</v>
      </c>
      <c r="GT803" s="4"/>
      <c r="GU803" s="4"/>
      <c r="GV803" s="4"/>
      <c r="GW803" s="4"/>
      <c r="GX803" s="4"/>
    </row>
    <row r="804">
      <c r="A804" s="2" t="s">
        <v>4836</v>
      </c>
      <c r="B804" s="2" t="s">
        <v>1001</v>
      </c>
      <c r="C804" s="2" t="s">
        <v>1139</v>
      </c>
      <c r="D804" s="2" t="s">
        <v>1140</v>
      </c>
      <c r="E804" s="2" t="s">
        <v>1141</v>
      </c>
      <c r="F804" s="2" t="s">
        <v>4837</v>
      </c>
      <c r="G804" s="2" t="s">
        <v>4837</v>
      </c>
      <c r="H804" s="2" t="s">
        <v>4837</v>
      </c>
      <c r="I804" s="2" t="s">
        <v>4838</v>
      </c>
      <c r="J804" s="2" t="s">
        <v>548</v>
      </c>
      <c r="K804" s="2" t="s">
        <v>976</v>
      </c>
      <c r="L804" s="3">
        <v>26.78</v>
      </c>
      <c r="M804" s="3">
        <v>28.12</v>
      </c>
      <c r="N804" s="3">
        <v>59.99</v>
      </c>
      <c r="O804" s="2" t="s">
        <v>224</v>
      </c>
      <c r="P804" s="2" t="s">
        <v>225</v>
      </c>
      <c r="Q804" s="2" t="s">
        <v>226</v>
      </c>
      <c r="R804" s="2" t="s">
        <v>227</v>
      </c>
      <c r="S804" s="2" t="s">
        <v>227</v>
      </c>
      <c r="T804" s="2" t="s">
        <v>227</v>
      </c>
      <c r="U804" s="2" t="s">
        <v>552</v>
      </c>
      <c r="V804" s="2" t="s">
        <v>566</v>
      </c>
      <c r="W804" s="2" t="s">
        <v>836</v>
      </c>
      <c r="X804" s="2" t="s">
        <v>227</v>
      </c>
      <c r="Y804" s="2" t="s">
        <v>1144</v>
      </c>
      <c r="Z804" s="4">
        <v>139</v>
      </c>
      <c r="AA804" s="4">
        <f>=ROUNDDOWN(44.8387096774194,0)</f>
      </c>
      <c r="AB804" s="5">
        <v>3.1</v>
      </c>
      <c r="AC804" s="2" t="s">
        <v>227</v>
      </c>
      <c r="AD804" s="4"/>
      <c r="AE804" s="4"/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227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/>
      <c r="AW804" s="8"/>
      <c r="AX804" s="4"/>
      <c r="AY804" s="8"/>
      <c r="AZ804" s="7"/>
      <c r="BA804" s="7"/>
      <c r="BB804" s="7"/>
      <c r="BC804" s="4" t="s">
        <v>227</v>
      </c>
      <c r="BD804" s="8" t="s">
        <v>227</v>
      </c>
      <c r="BE804" s="4" t="s">
        <v>227</v>
      </c>
      <c r="BF804" s="8" t="s">
        <v>227</v>
      </c>
      <c r="BG804" s="7" t="s">
        <v>227</v>
      </c>
      <c r="BH804" s="7" t="s">
        <v>227</v>
      </c>
      <c r="BI804" s="7"/>
      <c r="BJ804" s="4">
        <v>7</v>
      </c>
      <c r="BK804" s="8">
        <v>205.01</v>
      </c>
      <c r="BL804" s="2" t="s">
        <v>4839</v>
      </c>
      <c r="BM804" s="7"/>
      <c r="BN804" s="7"/>
      <c r="BO804" s="4"/>
      <c r="BP804" s="8"/>
      <c r="BQ804" s="4"/>
      <c r="BR804" s="8"/>
      <c r="BS804" s="7"/>
      <c r="BT804" s="7"/>
      <c r="BU804" s="2" t="s">
        <v>4840</v>
      </c>
      <c r="BV804" s="2" t="s">
        <v>227</v>
      </c>
      <c r="BW804" s="2" t="s">
        <v>227</v>
      </c>
      <c r="BX804" s="2" t="s">
        <v>235</v>
      </c>
      <c r="BY804" s="2" t="s">
        <v>236</v>
      </c>
      <c r="BZ804" s="2" t="s">
        <v>224</v>
      </c>
      <c r="CA804" s="2" t="s">
        <v>1147</v>
      </c>
      <c r="CB804" s="2" t="s">
        <v>1050</v>
      </c>
      <c r="CC804" s="2" t="s">
        <v>239</v>
      </c>
      <c r="CD804" s="2" t="s">
        <v>227</v>
      </c>
      <c r="CE804" s="4"/>
      <c r="CF804" s="4">
        <v>139</v>
      </c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/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/>
      <c r="FA804" s="4"/>
      <c r="FB804" s="4"/>
      <c r="FC804" s="4"/>
      <c r="FD804" s="4"/>
      <c r="FE804" s="4"/>
      <c r="FF804" s="4"/>
      <c r="FG804" s="4"/>
      <c r="FH804" s="4"/>
      <c r="FI804" s="4"/>
      <c r="FJ804" s="4"/>
      <c r="FK804" s="4"/>
      <c r="FL804" s="4"/>
      <c r="FM804" s="4"/>
      <c r="FN804" s="4"/>
      <c r="FO804" s="4"/>
      <c r="FP804" s="4"/>
      <c r="FQ804" s="4"/>
      <c r="FR804" s="4"/>
      <c r="FS804" s="4"/>
      <c r="FT804" s="4"/>
      <c r="FU804" s="4"/>
      <c r="FV804" s="4"/>
      <c r="FW804" s="4"/>
      <c r="FX804" s="4"/>
      <c r="FY804" s="4"/>
      <c r="FZ804" s="4"/>
      <c r="GA804" s="4"/>
      <c r="GB804" s="4"/>
      <c r="GC804" s="4"/>
      <c r="GD804" s="4"/>
      <c r="GE804" s="4"/>
      <c r="GF804" s="4"/>
      <c r="GG804" s="4"/>
      <c r="GH804" s="4"/>
      <c r="GI804" s="4"/>
      <c r="GJ804" s="4"/>
      <c r="GK804" s="4"/>
      <c r="GL804" s="4"/>
      <c r="GM804" s="4"/>
      <c r="GN804" s="4"/>
      <c r="GO804" s="4"/>
      <c r="GP804" s="4"/>
      <c r="GQ804" s="4"/>
      <c r="GR804" s="4"/>
      <c r="GS804" s="4"/>
      <c r="GT804" s="4"/>
      <c r="GU804" s="4"/>
      <c r="GV804" s="4"/>
      <c r="GW804" s="4"/>
      <c r="GX804" s="4"/>
    </row>
    <row r="805">
      <c r="A805" s="2" t="s">
        <v>4841</v>
      </c>
      <c r="B805" s="2" t="s">
        <v>1001</v>
      </c>
      <c r="C805" s="2" t="s">
        <v>1139</v>
      </c>
      <c r="D805" s="2" t="s">
        <v>1140</v>
      </c>
      <c r="E805" s="2" t="s">
        <v>1141</v>
      </c>
      <c r="F805" s="2" t="s">
        <v>4837</v>
      </c>
      <c r="G805" s="2" t="s">
        <v>4837</v>
      </c>
      <c r="H805" s="2" t="s">
        <v>4837</v>
      </c>
      <c r="I805" s="2" t="s">
        <v>4838</v>
      </c>
      <c r="J805" s="2" t="s">
        <v>548</v>
      </c>
      <c r="K805" s="2" t="s">
        <v>264</v>
      </c>
      <c r="L805" s="3">
        <v>28.19</v>
      </c>
      <c r="M805" s="3">
        <v>29.6</v>
      </c>
      <c r="N805" s="3">
        <v>59.99</v>
      </c>
      <c r="O805" s="2" t="s">
        <v>224</v>
      </c>
      <c r="P805" s="2" t="s">
        <v>225</v>
      </c>
      <c r="Q805" s="2" t="s">
        <v>226</v>
      </c>
      <c r="R805" s="2" t="s">
        <v>227</v>
      </c>
      <c r="S805" s="2" t="s">
        <v>227</v>
      </c>
      <c r="T805" s="2" t="s">
        <v>227</v>
      </c>
      <c r="U805" s="2" t="s">
        <v>552</v>
      </c>
      <c r="V805" s="2" t="s">
        <v>566</v>
      </c>
      <c r="W805" s="2" t="s">
        <v>836</v>
      </c>
      <c r="X805" s="2" t="s">
        <v>227</v>
      </c>
      <c r="Y805" s="2" t="s">
        <v>1144</v>
      </c>
      <c r="Z805" s="4">
        <v>137</v>
      </c>
      <c r="AA805" s="4">
        <f>=ROUNDDOWN(45.6666666666667,0)</f>
      </c>
      <c r="AB805" s="5">
        <v>3</v>
      </c>
      <c r="AC805" s="2" t="s">
        <v>227</v>
      </c>
      <c r="AD805" s="4"/>
      <c r="AE805" s="4"/>
      <c r="AF805" s="6">
        <v>65</v>
      </c>
      <c r="AG805" s="6"/>
      <c r="AH805" s="7">
        <v>1</v>
      </c>
      <c r="AI805" s="4"/>
      <c r="AJ805" s="4">
        <f>=ROUNDDOWN({0},0)</f>
      </c>
      <c r="AK805" s="5"/>
      <c r="AL805" s="2" t="s">
        <v>227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/>
      <c r="AW805" s="8"/>
      <c r="AX805" s="4"/>
      <c r="AY805" s="8"/>
      <c r="AZ805" s="7"/>
      <c r="BA805" s="7"/>
      <c r="BB805" s="7"/>
      <c r="BC805" s="4" t="s">
        <v>227</v>
      </c>
      <c r="BD805" s="8" t="s">
        <v>227</v>
      </c>
      <c r="BE805" s="4" t="s">
        <v>227</v>
      </c>
      <c r="BF805" s="8" t="s">
        <v>227</v>
      </c>
      <c r="BG805" s="7" t="s">
        <v>227</v>
      </c>
      <c r="BH805" s="7" t="s">
        <v>227</v>
      </c>
      <c r="BI805" s="7"/>
      <c r="BJ805" s="4">
        <v>13</v>
      </c>
      <c r="BK805" s="8">
        <v>372.8</v>
      </c>
      <c r="BL805" s="2" t="s">
        <v>4842</v>
      </c>
      <c r="BM805" s="7"/>
      <c r="BN805" s="7"/>
      <c r="BO805" s="4"/>
      <c r="BP805" s="8"/>
      <c r="BQ805" s="4"/>
      <c r="BR805" s="8"/>
      <c r="BS805" s="7"/>
      <c r="BT805" s="7"/>
      <c r="BU805" s="2" t="s">
        <v>4843</v>
      </c>
      <c r="BV805" s="2" t="s">
        <v>227</v>
      </c>
      <c r="BW805" s="2" t="s">
        <v>227</v>
      </c>
      <c r="BX805" s="2" t="s">
        <v>235</v>
      </c>
      <c r="BY805" s="2" t="s">
        <v>236</v>
      </c>
      <c r="BZ805" s="2" t="s">
        <v>224</v>
      </c>
      <c r="CA805" s="2" t="s">
        <v>1147</v>
      </c>
      <c r="CB805" s="2" t="s">
        <v>4844</v>
      </c>
      <c r="CC805" s="2" t="s">
        <v>239</v>
      </c>
      <c r="CD805" s="2" t="s">
        <v>227</v>
      </c>
      <c r="CE805" s="4">
        <v>2</v>
      </c>
      <c r="CF805" s="4">
        <v>135</v>
      </c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/>
      <c r="FD805" s="4"/>
      <c r="FE805" s="4"/>
      <c r="FF805" s="4"/>
      <c r="FG805" s="4"/>
      <c r="FH805" s="4"/>
      <c r="FI805" s="4"/>
      <c r="FJ805" s="4"/>
      <c r="FK805" s="4"/>
      <c r="FL805" s="4"/>
      <c r="FM805" s="4"/>
      <c r="FN805" s="4"/>
      <c r="FO805" s="4"/>
      <c r="FP805" s="4"/>
      <c r="FQ805" s="4"/>
      <c r="FR805" s="4"/>
      <c r="FS805" s="4"/>
      <c r="FT805" s="4"/>
      <c r="FU805" s="4"/>
      <c r="FV805" s="4"/>
      <c r="FW805" s="4"/>
      <c r="FX805" s="4"/>
      <c r="FY805" s="4"/>
      <c r="FZ805" s="4"/>
      <c r="GA805" s="4"/>
      <c r="GB805" s="4"/>
      <c r="GC805" s="4"/>
      <c r="GD805" s="4"/>
      <c r="GE805" s="4"/>
      <c r="GF805" s="4"/>
      <c r="GG805" s="4"/>
      <c r="GH805" s="4"/>
      <c r="GI805" s="4"/>
      <c r="GJ805" s="4"/>
      <c r="GK805" s="4"/>
      <c r="GL805" s="4"/>
      <c r="GM805" s="4"/>
      <c r="GN805" s="4"/>
      <c r="GO805" s="4"/>
      <c r="GP805" s="4"/>
      <c r="GQ805" s="4"/>
      <c r="GR805" s="4"/>
      <c r="GS805" s="4"/>
      <c r="GT805" s="4"/>
      <c r="GU805" s="4"/>
      <c r="GV805" s="4"/>
      <c r="GW805" s="4"/>
      <c r="GX805" s="4"/>
    </row>
    <row r="806">
      <c r="A806" s="2" t="s">
        <v>4845</v>
      </c>
      <c r="B806" s="2" t="s">
        <v>573</v>
      </c>
      <c r="C806" s="2" t="s">
        <v>668</v>
      </c>
      <c r="D806" s="2" t="s">
        <v>574</v>
      </c>
      <c r="E806" s="2" t="s">
        <v>575</v>
      </c>
      <c r="F806" s="2" t="s">
        <v>4846</v>
      </c>
      <c r="G806" s="2" t="s">
        <v>4846</v>
      </c>
      <c r="H806" s="2" t="s">
        <v>4846</v>
      </c>
      <c r="I806" s="2" t="s">
        <v>4847</v>
      </c>
      <c r="J806" s="2" t="s">
        <v>548</v>
      </c>
      <c r="K806" s="2" t="s">
        <v>4848</v>
      </c>
      <c r="L806" s="3">
        <v>238</v>
      </c>
      <c r="M806" s="3">
        <v>249.9</v>
      </c>
      <c r="N806" s="3">
        <v>499</v>
      </c>
      <c r="O806" s="2" t="s">
        <v>224</v>
      </c>
      <c r="P806" s="2" t="s">
        <v>225</v>
      </c>
      <c r="Q806" s="2" t="s">
        <v>226</v>
      </c>
      <c r="R806" s="2" t="s">
        <v>227</v>
      </c>
      <c r="S806" s="2" t="s">
        <v>227</v>
      </c>
      <c r="T806" s="2" t="s">
        <v>227</v>
      </c>
      <c r="U806" s="2" t="s">
        <v>552</v>
      </c>
      <c r="V806" s="2" t="s">
        <v>230</v>
      </c>
      <c r="W806" s="2" t="s">
        <v>676</v>
      </c>
      <c r="X806" s="2" t="s">
        <v>227</v>
      </c>
      <c r="Y806" s="2" t="s">
        <v>4849</v>
      </c>
      <c r="Z806" s="4">
        <v>69</v>
      </c>
      <c r="AA806" s="4">
        <f>=ROUNDDOWN(23,0)</f>
      </c>
      <c r="AB806" s="5">
        <v>3</v>
      </c>
      <c r="AC806" s="2" t="s">
        <v>162</v>
      </c>
      <c r="AD806" s="4">
        <v>40</v>
      </c>
      <c r="AE806" s="4">
        <v>124</v>
      </c>
      <c r="AF806" s="6">
        <v>66</v>
      </c>
      <c r="AG806" s="6">
        <v>49</v>
      </c>
      <c r="AH806" s="7">
        <v>1</v>
      </c>
      <c r="AI806" s="4"/>
      <c r="AJ806" s="4">
        <f>=ROUNDDOWN({0},0)</f>
      </c>
      <c r="AK806" s="5"/>
      <c r="AL806" s="2" t="s">
        <v>227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/>
      <c r="AW806" s="8"/>
      <c r="AX806" s="4"/>
      <c r="AY806" s="8"/>
      <c r="AZ806" s="7"/>
      <c r="BA806" s="7"/>
      <c r="BB806" s="7"/>
      <c r="BC806" s="4" t="s">
        <v>227</v>
      </c>
      <c r="BD806" s="8" t="s">
        <v>227</v>
      </c>
      <c r="BE806" s="4" t="s">
        <v>227</v>
      </c>
      <c r="BF806" s="8" t="s">
        <v>227</v>
      </c>
      <c r="BG806" s="7" t="s">
        <v>227</v>
      </c>
      <c r="BH806" s="7" t="s">
        <v>227</v>
      </c>
      <c r="BI806" s="7"/>
      <c r="BJ806" s="4">
        <v>4</v>
      </c>
      <c r="BK806" s="8">
        <v>840.42</v>
      </c>
      <c r="BL806" s="2" t="s">
        <v>4850</v>
      </c>
      <c r="BM806" s="7"/>
      <c r="BN806" s="7"/>
      <c r="BO806" s="4"/>
      <c r="BP806" s="8"/>
      <c r="BQ806" s="4"/>
      <c r="BR806" s="8"/>
      <c r="BS806" s="7"/>
      <c r="BT806" s="7"/>
      <c r="BU806" s="2" t="s">
        <v>4851</v>
      </c>
      <c r="BV806" s="2" t="s">
        <v>227</v>
      </c>
      <c r="BW806" s="2" t="s">
        <v>227</v>
      </c>
      <c r="BX806" s="2" t="s">
        <v>235</v>
      </c>
      <c r="BY806" s="2" t="s">
        <v>236</v>
      </c>
      <c r="BZ806" s="2" t="s">
        <v>224</v>
      </c>
      <c r="CA806" s="2" t="s">
        <v>4852</v>
      </c>
      <c r="CB806" s="2" t="s">
        <v>4853</v>
      </c>
      <c r="CC806" s="2" t="s">
        <v>239</v>
      </c>
      <c r="CD806" s="2" t="s">
        <v>227</v>
      </c>
      <c r="CE806" s="4"/>
      <c r="CF806" s="4">
        <v>69</v>
      </c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>
        <v>40</v>
      </c>
      <c r="EY806" s="4"/>
      <c r="EZ806" s="4"/>
      <c r="FA806" s="4"/>
      <c r="FB806" s="4"/>
      <c r="FC806" s="4"/>
      <c r="FD806" s="4"/>
      <c r="FE806" s="4">
        <v>44</v>
      </c>
      <c r="FF806" s="4"/>
      <c r="FG806" s="4"/>
      <c r="FH806" s="4"/>
      <c r="FI806" s="4"/>
      <c r="FJ806" s="4"/>
      <c r="FK806" s="4">
        <v>40</v>
      </c>
      <c r="FL806" s="4"/>
      <c r="FM806" s="4"/>
      <c r="FN806" s="4"/>
      <c r="FO806" s="4"/>
      <c r="FP806" s="4"/>
      <c r="FQ806" s="4"/>
      <c r="FR806" s="4"/>
      <c r="FS806" s="4"/>
      <c r="FT806" s="4"/>
      <c r="FU806" s="4"/>
      <c r="FV806" s="4"/>
      <c r="FW806" s="4"/>
      <c r="FX806" s="4"/>
      <c r="FY806" s="4"/>
      <c r="FZ806" s="4"/>
      <c r="GA806" s="4"/>
      <c r="GB806" s="4"/>
      <c r="GC806" s="4"/>
      <c r="GD806" s="4"/>
      <c r="GE806" s="4"/>
      <c r="GF806" s="4"/>
      <c r="GG806" s="4"/>
      <c r="GH806" s="4"/>
      <c r="GI806" s="4"/>
      <c r="GJ806" s="4"/>
      <c r="GK806" s="4"/>
      <c r="GL806" s="4"/>
      <c r="GM806" s="4"/>
      <c r="GN806" s="4"/>
      <c r="GO806" s="4"/>
      <c r="GP806" s="4"/>
      <c r="GQ806" s="4"/>
      <c r="GR806" s="4"/>
      <c r="GS806" s="4"/>
      <c r="GT806" s="4"/>
      <c r="GU806" s="4"/>
      <c r="GV806" s="4"/>
      <c r="GW806" s="4"/>
      <c r="GX806" s="4"/>
    </row>
    <row r="807">
      <c r="A807" s="2" t="s">
        <v>4854</v>
      </c>
      <c r="B807" s="2" t="s">
        <v>618</v>
      </c>
      <c r="C807" s="2" t="s">
        <v>1299</v>
      </c>
      <c r="D807" s="2" t="s">
        <v>687</v>
      </c>
      <c r="E807" s="2" t="s">
        <v>699</v>
      </c>
      <c r="F807" s="2" t="s">
        <v>4846</v>
      </c>
      <c r="G807" s="2" t="s">
        <v>4855</v>
      </c>
      <c r="H807" s="2" t="s">
        <v>4856</v>
      </c>
      <c r="I807" s="2" t="s">
        <v>4857</v>
      </c>
      <c r="J807" s="2" t="s">
        <v>1304</v>
      </c>
      <c r="K807" s="2" t="s">
        <v>549</v>
      </c>
      <c r="L807" s="3">
        <v>32.2</v>
      </c>
      <c r="M807" s="3">
        <v>33.81</v>
      </c>
      <c r="N807" s="3">
        <v>69.99</v>
      </c>
      <c r="O807" s="2" t="s">
        <v>224</v>
      </c>
      <c r="P807" s="2" t="s">
        <v>580</v>
      </c>
      <c r="Q807" s="2" t="s">
        <v>226</v>
      </c>
      <c r="R807" s="2" t="s">
        <v>227</v>
      </c>
      <c r="S807" s="2" t="s">
        <v>4858</v>
      </c>
      <c r="T807" s="2" t="s">
        <v>375</v>
      </c>
      <c r="U807" s="2" t="s">
        <v>287</v>
      </c>
      <c r="V807" s="2" t="s">
        <v>4813</v>
      </c>
      <c r="W807" s="2" t="s">
        <v>231</v>
      </c>
      <c r="X807" s="2" t="s">
        <v>1381</v>
      </c>
      <c r="Y807" s="2" t="s">
        <v>232</v>
      </c>
      <c r="Z807" s="4">
        <v>95</v>
      </c>
      <c r="AA807" s="4">
        <f>=ROUNDDOWN(47.5,0)</f>
      </c>
      <c r="AB807" s="5">
        <v>2</v>
      </c>
      <c r="AC807" s="2" t="s">
        <v>227</v>
      </c>
      <c r="AD807" s="4"/>
      <c r="AE807" s="4"/>
      <c r="AF807" s="6">
        <v>64</v>
      </c>
      <c r="AG807" s="6"/>
      <c r="AH807" s="7">
        <v>1</v>
      </c>
      <c r="AI807" s="4"/>
      <c r="AJ807" s="4">
        <f>=ROUNDDOWN({0},0)</f>
      </c>
      <c r="AK807" s="5"/>
      <c r="AL807" s="2" t="s">
        <v>227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/>
      <c r="AW807" s="8"/>
      <c r="AX807" s="4"/>
      <c r="AY807" s="8"/>
      <c r="AZ807" s="7"/>
      <c r="BA807" s="7"/>
      <c r="BB807" s="7"/>
      <c r="BC807" s="4" t="s">
        <v>227</v>
      </c>
      <c r="BD807" s="8" t="s">
        <v>227</v>
      </c>
      <c r="BE807" s="4" t="s">
        <v>227</v>
      </c>
      <c r="BF807" s="8" t="s">
        <v>227</v>
      </c>
      <c r="BG807" s="7" t="s">
        <v>227</v>
      </c>
      <c r="BH807" s="7" t="s">
        <v>227</v>
      </c>
      <c r="BI807" s="7"/>
      <c r="BJ807" s="4">
        <v>16</v>
      </c>
      <c r="BK807" s="8">
        <v>538.72</v>
      </c>
      <c r="BL807" s="2" t="s">
        <v>4859</v>
      </c>
      <c r="BM807" s="7"/>
      <c r="BN807" s="7"/>
      <c r="BO807" s="4"/>
      <c r="BP807" s="8"/>
      <c r="BQ807" s="4"/>
      <c r="BR807" s="8"/>
      <c r="BS807" s="7"/>
      <c r="BT807" s="7"/>
      <c r="BU807" s="2" t="s">
        <v>4860</v>
      </c>
      <c r="BV807" s="2" t="s">
        <v>227</v>
      </c>
      <c r="BW807" s="2" t="s">
        <v>227</v>
      </c>
      <c r="BX807" s="2" t="s">
        <v>235</v>
      </c>
      <c r="BY807" s="2" t="s">
        <v>236</v>
      </c>
      <c r="BZ807" s="2" t="s">
        <v>224</v>
      </c>
      <c r="CA807" s="2" t="s">
        <v>237</v>
      </c>
      <c r="CB807" s="2" t="s">
        <v>4861</v>
      </c>
      <c r="CC807" s="2" t="s">
        <v>239</v>
      </c>
      <c r="CD807" s="2" t="s">
        <v>227</v>
      </c>
      <c r="CE807" s="4">
        <v>95</v>
      </c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/>
      <c r="FD807" s="4"/>
      <c r="FE807" s="4"/>
      <c r="FF807" s="4"/>
      <c r="FG807" s="4"/>
      <c r="FH807" s="4"/>
      <c r="FI807" s="4"/>
      <c r="FJ807" s="4"/>
      <c r="FK807" s="4"/>
      <c r="FL807" s="4"/>
      <c r="FM807" s="4"/>
      <c r="FN807" s="4"/>
      <c r="FO807" s="4"/>
      <c r="FP807" s="4"/>
      <c r="FQ807" s="4"/>
      <c r="FR807" s="4"/>
      <c r="FS807" s="4"/>
      <c r="FT807" s="4"/>
      <c r="FU807" s="4"/>
      <c r="FV807" s="4"/>
      <c r="FW807" s="4"/>
      <c r="FX807" s="4"/>
      <c r="FY807" s="4"/>
      <c r="FZ807" s="4"/>
      <c r="GA807" s="4"/>
      <c r="GB807" s="4"/>
      <c r="GC807" s="4"/>
      <c r="GD807" s="4"/>
      <c r="GE807" s="4"/>
      <c r="GF807" s="4"/>
      <c r="GG807" s="4"/>
      <c r="GH807" s="4"/>
      <c r="GI807" s="4"/>
      <c r="GJ807" s="4"/>
      <c r="GK807" s="4"/>
      <c r="GL807" s="4"/>
      <c r="GM807" s="4"/>
      <c r="GN807" s="4"/>
      <c r="GO807" s="4"/>
      <c r="GP807" s="4"/>
      <c r="GQ807" s="4"/>
      <c r="GR807" s="4"/>
      <c r="GS807" s="4"/>
      <c r="GT807" s="4"/>
      <c r="GU807" s="4"/>
      <c r="GV807" s="4"/>
      <c r="GW807" s="4"/>
      <c r="GX807" s="4"/>
    </row>
    <row r="808">
      <c r="A808" s="2" t="s">
        <v>4862</v>
      </c>
      <c r="B808" s="2" t="s">
        <v>573</v>
      </c>
      <c r="C808" s="2" t="s">
        <v>668</v>
      </c>
      <c r="D808" s="2" t="s">
        <v>832</v>
      </c>
      <c r="E808" s="2" t="s">
        <v>833</v>
      </c>
      <c r="F808" s="2" t="s">
        <v>4863</v>
      </c>
      <c r="G808" s="2" t="s">
        <v>4863</v>
      </c>
      <c r="H808" s="2" t="s">
        <v>4863</v>
      </c>
      <c r="I808" s="2" t="s">
        <v>1415</v>
      </c>
      <c r="J808" s="2" t="s">
        <v>548</v>
      </c>
      <c r="K808" s="2" t="s">
        <v>827</v>
      </c>
      <c r="L808" s="3">
        <v>174.8</v>
      </c>
      <c r="M808" s="3">
        <v>183.54</v>
      </c>
      <c r="N808" s="3">
        <v>369</v>
      </c>
      <c r="O808" s="2" t="s">
        <v>224</v>
      </c>
      <c r="P808" s="2" t="s">
        <v>225</v>
      </c>
      <c r="Q808" s="2" t="s">
        <v>226</v>
      </c>
      <c r="R808" s="2" t="s">
        <v>227</v>
      </c>
      <c r="S808" s="2" t="s">
        <v>227</v>
      </c>
      <c r="T808" s="2" t="s">
        <v>227</v>
      </c>
      <c r="U808" s="2" t="s">
        <v>552</v>
      </c>
      <c r="V808" s="2" t="s">
        <v>230</v>
      </c>
      <c r="W808" s="2" t="s">
        <v>676</v>
      </c>
      <c r="X808" s="2" t="s">
        <v>227</v>
      </c>
      <c r="Y808" s="2" t="s">
        <v>4849</v>
      </c>
      <c r="Z808" s="4">
        <v>98</v>
      </c>
      <c r="AA808" s="4">
        <f>=ROUNDDOWN(16.3333333333333,0)</f>
      </c>
      <c r="AB808" s="5">
        <v>6</v>
      </c>
      <c r="AC808" s="2" t="s">
        <v>732</v>
      </c>
      <c r="AD808" s="4">
        <v>70</v>
      </c>
      <c r="AE808" s="4">
        <v>160</v>
      </c>
      <c r="AF808" s="6">
        <v>66</v>
      </c>
      <c r="AG808" s="6"/>
      <c r="AH808" s="7">
        <v>1</v>
      </c>
      <c r="AI808" s="4"/>
      <c r="AJ808" s="4">
        <f>=ROUNDDOWN({0},0)</f>
      </c>
      <c r="AK808" s="5"/>
      <c r="AL808" s="2" t="s">
        <v>227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/>
      <c r="AW808" s="8"/>
      <c r="AX808" s="4"/>
      <c r="AY808" s="8"/>
      <c r="AZ808" s="7"/>
      <c r="BA808" s="7"/>
      <c r="BB808" s="7"/>
      <c r="BC808" s="4"/>
      <c r="BD808" s="8"/>
      <c r="BE808" s="4"/>
      <c r="BF808" s="8"/>
      <c r="BG808" s="7"/>
      <c r="BH808" s="7"/>
      <c r="BI808" s="7"/>
      <c r="BJ808" s="4">
        <v>29</v>
      </c>
      <c r="BK808" s="8">
        <v>4892.23</v>
      </c>
      <c r="BL808" s="2" t="s">
        <v>4864</v>
      </c>
      <c r="BM808" s="7"/>
      <c r="BN808" s="7"/>
      <c r="BO808" s="4"/>
      <c r="BP808" s="8"/>
      <c r="BQ808" s="4"/>
      <c r="BR808" s="8"/>
      <c r="BS808" s="7"/>
      <c r="BT808" s="7"/>
      <c r="BU808" s="2" t="s">
        <v>4865</v>
      </c>
      <c r="BV808" s="2" t="s">
        <v>227</v>
      </c>
      <c r="BW808" s="2" t="s">
        <v>227</v>
      </c>
      <c r="BX808" s="2" t="s">
        <v>235</v>
      </c>
      <c r="BY808" s="2" t="s">
        <v>236</v>
      </c>
      <c r="BZ808" s="2" t="s">
        <v>224</v>
      </c>
      <c r="CA808" s="2" t="s">
        <v>3959</v>
      </c>
      <c r="CB808" s="2" t="s">
        <v>4866</v>
      </c>
      <c r="CC808" s="2" t="s">
        <v>239</v>
      </c>
      <c r="CD808" s="2" t="s">
        <v>227</v>
      </c>
      <c r="CE808" s="4"/>
      <c r="CF808" s="4">
        <v>98</v>
      </c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>
        <v>70</v>
      </c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>
        <v>48</v>
      </c>
      <c r="EY808" s="4"/>
      <c r="EZ808" s="4"/>
      <c r="FA808" s="4"/>
      <c r="FB808" s="4"/>
      <c r="FC808" s="4"/>
      <c r="FD808" s="4"/>
      <c r="FE808" s="4">
        <v>42</v>
      </c>
      <c r="FF808" s="4"/>
      <c r="FG808" s="4"/>
      <c r="FH808" s="4"/>
      <c r="FI808" s="4"/>
      <c r="FJ808" s="4"/>
      <c r="FK808" s="4"/>
      <c r="FL808" s="4"/>
      <c r="FM808" s="4"/>
      <c r="FN808" s="4"/>
      <c r="FO808" s="4"/>
      <c r="FP808" s="4"/>
      <c r="FQ808" s="4"/>
      <c r="FR808" s="4"/>
      <c r="FS808" s="4"/>
      <c r="FT808" s="4"/>
      <c r="FU808" s="4"/>
      <c r="FV808" s="4"/>
      <c r="FW808" s="4"/>
      <c r="FX808" s="4"/>
      <c r="FY808" s="4"/>
      <c r="FZ808" s="4"/>
      <c r="GA808" s="4"/>
      <c r="GB808" s="4"/>
      <c r="GC808" s="4"/>
      <c r="GD808" s="4"/>
      <c r="GE808" s="4"/>
      <c r="GF808" s="4"/>
      <c r="GG808" s="4"/>
      <c r="GH808" s="4"/>
      <c r="GI808" s="4"/>
      <c r="GJ808" s="4"/>
      <c r="GK808" s="4"/>
      <c r="GL808" s="4"/>
      <c r="GM808" s="4"/>
      <c r="GN808" s="4"/>
      <c r="GO808" s="4"/>
      <c r="GP808" s="4"/>
      <c r="GQ808" s="4"/>
      <c r="GR808" s="4"/>
      <c r="GS808" s="4"/>
      <c r="GT808" s="4"/>
      <c r="GU808" s="4"/>
      <c r="GV808" s="4"/>
      <c r="GW808" s="4"/>
      <c r="GX808" s="4"/>
    </row>
    <row r="809">
      <c r="A809" s="2" t="s">
        <v>4867</v>
      </c>
      <c r="B809" s="2" t="s">
        <v>635</v>
      </c>
      <c r="C809" s="2" t="s">
        <v>636</v>
      </c>
      <c r="D809" s="2" t="s">
        <v>637</v>
      </c>
      <c r="E809" s="2" t="s">
        <v>638</v>
      </c>
      <c r="F809" s="2" t="s">
        <v>921</v>
      </c>
      <c r="G809" s="2" t="s">
        <v>921</v>
      </c>
      <c r="H809" s="2" t="s">
        <v>921</v>
      </c>
      <c r="I809" s="2" t="s">
        <v>4868</v>
      </c>
      <c r="J809" s="2" t="s">
        <v>3695</v>
      </c>
      <c r="K809" s="2" t="s">
        <v>410</v>
      </c>
      <c r="L809" s="3">
        <v>8.66</v>
      </c>
      <c r="M809" s="3">
        <v>9.09</v>
      </c>
      <c r="N809" s="3">
        <v>19.99</v>
      </c>
      <c r="O809" s="2" t="s">
        <v>224</v>
      </c>
      <c r="P809" s="2" t="s">
        <v>550</v>
      </c>
      <c r="Q809" s="2" t="s">
        <v>226</v>
      </c>
      <c r="R809" s="2" t="s">
        <v>227</v>
      </c>
      <c r="S809" s="2" t="s">
        <v>227</v>
      </c>
      <c r="T809" s="2" t="s">
        <v>227</v>
      </c>
      <c r="U809" s="2" t="s">
        <v>552</v>
      </c>
      <c r="V809" s="2" t="s">
        <v>566</v>
      </c>
      <c r="W809" s="2" t="s">
        <v>231</v>
      </c>
      <c r="X809" s="2" t="s">
        <v>227</v>
      </c>
      <c r="Y809" s="2" t="s">
        <v>1626</v>
      </c>
      <c r="Z809" s="4">
        <v>6</v>
      </c>
      <c r="AA809" s="4">
        <f>=ROUNDDOWN(0.166666666666667,0)</f>
      </c>
      <c r="AB809" s="5">
        <v>36</v>
      </c>
      <c r="AC809" s="2" t="s">
        <v>739</v>
      </c>
      <c r="AD809" s="4">
        <v>1200</v>
      </c>
      <c r="AE809" s="4">
        <v>2004</v>
      </c>
      <c r="AF809" s="6">
        <v>65</v>
      </c>
      <c r="AG809" s="6"/>
      <c r="AH809" s="7">
        <v>0</v>
      </c>
      <c r="AI809" s="4"/>
      <c r="AJ809" s="4">
        <f>=ROUNDDOWN({0},0)</f>
      </c>
      <c r="AK809" s="5"/>
      <c r="AL809" s="2" t="s">
        <v>227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227</v>
      </c>
      <c r="AW809" s="8" t="s">
        <v>227</v>
      </c>
      <c r="AX809" s="4" t="s">
        <v>227</v>
      </c>
      <c r="AY809" s="8" t="s">
        <v>227</v>
      </c>
      <c r="AZ809" s="7" t="s">
        <v>227</v>
      </c>
      <c r="BA809" s="7" t="s">
        <v>227</v>
      </c>
      <c r="BB809" s="7"/>
      <c r="BC809" s="4" t="s">
        <v>227</v>
      </c>
      <c r="BD809" s="8" t="s">
        <v>227</v>
      </c>
      <c r="BE809" s="4" t="s">
        <v>227</v>
      </c>
      <c r="BF809" s="8" t="s">
        <v>227</v>
      </c>
      <c r="BG809" s="7" t="s">
        <v>227</v>
      </c>
      <c r="BH809" s="7" t="s">
        <v>227</v>
      </c>
      <c r="BI809" s="7"/>
      <c r="BJ809" s="4"/>
      <c r="BK809" s="8"/>
      <c r="BL809" s="2" t="s">
        <v>227</v>
      </c>
      <c r="BM809" s="7"/>
      <c r="BN809" s="7"/>
      <c r="BO809" s="4"/>
      <c r="BP809" s="8"/>
      <c r="BQ809" s="4"/>
      <c r="BR809" s="8"/>
      <c r="BS809" s="7"/>
      <c r="BT809" s="7"/>
      <c r="BU809" s="2" t="s">
        <v>4869</v>
      </c>
      <c r="BV809" s="2" t="s">
        <v>227</v>
      </c>
      <c r="BW809" s="2" t="s">
        <v>227</v>
      </c>
      <c r="BX809" s="2" t="s">
        <v>235</v>
      </c>
      <c r="BY809" s="2" t="s">
        <v>236</v>
      </c>
      <c r="BZ809" s="2" t="s">
        <v>224</v>
      </c>
      <c r="CA809" s="2" t="s">
        <v>4277</v>
      </c>
      <c r="CB809" s="2" t="s">
        <v>227</v>
      </c>
      <c r="CC809" s="2" t="s">
        <v>239</v>
      </c>
      <c r="CD809" s="2" t="s">
        <v>227</v>
      </c>
      <c r="CE809" s="4"/>
      <c r="CF809" s="4">
        <v>3</v>
      </c>
      <c r="CG809" s="4"/>
      <c r="CH809" s="4">
        <v>3</v>
      </c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/>
      <c r="FB809" s="4"/>
      <c r="FC809" s="4"/>
      <c r="FD809" s="4"/>
      <c r="FE809" s="4"/>
      <c r="FF809" s="4"/>
      <c r="FG809" s="4"/>
      <c r="FH809" s="4"/>
      <c r="FI809" s="4"/>
      <c r="FJ809" s="4"/>
      <c r="FK809" s="4">
        <v>1200</v>
      </c>
      <c r="FL809" s="4"/>
      <c r="FM809" s="4"/>
      <c r="FN809" s="4"/>
      <c r="FO809" s="4"/>
      <c r="FP809" s="4"/>
      <c r="FQ809" s="4"/>
      <c r="FR809" s="4"/>
      <c r="FS809" s="4"/>
      <c r="FT809" s="4"/>
      <c r="FU809" s="4"/>
      <c r="FV809" s="4"/>
      <c r="FW809" s="4"/>
      <c r="FX809" s="4"/>
      <c r="FY809" s="4"/>
      <c r="FZ809" s="4"/>
      <c r="GA809" s="4"/>
      <c r="GB809" s="4"/>
      <c r="GC809" s="4"/>
      <c r="GD809" s="4"/>
      <c r="GE809" s="4"/>
      <c r="GF809" s="4"/>
      <c r="GG809" s="4"/>
      <c r="GH809" s="4"/>
      <c r="GI809" s="4"/>
      <c r="GJ809" s="4"/>
      <c r="GK809" s="4"/>
      <c r="GL809" s="4"/>
      <c r="GM809" s="4"/>
      <c r="GN809" s="4"/>
      <c r="GO809" s="4"/>
      <c r="GP809" s="4"/>
      <c r="GQ809" s="4"/>
      <c r="GR809" s="4"/>
      <c r="GS809" s="4">
        <v>804</v>
      </c>
      <c r="GT809" s="4"/>
      <c r="GU809" s="4"/>
      <c r="GV809" s="4"/>
      <c r="GW809" s="4"/>
      <c r="GX809" s="4"/>
    </row>
    <row r="810">
      <c r="A810" s="2" t="s">
        <v>4870</v>
      </c>
      <c r="B810" s="2" t="s">
        <v>635</v>
      </c>
      <c r="C810" s="2" t="s">
        <v>636</v>
      </c>
      <c r="D810" s="2" t="s">
        <v>637</v>
      </c>
      <c r="E810" s="2" t="s">
        <v>638</v>
      </c>
      <c r="F810" s="2" t="s">
        <v>921</v>
      </c>
      <c r="G810" s="2" t="s">
        <v>921</v>
      </c>
      <c r="H810" s="2" t="s">
        <v>921</v>
      </c>
      <c r="I810" s="2" t="s">
        <v>4868</v>
      </c>
      <c r="J810" s="2" t="s">
        <v>641</v>
      </c>
      <c r="K810" s="2" t="s">
        <v>410</v>
      </c>
      <c r="L810" s="3">
        <v>10.57</v>
      </c>
      <c r="M810" s="3">
        <v>11.1</v>
      </c>
      <c r="N810" s="3">
        <v>23.99</v>
      </c>
      <c r="O810" s="2" t="s">
        <v>224</v>
      </c>
      <c r="P810" s="2" t="s">
        <v>550</v>
      </c>
      <c r="Q810" s="2" t="s">
        <v>226</v>
      </c>
      <c r="R810" s="2" t="s">
        <v>227</v>
      </c>
      <c r="S810" s="2" t="s">
        <v>227</v>
      </c>
      <c r="T810" s="2" t="s">
        <v>227</v>
      </c>
      <c r="U810" s="2" t="s">
        <v>552</v>
      </c>
      <c r="V810" s="2" t="s">
        <v>566</v>
      </c>
      <c r="W810" s="2" t="s">
        <v>231</v>
      </c>
      <c r="X810" s="2" t="s">
        <v>227</v>
      </c>
      <c r="Y810" s="2" t="s">
        <v>1626</v>
      </c>
      <c r="Z810" s="4">
        <v>1445</v>
      </c>
      <c r="AA810" s="4">
        <f>=ROUNDDOWN(131.363636363636,0)</f>
      </c>
      <c r="AB810" s="5">
        <v>11</v>
      </c>
      <c r="AC810" s="2" t="s">
        <v>227</v>
      </c>
      <c r="AD810" s="4"/>
      <c r="AE810" s="4"/>
      <c r="AF810" s="6">
        <v>65</v>
      </c>
      <c r="AG810" s="6"/>
      <c r="AH810" s="7">
        <v>1</v>
      </c>
      <c r="AI810" s="4"/>
      <c r="AJ810" s="4">
        <f>=ROUNDDOWN({0},0)</f>
      </c>
      <c r="AK810" s="5"/>
      <c r="AL810" s="2" t="s">
        <v>227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227</v>
      </c>
      <c r="AW810" s="8" t="s">
        <v>227</v>
      </c>
      <c r="AX810" s="4" t="s">
        <v>227</v>
      </c>
      <c r="AY810" s="8" t="s">
        <v>227</v>
      </c>
      <c r="AZ810" s="7" t="s">
        <v>227</v>
      </c>
      <c r="BA810" s="7" t="s">
        <v>227</v>
      </c>
      <c r="BB810" s="7"/>
      <c r="BC810" s="4" t="s">
        <v>227</v>
      </c>
      <c r="BD810" s="8" t="s">
        <v>227</v>
      </c>
      <c r="BE810" s="4" t="s">
        <v>227</v>
      </c>
      <c r="BF810" s="8" t="s">
        <v>227</v>
      </c>
      <c r="BG810" s="7" t="s">
        <v>227</v>
      </c>
      <c r="BH810" s="7" t="s">
        <v>227</v>
      </c>
      <c r="BI810" s="7"/>
      <c r="BJ810" s="4">
        <v>38</v>
      </c>
      <c r="BK810" s="8">
        <v>457.74</v>
      </c>
      <c r="BL810" s="2" t="s">
        <v>654</v>
      </c>
      <c r="BM810" s="7"/>
      <c r="BN810" s="7"/>
      <c r="BO810" s="4"/>
      <c r="BP810" s="8"/>
      <c r="BQ810" s="4"/>
      <c r="BR810" s="8"/>
      <c r="BS810" s="7"/>
      <c r="BT810" s="7"/>
      <c r="BU810" s="2" t="s">
        <v>4871</v>
      </c>
      <c r="BV810" s="2" t="s">
        <v>227</v>
      </c>
      <c r="BW810" s="2" t="s">
        <v>227</v>
      </c>
      <c r="BX810" s="2" t="s">
        <v>235</v>
      </c>
      <c r="BY810" s="2" t="s">
        <v>236</v>
      </c>
      <c r="BZ810" s="2" t="s">
        <v>224</v>
      </c>
      <c r="CA810" s="2" t="s">
        <v>4277</v>
      </c>
      <c r="CB810" s="2" t="s">
        <v>227</v>
      </c>
      <c r="CC810" s="2" t="s">
        <v>239</v>
      </c>
      <c r="CD810" s="2" t="s">
        <v>227</v>
      </c>
      <c r="CE810" s="4"/>
      <c r="CF810" s="4">
        <v>119</v>
      </c>
      <c r="CG810" s="4"/>
      <c r="CH810" s="4">
        <v>1326</v>
      </c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/>
      <c r="FA810" s="4"/>
      <c r="FB810" s="4"/>
      <c r="FC810" s="4"/>
      <c r="FD810" s="4"/>
      <c r="FE810" s="4"/>
      <c r="FF810" s="4"/>
      <c r="FG810" s="4"/>
      <c r="FH810" s="4"/>
      <c r="FI810" s="4"/>
      <c r="FJ810" s="4"/>
      <c r="FK810" s="4"/>
      <c r="FL810" s="4"/>
      <c r="FM810" s="4"/>
      <c r="FN810" s="4"/>
      <c r="FO810" s="4"/>
      <c r="FP810" s="4"/>
      <c r="FQ810" s="4"/>
      <c r="FR810" s="4"/>
      <c r="FS810" s="4"/>
      <c r="FT810" s="4"/>
      <c r="FU810" s="4"/>
      <c r="FV810" s="4"/>
      <c r="FW810" s="4"/>
      <c r="FX810" s="4"/>
      <c r="FY810" s="4"/>
      <c r="FZ810" s="4"/>
      <c r="GA810" s="4"/>
      <c r="GB810" s="4"/>
      <c r="GC810" s="4"/>
      <c r="GD810" s="4"/>
      <c r="GE810" s="4"/>
      <c r="GF810" s="4"/>
      <c r="GG810" s="4"/>
      <c r="GH810" s="4"/>
      <c r="GI810" s="4"/>
      <c r="GJ810" s="4"/>
      <c r="GK810" s="4"/>
      <c r="GL810" s="4"/>
      <c r="GM810" s="4"/>
      <c r="GN810" s="4"/>
      <c r="GO810" s="4"/>
      <c r="GP810" s="4"/>
      <c r="GQ810" s="4"/>
      <c r="GR810" s="4"/>
      <c r="GS810" s="4"/>
      <c r="GT810" s="4"/>
      <c r="GU810" s="4"/>
      <c r="GV810" s="4"/>
      <c r="GW810" s="4"/>
      <c r="GX810" s="4"/>
    </row>
    <row r="811">
      <c r="A811" s="2" t="s">
        <v>4872</v>
      </c>
      <c r="B811" s="2" t="s">
        <v>635</v>
      </c>
      <c r="C811" s="2" t="s">
        <v>636</v>
      </c>
      <c r="D811" s="2" t="s">
        <v>637</v>
      </c>
      <c r="E811" s="2" t="s">
        <v>638</v>
      </c>
      <c r="F811" s="2" t="s">
        <v>921</v>
      </c>
      <c r="G811" s="2" t="s">
        <v>921</v>
      </c>
      <c r="H811" s="2" t="s">
        <v>921</v>
      </c>
      <c r="I811" s="2" t="s">
        <v>4868</v>
      </c>
      <c r="J811" s="2" t="s">
        <v>648</v>
      </c>
      <c r="K811" s="2" t="s">
        <v>410</v>
      </c>
      <c r="L811" s="3">
        <v>13.42</v>
      </c>
      <c r="M811" s="3">
        <v>14.09</v>
      </c>
      <c r="N811" s="3">
        <v>29.99</v>
      </c>
      <c r="O811" s="2" t="s">
        <v>224</v>
      </c>
      <c r="P811" s="2" t="s">
        <v>550</v>
      </c>
      <c r="Q811" s="2" t="s">
        <v>226</v>
      </c>
      <c r="R811" s="2" t="s">
        <v>227</v>
      </c>
      <c r="S811" s="2" t="s">
        <v>227</v>
      </c>
      <c r="T811" s="2" t="s">
        <v>227</v>
      </c>
      <c r="U811" s="2" t="s">
        <v>552</v>
      </c>
      <c r="V811" s="2" t="s">
        <v>566</v>
      </c>
      <c r="W811" s="2" t="s">
        <v>231</v>
      </c>
      <c r="X811" s="2" t="s">
        <v>227</v>
      </c>
      <c r="Y811" s="2" t="s">
        <v>1626</v>
      </c>
      <c r="Z811" s="4">
        <v>1352</v>
      </c>
      <c r="AA811" s="4">
        <f>=ROUNDDOWN(84.5,0)</f>
      </c>
      <c r="AB811" s="5">
        <v>16</v>
      </c>
      <c r="AC811" s="2" t="s">
        <v>227</v>
      </c>
      <c r="AD811" s="4"/>
      <c r="AE811" s="4"/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227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 t="s">
        <v>227</v>
      </c>
      <c r="AW811" s="8" t="s">
        <v>227</v>
      </c>
      <c r="AX811" s="4" t="s">
        <v>227</v>
      </c>
      <c r="AY811" s="8" t="s">
        <v>227</v>
      </c>
      <c r="AZ811" s="7" t="s">
        <v>227</v>
      </c>
      <c r="BA811" s="7" t="s">
        <v>227</v>
      </c>
      <c r="BB811" s="7"/>
      <c r="BC811" s="4" t="s">
        <v>227</v>
      </c>
      <c r="BD811" s="8" t="s">
        <v>227</v>
      </c>
      <c r="BE811" s="4" t="s">
        <v>227</v>
      </c>
      <c r="BF811" s="8" t="s">
        <v>227</v>
      </c>
      <c r="BG811" s="7" t="s">
        <v>227</v>
      </c>
      <c r="BH811" s="7" t="s">
        <v>227</v>
      </c>
      <c r="BI811" s="7"/>
      <c r="BJ811" s="4">
        <v>8</v>
      </c>
      <c r="BK811" s="8">
        <v>120.84</v>
      </c>
      <c r="BL811" s="2" t="s">
        <v>4873</v>
      </c>
      <c r="BM811" s="7"/>
      <c r="BN811" s="7"/>
      <c r="BO811" s="4"/>
      <c r="BP811" s="8"/>
      <c r="BQ811" s="4"/>
      <c r="BR811" s="8"/>
      <c r="BS811" s="7"/>
      <c r="BT811" s="7"/>
      <c r="BU811" s="2" t="s">
        <v>4874</v>
      </c>
      <c r="BV811" s="2" t="s">
        <v>227</v>
      </c>
      <c r="BW811" s="2" t="s">
        <v>227</v>
      </c>
      <c r="BX811" s="2" t="s">
        <v>235</v>
      </c>
      <c r="BY811" s="2" t="s">
        <v>236</v>
      </c>
      <c r="BZ811" s="2" t="s">
        <v>224</v>
      </c>
      <c r="CA811" s="2" t="s">
        <v>4277</v>
      </c>
      <c r="CB811" s="2" t="s">
        <v>227</v>
      </c>
      <c r="CC811" s="2" t="s">
        <v>239</v>
      </c>
      <c r="CD811" s="2" t="s">
        <v>227</v>
      </c>
      <c r="CE811" s="4"/>
      <c r="CF811" s="4">
        <v>47</v>
      </c>
      <c r="CG811" s="4"/>
      <c r="CH811" s="4">
        <v>1305</v>
      </c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/>
      <c r="FB811" s="4"/>
      <c r="FC811" s="4"/>
      <c r="FD811" s="4"/>
      <c r="FE811" s="4"/>
      <c r="FF811" s="4"/>
      <c r="FG811" s="4"/>
      <c r="FH811" s="4"/>
      <c r="FI811" s="4"/>
      <c r="FJ811" s="4"/>
      <c r="FK811" s="4"/>
      <c r="FL811" s="4"/>
      <c r="FM811" s="4"/>
      <c r="FN811" s="4"/>
      <c r="FO811" s="4"/>
      <c r="FP811" s="4"/>
      <c r="FQ811" s="4"/>
      <c r="FR811" s="4"/>
      <c r="FS811" s="4"/>
      <c r="FT811" s="4"/>
      <c r="FU811" s="4"/>
      <c r="FV811" s="4"/>
      <c r="FW811" s="4"/>
      <c r="FX811" s="4"/>
      <c r="FY811" s="4"/>
      <c r="FZ811" s="4"/>
      <c r="GA811" s="4"/>
      <c r="GB811" s="4"/>
      <c r="GC811" s="4"/>
      <c r="GD811" s="4"/>
      <c r="GE811" s="4"/>
      <c r="GF811" s="4"/>
      <c r="GG811" s="4"/>
      <c r="GH811" s="4"/>
      <c r="GI811" s="4"/>
      <c r="GJ811" s="4"/>
      <c r="GK811" s="4"/>
      <c r="GL811" s="4"/>
      <c r="GM811" s="4"/>
      <c r="GN811" s="4"/>
      <c r="GO811" s="4"/>
      <c r="GP811" s="4"/>
      <c r="GQ811" s="4"/>
      <c r="GR811" s="4"/>
      <c r="GS811" s="4"/>
      <c r="GT811" s="4"/>
      <c r="GU811" s="4"/>
      <c r="GV811" s="4"/>
      <c r="GW811" s="4"/>
      <c r="GX811" s="4"/>
    </row>
    <row r="812">
      <c r="A812" s="2" t="s">
        <v>4875</v>
      </c>
      <c r="B812" s="2" t="s">
        <v>635</v>
      </c>
      <c r="C812" s="2" t="s">
        <v>636</v>
      </c>
      <c r="D812" s="2" t="s">
        <v>637</v>
      </c>
      <c r="E812" s="2" t="s">
        <v>638</v>
      </c>
      <c r="F812" s="2" t="s">
        <v>921</v>
      </c>
      <c r="G812" s="2" t="s">
        <v>921</v>
      </c>
      <c r="H812" s="2" t="s">
        <v>921</v>
      </c>
      <c r="I812" s="2" t="s">
        <v>4868</v>
      </c>
      <c r="J812" s="2" t="s">
        <v>653</v>
      </c>
      <c r="K812" s="2" t="s">
        <v>410</v>
      </c>
      <c r="L812" s="3">
        <v>15.03</v>
      </c>
      <c r="M812" s="3">
        <v>15.78</v>
      </c>
      <c r="N812" s="3">
        <v>34.99</v>
      </c>
      <c r="O812" s="2" t="s">
        <v>224</v>
      </c>
      <c r="P812" s="2" t="s">
        <v>550</v>
      </c>
      <c r="Q812" s="2" t="s">
        <v>226</v>
      </c>
      <c r="R812" s="2" t="s">
        <v>227</v>
      </c>
      <c r="S812" s="2" t="s">
        <v>227</v>
      </c>
      <c r="T812" s="2" t="s">
        <v>227</v>
      </c>
      <c r="U812" s="2" t="s">
        <v>552</v>
      </c>
      <c r="V812" s="2" t="s">
        <v>566</v>
      </c>
      <c r="W812" s="2" t="s">
        <v>231</v>
      </c>
      <c r="X812" s="2" t="s">
        <v>227</v>
      </c>
      <c r="Y812" s="2" t="s">
        <v>1626</v>
      </c>
      <c r="Z812" s="4">
        <v>1785</v>
      </c>
      <c r="AA812" s="4">
        <f>=ROUNDDOWN(1487.5,0)</f>
      </c>
      <c r="AB812" s="5">
        <v>1.2</v>
      </c>
      <c r="AC812" s="2" t="s">
        <v>227</v>
      </c>
      <c r="AD812" s="4"/>
      <c r="AE812" s="4"/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227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 t="s">
        <v>227</v>
      </c>
      <c r="AW812" s="8" t="s">
        <v>227</v>
      </c>
      <c r="AX812" s="4" t="s">
        <v>227</v>
      </c>
      <c r="AY812" s="8" t="s">
        <v>227</v>
      </c>
      <c r="AZ812" s="7" t="s">
        <v>227</v>
      </c>
      <c r="BA812" s="7" t="s">
        <v>227</v>
      </c>
      <c r="BB812" s="7"/>
      <c r="BC812" s="4" t="s">
        <v>227</v>
      </c>
      <c r="BD812" s="8" t="s">
        <v>227</v>
      </c>
      <c r="BE812" s="4" t="s">
        <v>227</v>
      </c>
      <c r="BF812" s="8" t="s">
        <v>227</v>
      </c>
      <c r="BG812" s="7" t="s">
        <v>227</v>
      </c>
      <c r="BH812" s="7" t="s">
        <v>227</v>
      </c>
      <c r="BI812" s="7"/>
      <c r="BJ812" s="4">
        <v>6</v>
      </c>
      <c r="BK812" s="8">
        <v>103.74</v>
      </c>
      <c r="BL812" s="2" t="s">
        <v>664</v>
      </c>
      <c r="BM812" s="7"/>
      <c r="BN812" s="7"/>
      <c r="BO812" s="4"/>
      <c r="BP812" s="8"/>
      <c r="BQ812" s="4"/>
      <c r="BR812" s="8"/>
      <c r="BS812" s="7"/>
      <c r="BT812" s="7"/>
      <c r="BU812" s="2" t="s">
        <v>4876</v>
      </c>
      <c r="BV812" s="2" t="s">
        <v>227</v>
      </c>
      <c r="BW812" s="2" t="s">
        <v>227</v>
      </c>
      <c r="BX812" s="2" t="s">
        <v>235</v>
      </c>
      <c r="BY812" s="2" t="s">
        <v>236</v>
      </c>
      <c r="BZ812" s="2" t="s">
        <v>224</v>
      </c>
      <c r="CA812" s="2" t="s">
        <v>4277</v>
      </c>
      <c r="CB812" s="2" t="s">
        <v>227</v>
      </c>
      <c r="CC812" s="2" t="s">
        <v>239</v>
      </c>
      <c r="CD812" s="2" t="s">
        <v>227</v>
      </c>
      <c r="CE812" s="4"/>
      <c r="CF812" s="4">
        <v>389</v>
      </c>
      <c r="CG812" s="4"/>
      <c r="CH812" s="4">
        <v>1396</v>
      </c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/>
      <c r="FA812" s="4"/>
      <c r="FB812" s="4"/>
      <c r="FC812" s="4"/>
      <c r="FD812" s="4"/>
      <c r="FE812" s="4"/>
      <c r="FF812" s="4"/>
      <c r="FG812" s="4"/>
      <c r="FH812" s="4"/>
      <c r="FI812" s="4"/>
      <c r="FJ812" s="4"/>
      <c r="FK812" s="4"/>
      <c r="FL812" s="4"/>
      <c r="FM812" s="4"/>
      <c r="FN812" s="4"/>
      <c r="FO812" s="4"/>
      <c r="FP812" s="4"/>
      <c r="FQ812" s="4"/>
      <c r="FR812" s="4"/>
      <c r="FS812" s="4"/>
      <c r="FT812" s="4"/>
      <c r="FU812" s="4"/>
      <c r="FV812" s="4"/>
      <c r="FW812" s="4"/>
      <c r="FX812" s="4"/>
      <c r="FY812" s="4"/>
      <c r="FZ812" s="4"/>
      <c r="GA812" s="4"/>
      <c r="GB812" s="4"/>
      <c r="GC812" s="4"/>
      <c r="GD812" s="4"/>
      <c r="GE812" s="4"/>
      <c r="GF812" s="4"/>
      <c r="GG812" s="4"/>
      <c r="GH812" s="4"/>
      <c r="GI812" s="4"/>
      <c r="GJ812" s="4"/>
      <c r="GK812" s="4"/>
      <c r="GL812" s="4"/>
      <c r="GM812" s="4"/>
      <c r="GN812" s="4"/>
      <c r="GO812" s="4"/>
      <c r="GP812" s="4"/>
      <c r="GQ812" s="4"/>
      <c r="GR812" s="4"/>
      <c r="GS812" s="4"/>
      <c r="GT812" s="4"/>
      <c r="GU812" s="4"/>
      <c r="GV812" s="4"/>
      <c r="GW812" s="4"/>
      <c r="GX812" s="4"/>
    </row>
    <row r="813">
      <c r="A813" s="2" t="s">
        <v>4877</v>
      </c>
      <c r="B813" s="2" t="s">
        <v>542</v>
      </c>
      <c r="C813" s="2" t="s">
        <v>668</v>
      </c>
      <c r="D813" s="2" t="s">
        <v>561</v>
      </c>
      <c r="E813" s="2" t="s">
        <v>562</v>
      </c>
      <c r="F813" s="2" t="s">
        <v>921</v>
      </c>
      <c r="G813" s="2" t="s">
        <v>921</v>
      </c>
      <c r="H813" s="2" t="s">
        <v>921</v>
      </c>
      <c r="I813" s="2" t="s">
        <v>4878</v>
      </c>
      <c r="J813" s="2" t="s">
        <v>548</v>
      </c>
      <c r="K813" s="2" t="s">
        <v>737</v>
      </c>
      <c r="L813" s="3">
        <v>59.52</v>
      </c>
      <c r="M813" s="3">
        <v>62.5</v>
      </c>
      <c r="N813" s="3">
        <v>124.99</v>
      </c>
      <c r="O813" s="2" t="s">
        <v>224</v>
      </c>
      <c r="P813" s="2" t="s">
        <v>550</v>
      </c>
      <c r="Q813" s="2" t="s">
        <v>226</v>
      </c>
      <c r="R813" s="2" t="s">
        <v>227</v>
      </c>
      <c r="S813" s="2" t="s">
        <v>227</v>
      </c>
      <c r="T813" s="2" t="s">
        <v>227</v>
      </c>
      <c r="U813" s="2" t="s">
        <v>552</v>
      </c>
      <c r="V813" s="2" t="s">
        <v>566</v>
      </c>
      <c r="W813" s="2" t="s">
        <v>231</v>
      </c>
      <c r="X813" s="2" t="s">
        <v>1045</v>
      </c>
      <c r="Y813" s="2" t="s">
        <v>369</v>
      </c>
      <c r="Z813" s="4">
        <v>350</v>
      </c>
      <c r="AA813" s="4">
        <f>=ROUNDDOWN(17.5,0)</f>
      </c>
      <c r="AB813" s="5">
        <v>20</v>
      </c>
      <c r="AC813" s="2" t="s">
        <v>158</v>
      </c>
      <c r="AD813" s="4">
        <v>550</v>
      </c>
      <c r="AE813" s="4">
        <v>550</v>
      </c>
      <c r="AF813" s="6">
        <v>63</v>
      </c>
      <c r="AG813" s="6"/>
      <c r="AH813" s="7">
        <v>0.1613</v>
      </c>
      <c r="AI813" s="4"/>
      <c r="AJ813" s="4">
        <f>=ROUNDDOWN({0},0)</f>
      </c>
      <c r="AK813" s="5"/>
      <c r="AL813" s="2" t="s">
        <v>227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/>
      <c r="AW813" s="8"/>
      <c r="AX813" s="4"/>
      <c r="AY813" s="8"/>
      <c r="AZ813" s="7"/>
      <c r="BA813" s="7"/>
      <c r="BB813" s="7"/>
      <c r="BC813" s="4" t="s">
        <v>227</v>
      </c>
      <c r="BD813" s="8" t="s">
        <v>227</v>
      </c>
      <c r="BE813" s="4" t="s">
        <v>227</v>
      </c>
      <c r="BF813" s="8" t="s">
        <v>227</v>
      </c>
      <c r="BG813" s="7" t="s">
        <v>227</v>
      </c>
      <c r="BH813" s="7" t="s">
        <v>227</v>
      </c>
      <c r="BI813" s="7"/>
      <c r="BJ813" s="4">
        <v>8</v>
      </c>
      <c r="BK813" s="8">
        <v>601.27</v>
      </c>
      <c r="BL813" s="2" t="s">
        <v>4879</v>
      </c>
      <c r="BM813" s="7"/>
      <c r="BN813" s="7"/>
      <c r="BO813" s="4"/>
      <c r="BP813" s="8"/>
      <c r="BQ813" s="4"/>
      <c r="BR813" s="8"/>
      <c r="BS813" s="7"/>
      <c r="BT813" s="7"/>
      <c r="BU813" s="2" t="s">
        <v>4880</v>
      </c>
      <c r="BV813" s="2" t="s">
        <v>227</v>
      </c>
      <c r="BW813" s="2" t="s">
        <v>227</v>
      </c>
      <c r="BX813" s="2" t="s">
        <v>235</v>
      </c>
      <c r="BY813" s="2" t="s">
        <v>236</v>
      </c>
      <c r="BZ813" s="2" t="s">
        <v>224</v>
      </c>
      <c r="CA813" s="2" t="s">
        <v>1502</v>
      </c>
      <c r="CB813" s="2" t="s">
        <v>490</v>
      </c>
      <c r="CC813" s="2" t="s">
        <v>239</v>
      </c>
      <c r="CD813" s="2" t="s">
        <v>227</v>
      </c>
      <c r="CE813" s="4"/>
      <c r="CF813" s="4">
        <v>350</v>
      </c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>
        <v>550</v>
      </c>
      <c r="EU813" s="4"/>
      <c r="EV813" s="4"/>
      <c r="EW813" s="4"/>
      <c r="EX813" s="4"/>
      <c r="EY813" s="4"/>
      <c r="EZ813" s="4"/>
      <c r="FA813" s="4"/>
      <c r="FB813" s="4"/>
      <c r="FC813" s="4"/>
      <c r="FD813" s="4"/>
      <c r="FE813" s="4"/>
      <c r="FF813" s="4"/>
      <c r="FG813" s="4"/>
      <c r="FH813" s="4"/>
      <c r="FI813" s="4"/>
      <c r="FJ813" s="4"/>
      <c r="FK813" s="4"/>
      <c r="FL813" s="4"/>
      <c r="FM813" s="4"/>
      <c r="FN813" s="4"/>
      <c r="FO813" s="4"/>
      <c r="FP813" s="4"/>
      <c r="FQ813" s="4"/>
      <c r="FR813" s="4"/>
      <c r="FS813" s="4"/>
      <c r="FT813" s="4"/>
      <c r="FU813" s="4"/>
      <c r="FV813" s="4"/>
      <c r="FW813" s="4"/>
      <c r="FX813" s="4"/>
      <c r="FY813" s="4"/>
      <c r="FZ813" s="4"/>
      <c r="GA813" s="4"/>
      <c r="GB813" s="4"/>
      <c r="GC813" s="4"/>
      <c r="GD813" s="4"/>
      <c r="GE813" s="4"/>
      <c r="GF813" s="4"/>
      <c r="GG813" s="4"/>
      <c r="GH813" s="4"/>
      <c r="GI813" s="4"/>
      <c r="GJ813" s="4"/>
      <c r="GK813" s="4"/>
      <c r="GL813" s="4"/>
      <c r="GM813" s="4"/>
      <c r="GN813" s="4"/>
      <c r="GO813" s="4"/>
      <c r="GP813" s="4"/>
      <c r="GQ813" s="4"/>
      <c r="GR813" s="4"/>
      <c r="GS813" s="4"/>
      <c r="GT813" s="4"/>
      <c r="GU813" s="4"/>
      <c r="GV813" s="4"/>
      <c r="GW813" s="4"/>
      <c r="GX813" s="4"/>
    </row>
    <row r="814">
      <c r="A814" s="2" t="s">
        <v>4881</v>
      </c>
      <c r="B814" s="2" t="s">
        <v>635</v>
      </c>
      <c r="C814" s="2" t="s">
        <v>636</v>
      </c>
      <c r="D814" s="2" t="s">
        <v>637</v>
      </c>
      <c r="E814" s="2" t="s">
        <v>638</v>
      </c>
      <c r="F814" s="2" t="s">
        <v>921</v>
      </c>
      <c r="G814" s="2" t="s">
        <v>921</v>
      </c>
      <c r="H814" s="2" t="s">
        <v>921</v>
      </c>
      <c r="I814" s="2" t="s">
        <v>4882</v>
      </c>
      <c r="J814" s="2" t="s">
        <v>3695</v>
      </c>
      <c r="K814" s="2" t="s">
        <v>4883</v>
      </c>
      <c r="L814" s="3">
        <v>11.19</v>
      </c>
      <c r="M814" s="3">
        <v>11.75</v>
      </c>
      <c r="N814" s="3">
        <v>21.99</v>
      </c>
      <c r="O814" s="2" t="s">
        <v>224</v>
      </c>
      <c r="P814" s="2" t="s">
        <v>550</v>
      </c>
      <c r="Q814" s="2" t="s">
        <v>226</v>
      </c>
      <c r="R814" s="2" t="s">
        <v>227</v>
      </c>
      <c r="S814" s="2" t="s">
        <v>227</v>
      </c>
      <c r="T814" s="2" t="s">
        <v>227</v>
      </c>
      <c r="U814" s="2" t="s">
        <v>552</v>
      </c>
      <c r="V814" s="2" t="s">
        <v>566</v>
      </c>
      <c r="W814" s="2" t="s">
        <v>231</v>
      </c>
      <c r="X814" s="2" t="s">
        <v>227</v>
      </c>
      <c r="Y814" s="2" t="s">
        <v>4884</v>
      </c>
      <c r="Z814" s="4">
        <v>1633</v>
      </c>
      <c r="AA814" s="4">
        <f>=ROUNDDOWN(138.389830508475,0)</f>
      </c>
      <c r="AB814" s="5">
        <v>11.8</v>
      </c>
      <c r="AC814" s="2" t="s">
        <v>227</v>
      </c>
      <c r="AD814" s="4"/>
      <c r="AE814" s="4"/>
      <c r="AF814" s="6">
        <v>65</v>
      </c>
      <c r="AG814" s="6"/>
      <c r="AH814" s="7">
        <v>1</v>
      </c>
      <c r="AI814" s="4"/>
      <c r="AJ814" s="4">
        <f>=ROUNDDOWN({0},0)</f>
      </c>
      <c r="AK814" s="5"/>
      <c r="AL814" s="2" t="s">
        <v>227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227</v>
      </c>
      <c r="AW814" s="8" t="s">
        <v>227</v>
      </c>
      <c r="AX814" s="4" t="s">
        <v>227</v>
      </c>
      <c r="AY814" s="8" t="s">
        <v>227</v>
      </c>
      <c r="AZ814" s="7" t="s">
        <v>227</v>
      </c>
      <c r="BA814" s="7" t="s">
        <v>227</v>
      </c>
      <c r="BB814" s="7"/>
      <c r="BC814" s="4" t="s">
        <v>227</v>
      </c>
      <c r="BD814" s="8" t="s">
        <v>227</v>
      </c>
      <c r="BE814" s="4" t="s">
        <v>227</v>
      </c>
      <c r="BF814" s="8" t="s">
        <v>227</v>
      </c>
      <c r="BG814" s="7" t="s">
        <v>227</v>
      </c>
      <c r="BH814" s="7" t="s">
        <v>227</v>
      </c>
      <c r="BI814" s="7"/>
      <c r="BJ814" s="4">
        <v>42</v>
      </c>
      <c r="BK814" s="8">
        <v>540.54</v>
      </c>
      <c r="BL814" s="2" t="s">
        <v>1627</v>
      </c>
      <c r="BM814" s="7"/>
      <c r="BN814" s="7"/>
      <c r="BO814" s="4"/>
      <c r="BP814" s="8"/>
      <c r="BQ814" s="4"/>
      <c r="BR814" s="8"/>
      <c r="BS814" s="7"/>
      <c r="BT814" s="7"/>
      <c r="BU814" s="2" t="s">
        <v>4885</v>
      </c>
      <c r="BV814" s="2" t="s">
        <v>227</v>
      </c>
      <c r="BW814" s="2" t="s">
        <v>227</v>
      </c>
      <c r="BX814" s="2" t="s">
        <v>235</v>
      </c>
      <c r="BY814" s="2" t="s">
        <v>236</v>
      </c>
      <c r="BZ814" s="2" t="s">
        <v>224</v>
      </c>
      <c r="CA814" s="2" t="s">
        <v>4277</v>
      </c>
      <c r="CB814" s="2" t="s">
        <v>227</v>
      </c>
      <c r="CC814" s="2" t="s">
        <v>239</v>
      </c>
      <c r="CD814" s="2" t="s">
        <v>227</v>
      </c>
      <c r="CE814" s="4"/>
      <c r="CF814" s="4">
        <v>301</v>
      </c>
      <c r="CG814" s="4"/>
      <c r="CH814" s="4">
        <v>1332</v>
      </c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/>
      <c r="FE814" s="4"/>
      <c r="FF814" s="4"/>
      <c r="FG814" s="4"/>
      <c r="FH814" s="4"/>
      <c r="FI814" s="4"/>
      <c r="FJ814" s="4"/>
      <c r="FK814" s="4"/>
      <c r="FL814" s="4"/>
      <c r="FM814" s="4"/>
      <c r="FN814" s="4"/>
      <c r="FO814" s="4"/>
      <c r="FP814" s="4"/>
      <c r="FQ814" s="4"/>
      <c r="FR814" s="4"/>
      <c r="FS814" s="4"/>
      <c r="FT814" s="4"/>
      <c r="FU814" s="4"/>
      <c r="FV814" s="4"/>
      <c r="FW814" s="4"/>
      <c r="FX814" s="4"/>
      <c r="FY814" s="4"/>
      <c r="FZ814" s="4"/>
      <c r="GA814" s="4"/>
      <c r="GB814" s="4"/>
      <c r="GC814" s="4"/>
      <c r="GD814" s="4"/>
      <c r="GE814" s="4"/>
      <c r="GF814" s="4"/>
      <c r="GG814" s="4"/>
      <c r="GH814" s="4"/>
      <c r="GI814" s="4"/>
      <c r="GJ814" s="4"/>
      <c r="GK814" s="4"/>
      <c r="GL814" s="4"/>
      <c r="GM814" s="4"/>
      <c r="GN814" s="4"/>
      <c r="GO814" s="4"/>
      <c r="GP814" s="4"/>
      <c r="GQ814" s="4"/>
      <c r="GR814" s="4"/>
      <c r="GS814" s="4"/>
      <c r="GT814" s="4"/>
      <c r="GU814" s="4"/>
      <c r="GV814" s="4"/>
      <c r="GW814" s="4"/>
      <c r="GX814" s="4"/>
    </row>
    <row r="815">
      <c r="A815" s="2" t="s">
        <v>4886</v>
      </c>
      <c r="B815" s="2" t="s">
        <v>635</v>
      </c>
      <c r="C815" s="2" t="s">
        <v>636</v>
      </c>
      <c r="D815" s="2" t="s">
        <v>637</v>
      </c>
      <c r="E815" s="2" t="s">
        <v>638</v>
      </c>
      <c r="F815" s="2" t="s">
        <v>921</v>
      </c>
      <c r="G815" s="2" t="s">
        <v>921</v>
      </c>
      <c r="H815" s="2" t="s">
        <v>921</v>
      </c>
      <c r="I815" s="2" t="s">
        <v>4882</v>
      </c>
      <c r="J815" s="2" t="s">
        <v>641</v>
      </c>
      <c r="K815" s="2" t="s">
        <v>4883</v>
      </c>
      <c r="L815" s="3">
        <v>13.49</v>
      </c>
      <c r="M815" s="3">
        <v>14.16</v>
      </c>
      <c r="N815" s="3">
        <v>24.99</v>
      </c>
      <c r="O815" s="2" t="s">
        <v>224</v>
      </c>
      <c r="P815" s="2" t="s">
        <v>550</v>
      </c>
      <c r="Q815" s="2" t="s">
        <v>226</v>
      </c>
      <c r="R815" s="2" t="s">
        <v>227</v>
      </c>
      <c r="S815" s="2" t="s">
        <v>227</v>
      </c>
      <c r="T815" s="2" t="s">
        <v>227</v>
      </c>
      <c r="U815" s="2" t="s">
        <v>552</v>
      </c>
      <c r="V815" s="2" t="s">
        <v>566</v>
      </c>
      <c r="W815" s="2" t="s">
        <v>231</v>
      </c>
      <c r="X815" s="2" t="s">
        <v>227</v>
      </c>
      <c r="Y815" s="2" t="s">
        <v>4884</v>
      </c>
      <c r="Z815" s="4">
        <v>1230</v>
      </c>
      <c r="AA815" s="4">
        <f>=ROUNDDOWN(49.2,0)</f>
      </c>
      <c r="AB815" s="5">
        <v>25</v>
      </c>
      <c r="AC815" s="2" t="s">
        <v>227</v>
      </c>
      <c r="AD815" s="4"/>
      <c r="AE815" s="4"/>
      <c r="AF815" s="6">
        <v>65</v>
      </c>
      <c r="AG815" s="6"/>
      <c r="AH815" s="7">
        <v>1</v>
      </c>
      <c r="AI815" s="4"/>
      <c r="AJ815" s="4">
        <f>=ROUNDDOWN({0},0)</f>
      </c>
      <c r="AK815" s="5"/>
      <c r="AL815" s="2" t="s">
        <v>227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227</v>
      </c>
      <c r="AW815" s="8" t="s">
        <v>227</v>
      </c>
      <c r="AX815" s="4" t="s">
        <v>227</v>
      </c>
      <c r="AY815" s="8" t="s">
        <v>227</v>
      </c>
      <c r="AZ815" s="7" t="s">
        <v>227</v>
      </c>
      <c r="BA815" s="7" t="s">
        <v>227</v>
      </c>
      <c r="BB815" s="7"/>
      <c r="BC815" s="4" t="s">
        <v>227</v>
      </c>
      <c r="BD815" s="8" t="s">
        <v>227</v>
      </c>
      <c r="BE815" s="4" t="s">
        <v>227</v>
      </c>
      <c r="BF815" s="8" t="s">
        <v>227</v>
      </c>
      <c r="BG815" s="7" t="s">
        <v>227</v>
      </c>
      <c r="BH815" s="7" t="s">
        <v>227</v>
      </c>
      <c r="BI815" s="7"/>
      <c r="BJ815" s="4">
        <v>6</v>
      </c>
      <c r="BK815" s="8">
        <v>93.06</v>
      </c>
      <c r="BL815" s="2" t="s">
        <v>664</v>
      </c>
      <c r="BM815" s="7"/>
      <c r="BN815" s="7"/>
      <c r="BO815" s="4"/>
      <c r="BP815" s="8"/>
      <c r="BQ815" s="4"/>
      <c r="BR815" s="8"/>
      <c r="BS815" s="7"/>
      <c r="BT815" s="7"/>
      <c r="BU815" s="2" t="s">
        <v>4887</v>
      </c>
      <c r="BV815" s="2" t="s">
        <v>227</v>
      </c>
      <c r="BW815" s="2" t="s">
        <v>227</v>
      </c>
      <c r="BX815" s="2" t="s">
        <v>235</v>
      </c>
      <c r="BY815" s="2" t="s">
        <v>236</v>
      </c>
      <c r="BZ815" s="2" t="s">
        <v>224</v>
      </c>
      <c r="CA815" s="2" t="s">
        <v>4277</v>
      </c>
      <c r="CB815" s="2" t="s">
        <v>227</v>
      </c>
      <c r="CC815" s="2" t="s">
        <v>239</v>
      </c>
      <c r="CD815" s="2" t="s">
        <v>227</v>
      </c>
      <c r="CE815" s="4"/>
      <c r="CF815" s="4">
        <v>2</v>
      </c>
      <c r="CG815" s="4"/>
      <c r="CH815" s="4">
        <v>1228</v>
      </c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/>
      <c r="FA815" s="4"/>
      <c r="FB815" s="4"/>
      <c r="FC815" s="4"/>
      <c r="FD815" s="4"/>
      <c r="FE815" s="4"/>
      <c r="FF815" s="4"/>
      <c r="FG815" s="4"/>
      <c r="FH815" s="4"/>
      <c r="FI815" s="4"/>
      <c r="FJ815" s="4"/>
      <c r="FK815" s="4"/>
      <c r="FL815" s="4"/>
      <c r="FM815" s="4"/>
      <c r="FN815" s="4"/>
      <c r="FO815" s="4"/>
      <c r="FP815" s="4"/>
      <c r="FQ815" s="4"/>
      <c r="FR815" s="4"/>
      <c r="FS815" s="4"/>
      <c r="FT815" s="4"/>
      <c r="FU815" s="4"/>
      <c r="FV815" s="4"/>
      <c r="FW815" s="4"/>
      <c r="FX815" s="4"/>
      <c r="FY815" s="4"/>
      <c r="FZ815" s="4"/>
      <c r="GA815" s="4"/>
      <c r="GB815" s="4"/>
      <c r="GC815" s="4"/>
      <c r="GD815" s="4"/>
      <c r="GE815" s="4"/>
      <c r="GF815" s="4"/>
      <c r="GG815" s="4"/>
      <c r="GH815" s="4"/>
      <c r="GI815" s="4"/>
      <c r="GJ815" s="4"/>
      <c r="GK815" s="4"/>
      <c r="GL815" s="4"/>
      <c r="GM815" s="4"/>
      <c r="GN815" s="4"/>
      <c r="GO815" s="4"/>
      <c r="GP815" s="4"/>
      <c r="GQ815" s="4"/>
      <c r="GR815" s="4"/>
      <c r="GS815" s="4"/>
      <c r="GT815" s="4"/>
      <c r="GU815" s="4"/>
      <c r="GV815" s="4"/>
      <c r="GW815" s="4"/>
      <c r="GX815" s="4"/>
    </row>
    <row r="816">
      <c r="A816" s="2" t="s">
        <v>4888</v>
      </c>
      <c r="B816" s="2" t="s">
        <v>635</v>
      </c>
      <c r="C816" s="2" t="s">
        <v>636</v>
      </c>
      <c r="D816" s="2" t="s">
        <v>637</v>
      </c>
      <c r="E816" s="2" t="s">
        <v>638</v>
      </c>
      <c r="F816" s="2" t="s">
        <v>921</v>
      </c>
      <c r="G816" s="2" t="s">
        <v>921</v>
      </c>
      <c r="H816" s="2" t="s">
        <v>921</v>
      </c>
      <c r="I816" s="2" t="s">
        <v>4882</v>
      </c>
      <c r="J816" s="2" t="s">
        <v>648</v>
      </c>
      <c r="K816" s="2" t="s">
        <v>4883</v>
      </c>
      <c r="L816" s="3">
        <v>18.65</v>
      </c>
      <c r="M816" s="3">
        <v>19.58</v>
      </c>
      <c r="N816" s="3">
        <v>26.99</v>
      </c>
      <c r="O816" s="2" t="s">
        <v>224</v>
      </c>
      <c r="P816" s="2" t="s">
        <v>550</v>
      </c>
      <c r="Q816" s="2" t="s">
        <v>226</v>
      </c>
      <c r="R816" s="2" t="s">
        <v>227</v>
      </c>
      <c r="S816" s="2" t="s">
        <v>227</v>
      </c>
      <c r="T816" s="2" t="s">
        <v>227</v>
      </c>
      <c r="U816" s="2" t="s">
        <v>552</v>
      </c>
      <c r="V816" s="2" t="s">
        <v>566</v>
      </c>
      <c r="W816" s="2" t="s">
        <v>231</v>
      </c>
      <c r="X816" s="2" t="s">
        <v>227</v>
      </c>
      <c r="Y816" s="2" t="s">
        <v>4884</v>
      </c>
      <c r="Z816" s="4">
        <v>1555</v>
      </c>
      <c r="AA816" s="4">
        <f>=ROUNDDOWN(259.166666666667,0)</f>
      </c>
      <c r="AB816" s="5">
        <v>6</v>
      </c>
      <c r="AC816" s="2" t="s">
        <v>227</v>
      </c>
      <c r="AD816" s="4"/>
      <c r="AE816" s="4"/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227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 t="s">
        <v>227</v>
      </c>
      <c r="AW816" s="8" t="s">
        <v>227</v>
      </c>
      <c r="AX816" s="4" t="s">
        <v>227</v>
      </c>
      <c r="AY816" s="8" t="s">
        <v>227</v>
      </c>
      <c r="AZ816" s="7" t="s">
        <v>227</v>
      </c>
      <c r="BA816" s="7" t="s">
        <v>227</v>
      </c>
      <c r="BB816" s="7"/>
      <c r="BC816" s="4" t="s">
        <v>227</v>
      </c>
      <c r="BD816" s="8" t="s">
        <v>227</v>
      </c>
      <c r="BE816" s="4" t="s">
        <v>227</v>
      </c>
      <c r="BF816" s="8" t="s">
        <v>227</v>
      </c>
      <c r="BG816" s="7" t="s">
        <v>227</v>
      </c>
      <c r="BH816" s="7" t="s">
        <v>227</v>
      </c>
      <c r="BI816" s="7"/>
      <c r="BJ816" s="4">
        <v>30</v>
      </c>
      <c r="BK816" s="8">
        <v>643.2</v>
      </c>
      <c r="BL816" s="2" t="s">
        <v>4889</v>
      </c>
      <c r="BM816" s="7"/>
      <c r="BN816" s="7"/>
      <c r="BO816" s="4"/>
      <c r="BP816" s="8"/>
      <c r="BQ816" s="4"/>
      <c r="BR816" s="8"/>
      <c r="BS816" s="7"/>
      <c r="BT816" s="7"/>
      <c r="BU816" s="2" t="s">
        <v>4890</v>
      </c>
      <c r="BV816" s="2" t="s">
        <v>227</v>
      </c>
      <c r="BW816" s="2" t="s">
        <v>227</v>
      </c>
      <c r="BX816" s="2" t="s">
        <v>235</v>
      </c>
      <c r="BY816" s="2" t="s">
        <v>236</v>
      </c>
      <c r="BZ816" s="2" t="s">
        <v>224</v>
      </c>
      <c r="CA816" s="2" t="s">
        <v>4277</v>
      </c>
      <c r="CB816" s="2" t="s">
        <v>227</v>
      </c>
      <c r="CC816" s="2" t="s">
        <v>239</v>
      </c>
      <c r="CD816" s="2" t="s">
        <v>227</v>
      </c>
      <c r="CE816" s="4"/>
      <c r="CF816" s="4">
        <v>180</v>
      </c>
      <c r="CG816" s="4"/>
      <c r="CH816" s="4">
        <v>1375</v>
      </c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/>
      <c r="EW816" s="4"/>
      <c r="EX816" s="4"/>
      <c r="EY816" s="4"/>
      <c r="EZ816" s="4"/>
      <c r="FA816" s="4"/>
      <c r="FB816" s="4"/>
      <c r="FC816" s="4"/>
      <c r="FD816" s="4"/>
      <c r="FE816" s="4"/>
      <c r="FF816" s="4"/>
      <c r="FG816" s="4"/>
      <c r="FH816" s="4"/>
      <c r="FI816" s="4"/>
      <c r="FJ816" s="4"/>
      <c r="FK816" s="4"/>
      <c r="FL816" s="4"/>
      <c r="FM816" s="4"/>
      <c r="FN816" s="4"/>
      <c r="FO816" s="4"/>
      <c r="FP816" s="4"/>
      <c r="FQ816" s="4"/>
      <c r="FR816" s="4"/>
      <c r="FS816" s="4"/>
      <c r="FT816" s="4"/>
      <c r="FU816" s="4"/>
      <c r="FV816" s="4"/>
      <c r="FW816" s="4"/>
      <c r="FX816" s="4"/>
      <c r="FY816" s="4"/>
      <c r="FZ816" s="4"/>
      <c r="GA816" s="4"/>
      <c r="GB816" s="4"/>
      <c r="GC816" s="4"/>
      <c r="GD816" s="4"/>
      <c r="GE816" s="4"/>
      <c r="GF816" s="4"/>
      <c r="GG816" s="4"/>
      <c r="GH816" s="4"/>
      <c r="GI816" s="4"/>
      <c r="GJ816" s="4"/>
      <c r="GK816" s="4"/>
      <c r="GL816" s="4"/>
      <c r="GM816" s="4"/>
      <c r="GN816" s="4"/>
      <c r="GO816" s="4"/>
      <c r="GP816" s="4"/>
      <c r="GQ816" s="4"/>
      <c r="GR816" s="4"/>
      <c r="GS816" s="4"/>
      <c r="GT816" s="4"/>
      <c r="GU816" s="4"/>
      <c r="GV816" s="4"/>
      <c r="GW816" s="4"/>
      <c r="GX816" s="4"/>
    </row>
    <row r="817">
      <c r="A817" s="2" t="s">
        <v>4891</v>
      </c>
      <c r="B817" s="2" t="s">
        <v>635</v>
      </c>
      <c r="C817" s="2" t="s">
        <v>636</v>
      </c>
      <c r="D817" s="2" t="s">
        <v>637</v>
      </c>
      <c r="E817" s="2" t="s">
        <v>638</v>
      </c>
      <c r="F817" s="2" t="s">
        <v>921</v>
      </c>
      <c r="G817" s="2" t="s">
        <v>921</v>
      </c>
      <c r="H817" s="2" t="s">
        <v>921</v>
      </c>
      <c r="I817" s="2" t="s">
        <v>4882</v>
      </c>
      <c r="J817" s="2" t="s">
        <v>653</v>
      </c>
      <c r="K817" s="2" t="s">
        <v>4883</v>
      </c>
      <c r="L817" s="3">
        <v>20.9</v>
      </c>
      <c r="M817" s="3">
        <v>21.95</v>
      </c>
      <c r="N817" s="3">
        <v>29.99</v>
      </c>
      <c r="O817" s="2" t="s">
        <v>224</v>
      </c>
      <c r="P817" s="2" t="s">
        <v>550</v>
      </c>
      <c r="Q817" s="2" t="s">
        <v>226</v>
      </c>
      <c r="R817" s="2" t="s">
        <v>227</v>
      </c>
      <c r="S817" s="2" t="s">
        <v>227</v>
      </c>
      <c r="T817" s="2" t="s">
        <v>227</v>
      </c>
      <c r="U817" s="2" t="s">
        <v>552</v>
      </c>
      <c r="V817" s="2" t="s">
        <v>566</v>
      </c>
      <c r="W817" s="2" t="s">
        <v>231</v>
      </c>
      <c r="X817" s="2" t="s">
        <v>227</v>
      </c>
      <c r="Y817" s="2" t="s">
        <v>4884</v>
      </c>
      <c r="Z817" s="4">
        <v>1306</v>
      </c>
      <c r="AA817" s="4">
        <f>=ROUNDDOWN(50.2307692307692,0)</f>
      </c>
      <c r="AB817" s="5">
        <v>26</v>
      </c>
      <c r="AC817" s="2" t="s">
        <v>227</v>
      </c>
      <c r="AD817" s="4"/>
      <c r="AE817" s="4"/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227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 t="s">
        <v>227</v>
      </c>
      <c r="AW817" s="8" t="s">
        <v>227</v>
      </c>
      <c r="AX817" s="4" t="s">
        <v>227</v>
      </c>
      <c r="AY817" s="8" t="s">
        <v>227</v>
      </c>
      <c r="AZ817" s="7" t="s">
        <v>227</v>
      </c>
      <c r="BA817" s="7" t="s">
        <v>227</v>
      </c>
      <c r="BB817" s="7"/>
      <c r="BC817" s="4" t="s">
        <v>227</v>
      </c>
      <c r="BD817" s="8" t="s">
        <v>227</v>
      </c>
      <c r="BE817" s="4" t="s">
        <v>227</v>
      </c>
      <c r="BF817" s="8" t="s">
        <v>227</v>
      </c>
      <c r="BG817" s="7" t="s">
        <v>227</v>
      </c>
      <c r="BH817" s="7" t="s">
        <v>227</v>
      </c>
      <c r="BI817" s="7"/>
      <c r="BJ817" s="4">
        <v>16</v>
      </c>
      <c r="BK817" s="8">
        <v>371.68</v>
      </c>
      <c r="BL817" s="2" t="s">
        <v>4892</v>
      </c>
      <c r="BM817" s="7"/>
      <c r="BN817" s="7"/>
      <c r="BO817" s="4"/>
      <c r="BP817" s="8"/>
      <c r="BQ817" s="4"/>
      <c r="BR817" s="8"/>
      <c r="BS817" s="7"/>
      <c r="BT817" s="7"/>
      <c r="BU817" s="2" t="s">
        <v>4893</v>
      </c>
      <c r="BV817" s="2" t="s">
        <v>227</v>
      </c>
      <c r="BW817" s="2" t="s">
        <v>227</v>
      </c>
      <c r="BX817" s="2" t="s">
        <v>235</v>
      </c>
      <c r="BY817" s="2" t="s">
        <v>236</v>
      </c>
      <c r="BZ817" s="2" t="s">
        <v>224</v>
      </c>
      <c r="CA817" s="2" t="s">
        <v>4277</v>
      </c>
      <c r="CB817" s="2" t="s">
        <v>227</v>
      </c>
      <c r="CC817" s="2" t="s">
        <v>239</v>
      </c>
      <c r="CD817" s="2" t="s">
        <v>227</v>
      </c>
      <c r="CE817" s="4"/>
      <c r="CF817" s="4">
        <v>2</v>
      </c>
      <c r="CG817" s="4"/>
      <c r="CH817" s="4">
        <v>1304</v>
      </c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/>
      <c r="FA817" s="4"/>
      <c r="FB817" s="4"/>
      <c r="FC817" s="4"/>
      <c r="FD817" s="4"/>
      <c r="FE817" s="4"/>
      <c r="FF817" s="4"/>
      <c r="FG817" s="4"/>
      <c r="FH817" s="4"/>
      <c r="FI817" s="4"/>
      <c r="FJ817" s="4"/>
      <c r="FK817" s="4"/>
      <c r="FL817" s="4"/>
      <c r="FM817" s="4"/>
      <c r="FN817" s="4"/>
      <c r="FO817" s="4"/>
      <c r="FP817" s="4"/>
      <c r="FQ817" s="4"/>
      <c r="FR817" s="4"/>
      <c r="FS817" s="4"/>
      <c r="FT817" s="4"/>
      <c r="FU817" s="4"/>
      <c r="FV817" s="4"/>
      <c r="FW817" s="4"/>
      <c r="FX817" s="4"/>
      <c r="FY817" s="4"/>
      <c r="FZ817" s="4"/>
      <c r="GA817" s="4"/>
      <c r="GB817" s="4"/>
      <c r="GC817" s="4"/>
      <c r="GD817" s="4"/>
      <c r="GE817" s="4"/>
      <c r="GF817" s="4"/>
      <c r="GG817" s="4"/>
      <c r="GH817" s="4"/>
      <c r="GI817" s="4"/>
      <c r="GJ817" s="4"/>
      <c r="GK817" s="4"/>
      <c r="GL817" s="4"/>
      <c r="GM817" s="4"/>
      <c r="GN817" s="4"/>
      <c r="GO817" s="4"/>
      <c r="GP817" s="4"/>
      <c r="GQ817" s="4"/>
      <c r="GR817" s="4"/>
      <c r="GS817" s="4"/>
      <c r="GT817" s="4"/>
      <c r="GU817" s="4"/>
      <c r="GV817" s="4"/>
      <c r="GW817" s="4"/>
      <c r="GX817" s="4"/>
    </row>
    <row r="818">
      <c r="A818" s="2" t="s">
        <v>4894</v>
      </c>
      <c r="B818" s="2" t="s">
        <v>573</v>
      </c>
      <c r="C818" s="2" t="s">
        <v>668</v>
      </c>
      <c r="D818" s="2" t="s">
        <v>832</v>
      </c>
      <c r="E818" s="2" t="s">
        <v>833</v>
      </c>
      <c r="F818" s="2" t="s">
        <v>4895</v>
      </c>
      <c r="G818" s="2" t="s">
        <v>4895</v>
      </c>
      <c r="H818" s="2" t="s">
        <v>4895</v>
      </c>
      <c r="I818" s="2" t="s">
        <v>4896</v>
      </c>
      <c r="J818" s="2" t="s">
        <v>548</v>
      </c>
      <c r="K818" s="2" t="s">
        <v>410</v>
      </c>
      <c r="L818" s="3">
        <v>161.5</v>
      </c>
      <c r="M818" s="3">
        <v>169.58</v>
      </c>
      <c r="N818" s="3">
        <v>339</v>
      </c>
      <c r="O818" s="2" t="s">
        <v>224</v>
      </c>
      <c r="P818" s="2" t="s">
        <v>225</v>
      </c>
      <c r="Q818" s="2" t="s">
        <v>226</v>
      </c>
      <c r="R818" s="2" t="s">
        <v>227</v>
      </c>
      <c r="S818" s="2" t="s">
        <v>227</v>
      </c>
      <c r="T818" s="2" t="s">
        <v>227</v>
      </c>
      <c r="U818" s="2" t="s">
        <v>552</v>
      </c>
      <c r="V818" s="2" t="s">
        <v>230</v>
      </c>
      <c r="W818" s="2" t="s">
        <v>676</v>
      </c>
      <c r="X818" s="2" t="s">
        <v>836</v>
      </c>
      <c r="Y818" s="2" t="s">
        <v>4897</v>
      </c>
      <c r="Z818" s="4">
        <v>3</v>
      </c>
      <c r="AA818" s="4">
        <f>=ROUNDDOWN(0.375,0)</f>
      </c>
      <c r="AB818" s="5">
        <v>8</v>
      </c>
      <c r="AC818" s="2" t="s">
        <v>4898</v>
      </c>
      <c r="AD818" s="4">
        <v>60</v>
      </c>
      <c r="AE818" s="4">
        <v>252</v>
      </c>
      <c r="AF818" s="6">
        <v>74</v>
      </c>
      <c r="AG818" s="6">
        <v>60</v>
      </c>
      <c r="AH818" s="7">
        <v>0.0645</v>
      </c>
      <c r="AI818" s="4"/>
      <c r="AJ818" s="4">
        <f>=ROUNDDOWN({0},0)</f>
      </c>
      <c r="AK818" s="5"/>
      <c r="AL818" s="2" t="s">
        <v>227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/>
      <c r="AW818" s="8"/>
      <c r="AX818" s="4"/>
      <c r="AY818" s="8"/>
      <c r="AZ818" s="7"/>
      <c r="BA818" s="7"/>
      <c r="BB818" s="7"/>
      <c r="BC818" s="4" t="s">
        <v>227</v>
      </c>
      <c r="BD818" s="8" t="s">
        <v>227</v>
      </c>
      <c r="BE818" s="4" t="s">
        <v>227</v>
      </c>
      <c r="BF818" s="8" t="s">
        <v>227</v>
      </c>
      <c r="BG818" s="7" t="s">
        <v>227</v>
      </c>
      <c r="BH818" s="7" t="s">
        <v>227</v>
      </c>
      <c r="BI818" s="7"/>
      <c r="BJ818" s="4">
        <v>13</v>
      </c>
      <c r="BK818" s="8">
        <v>1997.57</v>
      </c>
      <c r="BL818" s="2" t="s">
        <v>4899</v>
      </c>
      <c r="BM818" s="7"/>
      <c r="BN818" s="7"/>
      <c r="BO818" s="4"/>
      <c r="BP818" s="8"/>
      <c r="BQ818" s="4"/>
      <c r="BR818" s="8"/>
      <c r="BS818" s="7"/>
      <c r="BT818" s="7"/>
      <c r="BU818" s="2" t="s">
        <v>4900</v>
      </c>
      <c r="BV818" s="2" t="s">
        <v>227</v>
      </c>
      <c r="BW818" s="2" t="s">
        <v>227</v>
      </c>
      <c r="BX818" s="2" t="s">
        <v>4364</v>
      </c>
      <c r="BY818" s="2" t="s">
        <v>236</v>
      </c>
      <c r="BZ818" s="2" t="s">
        <v>224</v>
      </c>
      <c r="CA818" s="2" t="s">
        <v>4897</v>
      </c>
      <c r="CB818" s="2" t="s">
        <v>4901</v>
      </c>
      <c r="CC818" s="2" t="s">
        <v>239</v>
      </c>
      <c r="CD818" s="2" t="s">
        <v>227</v>
      </c>
      <c r="CE818" s="4"/>
      <c r="CF818" s="4">
        <v>3</v>
      </c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>
        <v>60</v>
      </c>
      <c r="EI818" s="4"/>
      <c r="EJ818" s="4"/>
      <c r="EK818" s="4"/>
      <c r="EL818" s="4"/>
      <c r="EM818" s="4"/>
      <c r="EN818" s="4"/>
      <c r="EO818" s="4"/>
      <c r="EP818" s="4"/>
      <c r="EQ818" s="4"/>
      <c r="ER818" s="4"/>
      <c r="ES818" s="4"/>
      <c r="ET818" s="4"/>
      <c r="EU818" s="4"/>
      <c r="EV818" s="4"/>
      <c r="EW818" s="4"/>
      <c r="EX818" s="4"/>
      <c r="EY818" s="4"/>
      <c r="EZ818" s="4"/>
      <c r="FA818" s="4"/>
      <c r="FB818" s="4"/>
      <c r="FC818" s="4">
        <v>60</v>
      </c>
      <c r="FD818" s="4"/>
      <c r="FE818" s="4"/>
      <c r="FF818" s="4"/>
      <c r="FG818" s="4"/>
      <c r="FH818" s="4"/>
      <c r="FI818" s="4"/>
      <c r="FJ818" s="4"/>
      <c r="FK818" s="4"/>
      <c r="FL818" s="4"/>
      <c r="FM818" s="4"/>
      <c r="FN818" s="4">
        <v>82</v>
      </c>
      <c r="FO818" s="4"/>
      <c r="FP818" s="4"/>
      <c r="FQ818" s="4"/>
      <c r="FR818" s="4"/>
      <c r="FS818" s="4"/>
      <c r="FT818" s="4"/>
      <c r="FU818" s="4"/>
      <c r="FV818" s="4"/>
      <c r="FW818" s="4"/>
      <c r="FX818" s="4"/>
      <c r="FY818" s="4"/>
      <c r="FZ818" s="4"/>
      <c r="GA818" s="4"/>
      <c r="GB818" s="4"/>
      <c r="GC818" s="4"/>
      <c r="GD818" s="4"/>
      <c r="GE818" s="4"/>
      <c r="GF818" s="4"/>
      <c r="GG818" s="4"/>
      <c r="GH818" s="4"/>
      <c r="GI818" s="4"/>
      <c r="GJ818" s="4"/>
      <c r="GK818" s="4"/>
      <c r="GL818" s="4"/>
      <c r="GM818" s="4">
        <v>50</v>
      </c>
      <c r="GN818" s="4"/>
      <c r="GO818" s="4"/>
      <c r="GP818" s="4"/>
      <c r="GQ818" s="4"/>
      <c r="GR818" s="4"/>
      <c r="GS818" s="4"/>
      <c r="GT818" s="4"/>
      <c r="GU818" s="4"/>
      <c r="GV818" s="4"/>
      <c r="GW818" s="4"/>
      <c r="GX818" s="4"/>
    </row>
    <row r="819">
      <c r="A819" s="2" t="s">
        <v>4902</v>
      </c>
      <c r="B819" s="2" t="s">
        <v>573</v>
      </c>
      <c r="C819" s="2" t="s">
        <v>668</v>
      </c>
      <c r="D819" s="2" t="s">
        <v>832</v>
      </c>
      <c r="E819" s="2" t="s">
        <v>833</v>
      </c>
      <c r="F819" s="2" t="s">
        <v>4895</v>
      </c>
      <c r="G819" s="2" t="s">
        <v>4895</v>
      </c>
      <c r="H819" s="2" t="s">
        <v>4895</v>
      </c>
      <c r="I819" s="2" t="s">
        <v>4896</v>
      </c>
      <c r="J819" s="2" t="s">
        <v>548</v>
      </c>
      <c r="K819" s="2" t="s">
        <v>610</v>
      </c>
      <c r="L819" s="3">
        <v>161.5</v>
      </c>
      <c r="M819" s="3">
        <v>169.58</v>
      </c>
      <c r="N819" s="3">
        <v>339</v>
      </c>
      <c r="O819" s="2" t="s">
        <v>224</v>
      </c>
      <c r="P819" s="2" t="s">
        <v>225</v>
      </c>
      <c r="Q819" s="2" t="s">
        <v>226</v>
      </c>
      <c r="R819" s="2" t="s">
        <v>227</v>
      </c>
      <c r="S819" s="2" t="s">
        <v>227</v>
      </c>
      <c r="T819" s="2" t="s">
        <v>227</v>
      </c>
      <c r="U819" s="2" t="s">
        <v>552</v>
      </c>
      <c r="V819" s="2" t="s">
        <v>230</v>
      </c>
      <c r="W819" s="2" t="s">
        <v>676</v>
      </c>
      <c r="X819" s="2" t="s">
        <v>836</v>
      </c>
      <c r="Y819" s="2" t="s">
        <v>4897</v>
      </c>
      <c r="Z819" s="4">
        <v>65</v>
      </c>
      <c r="AA819" s="4">
        <f>=ROUNDDOWN(5.90909090909091,0)</f>
      </c>
      <c r="AB819" s="5">
        <v>11</v>
      </c>
      <c r="AC819" s="2" t="s">
        <v>155</v>
      </c>
      <c r="AD819" s="4">
        <v>25</v>
      </c>
      <c r="AE819" s="4">
        <v>280</v>
      </c>
      <c r="AF819" s="6">
        <v>74</v>
      </c>
      <c r="AG819" s="6">
        <v>60</v>
      </c>
      <c r="AH819" s="7">
        <v>1</v>
      </c>
      <c r="AI819" s="4"/>
      <c r="AJ819" s="4">
        <f>=ROUNDDOWN({0},0)</f>
      </c>
      <c r="AK819" s="5"/>
      <c r="AL819" s="2" t="s">
        <v>227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/>
      <c r="AW819" s="8"/>
      <c r="AX819" s="4"/>
      <c r="AY819" s="8"/>
      <c r="AZ819" s="7"/>
      <c r="BA819" s="7"/>
      <c r="BB819" s="7"/>
      <c r="BC819" s="4" t="s">
        <v>227</v>
      </c>
      <c r="BD819" s="8" t="s">
        <v>227</v>
      </c>
      <c r="BE819" s="4" t="s">
        <v>227</v>
      </c>
      <c r="BF819" s="8" t="s">
        <v>227</v>
      </c>
      <c r="BG819" s="7" t="s">
        <v>227</v>
      </c>
      <c r="BH819" s="7" t="s">
        <v>227</v>
      </c>
      <c r="BI819" s="7"/>
      <c r="BJ819" s="4">
        <v>59</v>
      </c>
      <c r="BK819" s="8">
        <v>8474.22</v>
      </c>
      <c r="BL819" s="2" t="s">
        <v>4903</v>
      </c>
      <c r="BM819" s="7"/>
      <c r="BN819" s="7"/>
      <c r="BO819" s="4"/>
      <c r="BP819" s="8"/>
      <c r="BQ819" s="4"/>
      <c r="BR819" s="8"/>
      <c r="BS819" s="7"/>
      <c r="BT819" s="7"/>
      <c r="BU819" s="2" t="s">
        <v>4904</v>
      </c>
      <c r="BV819" s="2" t="s">
        <v>227</v>
      </c>
      <c r="BW819" s="2" t="s">
        <v>227</v>
      </c>
      <c r="BX819" s="2" t="s">
        <v>4364</v>
      </c>
      <c r="BY819" s="2" t="s">
        <v>236</v>
      </c>
      <c r="BZ819" s="2" t="s">
        <v>224</v>
      </c>
      <c r="CA819" s="2" t="s">
        <v>4897</v>
      </c>
      <c r="CB819" s="2" t="s">
        <v>4905</v>
      </c>
      <c r="CC819" s="2" t="s">
        <v>239</v>
      </c>
      <c r="CD819" s="2" t="s">
        <v>227</v>
      </c>
      <c r="CE819" s="4"/>
      <c r="CF819" s="4">
        <v>65</v>
      </c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>
        <v>25</v>
      </c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>
        <v>96</v>
      </c>
      <c r="FD819" s="4"/>
      <c r="FE819" s="4"/>
      <c r="FF819" s="4"/>
      <c r="FG819" s="4"/>
      <c r="FH819" s="4"/>
      <c r="FI819" s="4"/>
      <c r="FJ819" s="4"/>
      <c r="FK819" s="4"/>
      <c r="FL819" s="4"/>
      <c r="FM819" s="4"/>
      <c r="FN819" s="4">
        <v>69</v>
      </c>
      <c r="FO819" s="4"/>
      <c r="FP819" s="4"/>
      <c r="FQ819" s="4"/>
      <c r="FR819" s="4"/>
      <c r="FS819" s="4"/>
      <c r="FT819" s="4"/>
      <c r="FU819" s="4"/>
      <c r="FV819" s="4"/>
      <c r="FW819" s="4"/>
      <c r="FX819" s="4"/>
      <c r="FY819" s="4"/>
      <c r="FZ819" s="4"/>
      <c r="GA819" s="4"/>
      <c r="GB819" s="4">
        <v>90</v>
      </c>
      <c r="GC819" s="4"/>
      <c r="GD819" s="4"/>
      <c r="GE819" s="4"/>
      <c r="GF819" s="4"/>
      <c r="GG819" s="4"/>
      <c r="GH819" s="4"/>
      <c r="GI819" s="4"/>
      <c r="GJ819" s="4"/>
      <c r="GK819" s="4"/>
      <c r="GL819" s="4"/>
      <c r="GM819" s="4"/>
      <c r="GN819" s="4"/>
      <c r="GO819" s="4"/>
      <c r="GP819" s="4"/>
      <c r="GQ819" s="4"/>
      <c r="GR819" s="4"/>
      <c r="GS819" s="4"/>
      <c r="GT819" s="4"/>
      <c r="GU819" s="4"/>
      <c r="GV819" s="4"/>
      <c r="GW819" s="4"/>
      <c r="GX819" s="4"/>
    </row>
    <row r="820">
      <c r="A820" s="2" t="s">
        <v>4906</v>
      </c>
      <c r="B820" s="2" t="s">
        <v>278</v>
      </c>
      <c r="C820" s="2" t="s">
        <v>1299</v>
      </c>
      <c r="D820" s="2" t="s">
        <v>280</v>
      </c>
      <c r="E820" s="2" t="s">
        <v>281</v>
      </c>
      <c r="F820" s="2" t="s">
        <v>2101</v>
      </c>
      <c r="G820" s="2" t="s">
        <v>2101</v>
      </c>
      <c r="H820" s="2" t="s">
        <v>2101</v>
      </c>
      <c r="I820" s="2" t="s">
        <v>4907</v>
      </c>
      <c r="J820" s="2" t="s">
        <v>222</v>
      </c>
      <c r="K820" s="2" t="s">
        <v>4908</v>
      </c>
      <c r="L820" s="3">
        <v>12.6</v>
      </c>
      <c r="M820" s="3">
        <v>13.23</v>
      </c>
      <c r="N820" s="3">
        <v>27.99</v>
      </c>
      <c r="O820" s="2" t="s">
        <v>224</v>
      </c>
      <c r="P820" s="2" t="s">
        <v>225</v>
      </c>
      <c r="Q820" s="2" t="s">
        <v>226</v>
      </c>
      <c r="R820" s="2" t="s">
        <v>227</v>
      </c>
      <c r="S820" s="2" t="s">
        <v>4909</v>
      </c>
      <c r="T820" s="2" t="s">
        <v>375</v>
      </c>
      <c r="U820" s="2" t="s">
        <v>227</v>
      </c>
      <c r="V820" s="2" t="s">
        <v>2101</v>
      </c>
      <c r="W820" s="2" t="s">
        <v>231</v>
      </c>
      <c r="X820" s="2" t="s">
        <v>227</v>
      </c>
      <c r="Y820" s="2" t="s">
        <v>3840</v>
      </c>
      <c r="Z820" s="4">
        <v>61</v>
      </c>
      <c r="AA820" s="4">
        <f>=ROUNDDOWN(12.2,0)</f>
      </c>
      <c r="AB820" s="5">
        <v>5</v>
      </c>
      <c r="AC820" s="2" t="s">
        <v>211</v>
      </c>
      <c r="AD820" s="4">
        <v>150</v>
      </c>
      <c r="AE820" s="4">
        <v>150</v>
      </c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227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 t="s">
        <v>227</v>
      </c>
      <c r="AW820" s="8" t="s">
        <v>227</v>
      </c>
      <c r="AX820" s="4" t="s">
        <v>227</v>
      </c>
      <c r="AY820" s="8" t="s">
        <v>227</v>
      </c>
      <c r="AZ820" s="7" t="s">
        <v>227</v>
      </c>
      <c r="BA820" s="7" t="s">
        <v>227</v>
      </c>
      <c r="BB820" s="7"/>
      <c r="BC820" s="4" t="s">
        <v>227</v>
      </c>
      <c r="BD820" s="8" t="s">
        <v>227</v>
      </c>
      <c r="BE820" s="4" t="s">
        <v>227</v>
      </c>
      <c r="BF820" s="8" t="s">
        <v>227</v>
      </c>
      <c r="BG820" s="7" t="s">
        <v>227</v>
      </c>
      <c r="BH820" s="7" t="s">
        <v>227</v>
      </c>
      <c r="BI820" s="7"/>
      <c r="BJ820" s="4">
        <v>23</v>
      </c>
      <c r="BK820" s="8">
        <v>321.15</v>
      </c>
      <c r="BL820" s="2" t="s">
        <v>3617</v>
      </c>
      <c r="BM820" s="7"/>
      <c r="BN820" s="7"/>
      <c r="BO820" s="4"/>
      <c r="BP820" s="8"/>
      <c r="BQ820" s="4"/>
      <c r="BR820" s="8"/>
      <c r="BS820" s="7"/>
      <c r="BT820" s="7"/>
      <c r="BU820" s="2" t="s">
        <v>4910</v>
      </c>
      <c r="BV820" s="2" t="s">
        <v>227</v>
      </c>
      <c r="BW820" s="2" t="s">
        <v>227</v>
      </c>
      <c r="BX820" s="2" t="s">
        <v>235</v>
      </c>
      <c r="BY820" s="2" t="s">
        <v>236</v>
      </c>
      <c r="BZ820" s="2" t="s">
        <v>224</v>
      </c>
      <c r="CA820" s="2" t="s">
        <v>4911</v>
      </c>
      <c r="CB820" s="2" t="s">
        <v>4912</v>
      </c>
      <c r="CC820" s="2" t="s">
        <v>239</v>
      </c>
      <c r="CD820" s="2" t="s">
        <v>227</v>
      </c>
      <c r="CE820" s="4">
        <v>61</v>
      </c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/>
      <c r="FA820" s="4"/>
      <c r="FB820" s="4"/>
      <c r="FC820" s="4"/>
      <c r="FD820" s="4"/>
      <c r="FE820" s="4"/>
      <c r="FF820" s="4"/>
      <c r="FG820" s="4"/>
      <c r="FH820" s="4"/>
      <c r="FI820" s="4"/>
      <c r="FJ820" s="4"/>
      <c r="FK820" s="4"/>
      <c r="FL820" s="4"/>
      <c r="FM820" s="4"/>
      <c r="FN820" s="4"/>
      <c r="FO820" s="4"/>
      <c r="FP820" s="4"/>
      <c r="FQ820" s="4"/>
      <c r="FR820" s="4"/>
      <c r="FS820" s="4"/>
      <c r="FT820" s="4"/>
      <c r="FU820" s="4"/>
      <c r="FV820" s="4"/>
      <c r="FW820" s="4"/>
      <c r="FX820" s="4"/>
      <c r="FY820" s="4"/>
      <c r="FZ820" s="4"/>
      <c r="GA820" s="4"/>
      <c r="GB820" s="4"/>
      <c r="GC820" s="4"/>
      <c r="GD820" s="4"/>
      <c r="GE820" s="4"/>
      <c r="GF820" s="4"/>
      <c r="GG820" s="4"/>
      <c r="GH820" s="4"/>
      <c r="GI820" s="4"/>
      <c r="GJ820" s="4"/>
      <c r="GK820" s="4"/>
      <c r="GL820" s="4"/>
      <c r="GM820" s="4"/>
      <c r="GN820" s="4"/>
      <c r="GO820" s="4"/>
      <c r="GP820" s="4"/>
      <c r="GQ820" s="4"/>
      <c r="GR820" s="4"/>
      <c r="GS820" s="4"/>
      <c r="GT820" s="4"/>
      <c r="GU820" s="4">
        <v>150</v>
      </c>
      <c r="GV820" s="4"/>
      <c r="GW820" s="4"/>
      <c r="GX820" s="4"/>
    </row>
    <row r="821">
      <c r="A821" s="2" t="s">
        <v>4913</v>
      </c>
      <c r="B821" s="2" t="s">
        <v>278</v>
      </c>
      <c r="C821" s="2" t="s">
        <v>1299</v>
      </c>
      <c r="D821" s="2" t="s">
        <v>280</v>
      </c>
      <c r="E821" s="2" t="s">
        <v>281</v>
      </c>
      <c r="F821" s="2" t="s">
        <v>2101</v>
      </c>
      <c r="G821" s="2" t="s">
        <v>2101</v>
      </c>
      <c r="H821" s="2" t="s">
        <v>2101</v>
      </c>
      <c r="I821" s="2" t="s">
        <v>4907</v>
      </c>
      <c r="J821" s="2" t="s">
        <v>4914</v>
      </c>
      <c r="K821" s="2" t="s">
        <v>4908</v>
      </c>
      <c r="L821" s="3">
        <v>12.6</v>
      </c>
      <c r="M821" s="3">
        <v>13.23</v>
      </c>
      <c r="N821" s="3">
        <v>27.99</v>
      </c>
      <c r="O821" s="2" t="s">
        <v>224</v>
      </c>
      <c r="P821" s="2" t="s">
        <v>225</v>
      </c>
      <c r="Q821" s="2" t="s">
        <v>226</v>
      </c>
      <c r="R821" s="2" t="s">
        <v>227</v>
      </c>
      <c r="S821" s="2" t="s">
        <v>4909</v>
      </c>
      <c r="T821" s="2" t="s">
        <v>375</v>
      </c>
      <c r="U821" s="2" t="s">
        <v>227</v>
      </c>
      <c r="V821" s="2" t="s">
        <v>2101</v>
      </c>
      <c r="W821" s="2" t="s">
        <v>231</v>
      </c>
      <c r="X821" s="2" t="s">
        <v>227</v>
      </c>
      <c r="Y821" s="2" t="s">
        <v>3840</v>
      </c>
      <c r="Z821" s="4">
        <v>78</v>
      </c>
      <c r="AA821" s="4">
        <f>=ROUNDDOWN(15.6,0)</f>
      </c>
      <c r="AB821" s="5">
        <v>5</v>
      </c>
      <c r="AC821" s="2" t="s">
        <v>211</v>
      </c>
      <c r="AD821" s="4">
        <v>150</v>
      </c>
      <c r="AE821" s="4">
        <v>150</v>
      </c>
      <c r="AF821" s="6">
        <v>65</v>
      </c>
      <c r="AG821" s="6"/>
      <c r="AH821" s="7">
        <v>1</v>
      </c>
      <c r="AI821" s="4"/>
      <c r="AJ821" s="4">
        <f>=ROUNDDOWN({0},0)</f>
      </c>
      <c r="AK821" s="5"/>
      <c r="AL821" s="2" t="s">
        <v>227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 t="s">
        <v>227</v>
      </c>
      <c r="AW821" s="8" t="s">
        <v>227</v>
      </c>
      <c r="AX821" s="4" t="s">
        <v>227</v>
      </c>
      <c r="AY821" s="8" t="s">
        <v>227</v>
      </c>
      <c r="AZ821" s="7" t="s">
        <v>227</v>
      </c>
      <c r="BA821" s="7" t="s">
        <v>227</v>
      </c>
      <c r="BB821" s="7"/>
      <c r="BC821" s="4" t="s">
        <v>227</v>
      </c>
      <c r="BD821" s="8" t="s">
        <v>227</v>
      </c>
      <c r="BE821" s="4" t="s">
        <v>227</v>
      </c>
      <c r="BF821" s="8" t="s">
        <v>227</v>
      </c>
      <c r="BG821" s="7" t="s">
        <v>227</v>
      </c>
      <c r="BH821" s="7" t="s">
        <v>227</v>
      </c>
      <c r="BI821" s="7"/>
      <c r="BJ821" s="4">
        <v>28</v>
      </c>
      <c r="BK821" s="8">
        <v>397.51</v>
      </c>
      <c r="BL821" s="2" t="s">
        <v>4915</v>
      </c>
      <c r="BM821" s="7"/>
      <c r="BN821" s="7"/>
      <c r="BO821" s="4"/>
      <c r="BP821" s="8"/>
      <c r="BQ821" s="4"/>
      <c r="BR821" s="8"/>
      <c r="BS821" s="7"/>
      <c r="BT821" s="7"/>
      <c r="BU821" s="2" t="s">
        <v>4916</v>
      </c>
      <c r="BV821" s="2" t="s">
        <v>227</v>
      </c>
      <c r="BW821" s="2" t="s">
        <v>227</v>
      </c>
      <c r="BX821" s="2" t="s">
        <v>235</v>
      </c>
      <c r="BY821" s="2" t="s">
        <v>236</v>
      </c>
      <c r="BZ821" s="2" t="s">
        <v>224</v>
      </c>
      <c r="CA821" s="2" t="s">
        <v>4911</v>
      </c>
      <c r="CB821" s="2" t="s">
        <v>4866</v>
      </c>
      <c r="CC821" s="2" t="s">
        <v>239</v>
      </c>
      <c r="CD821" s="2" t="s">
        <v>227</v>
      </c>
      <c r="CE821" s="4">
        <v>78</v>
      </c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/>
      <c r="FD821" s="4"/>
      <c r="FE821" s="4"/>
      <c r="FF821" s="4"/>
      <c r="FG821" s="4"/>
      <c r="FH821" s="4"/>
      <c r="FI821" s="4"/>
      <c r="FJ821" s="4"/>
      <c r="FK821" s="4"/>
      <c r="FL821" s="4"/>
      <c r="FM821" s="4"/>
      <c r="FN821" s="4"/>
      <c r="FO821" s="4"/>
      <c r="FP821" s="4"/>
      <c r="FQ821" s="4"/>
      <c r="FR821" s="4"/>
      <c r="FS821" s="4"/>
      <c r="FT821" s="4"/>
      <c r="FU821" s="4"/>
      <c r="FV821" s="4"/>
      <c r="FW821" s="4"/>
      <c r="FX821" s="4"/>
      <c r="FY821" s="4"/>
      <c r="FZ821" s="4"/>
      <c r="GA821" s="4"/>
      <c r="GB821" s="4"/>
      <c r="GC821" s="4"/>
      <c r="GD821" s="4"/>
      <c r="GE821" s="4"/>
      <c r="GF821" s="4"/>
      <c r="GG821" s="4"/>
      <c r="GH821" s="4"/>
      <c r="GI821" s="4"/>
      <c r="GJ821" s="4"/>
      <c r="GK821" s="4"/>
      <c r="GL821" s="4"/>
      <c r="GM821" s="4"/>
      <c r="GN821" s="4"/>
      <c r="GO821" s="4"/>
      <c r="GP821" s="4"/>
      <c r="GQ821" s="4"/>
      <c r="GR821" s="4"/>
      <c r="GS821" s="4"/>
      <c r="GT821" s="4"/>
      <c r="GU821" s="4">
        <v>150</v>
      </c>
      <c r="GV821" s="4"/>
      <c r="GW821" s="4"/>
      <c r="GX821" s="4"/>
    </row>
    <row r="822">
      <c r="A822" s="2" t="s">
        <v>4917</v>
      </c>
      <c r="B822" s="2" t="s">
        <v>278</v>
      </c>
      <c r="C822" s="2" t="s">
        <v>1299</v>
      </c>
      <c r="D822" s="2" t="s">
        <v>280</v>
      </c>
      <c r="E822" s="2" t="s">
        <v>281</v>
      </c>
      <c r="F822" s="2" t="s">
        <v>2101</v>
      </c>
      <c r="G822" s="2" t="s">
        <v>2101</v>
      </c>
      <c r="H822" s="2" t="s">
        <v>2101</v>
      </c>
      <c r="I822" s="2" t="s">
        <v>4907</v>
      </c>
      <c r="J822" s="2" t="s">
        <v>4914</v>
      </c>
      <c r="K822" s="2" t="s">
        <v>4918</v>
      </c>
      <c r="L822" s="3">
        <v>12.6</v>
      </c>
      <c r="M822" s="3">
        <v>13.23</v>
      </c>
      <c r="N822" s="3">
        <v>27.99</v>
      </c>
      <c r="O822" s="2" t="s">
        <v>224</v>
      </c>
      <c r="P822" s="2" t="s">
        <v>225</v>
      </c>
      <c r="Q822" s="2" t="s">
        <v>226</v>
      </c>
      <c r="R822" s="2" t="s">
        <v>227</v>
      </c>
      <c r="S822" s="2" t="s">
        <v>4919</v>
      </c>
      <c r="T822" s="2" t="s">
        <v>375</v>
      </c>
      <c r="U822" s="2" t="s">
        <v>674</v>
      </c>
      <c r="V822" s="2" t="s">
        <v>2101</v>
      </c>
      <c r="W822" s="2" t="s">
        <v>231</v>
      </c>
      <c r="X822" s="2" t="s">
        <v>227</v>
      </c>
      <c r="Y822" s="2" t="s">
        <v>3840</v>
      </c>
      <c r="Z822" s="4">
        <v>137</v>
      </c>
      <c r="AA822" s="4">
        <f>=ROUNDDOWN(45.6666666666667,0)</f>
      </c>
      <c r="AB822" s="5">
        <v>3</v>
      </c>
      <c r="AC822" s="2" t="s">
        <v>821</v>
      </c>
      <c r="AD822" s="4">
        <v>80</v>
      </c>
      <c r="AE822" s="4">
        <v>80</v>
      </c>
      <c r="AF822" s="6">
        <v>65</v>
      </c>
      <c r="AG822" s="6"/>
      <c r="AH822" s="7">
        <v>1</v>
      </c>
      <c r="AI822" s="4"/>
      <c r="AJ822" s="4">
        <f>=ROUNDDOWN({0},0)</f>
      </c>
      <c r="AK822" s="5"/>
      <c r="AL822" s="2" t="s">
        <v>227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227</v>
      </c>
      <c r="AW822" s="8" t="s">
        <v>227</v>
      </c>
      <c r="AX822" s="4" t="s">
        <v>227</v>
      </c>
      <c r="AY822" s="8" t="s">
        <v>227</v>
      </c>
      <c r="AZ822" s="7" t="s">
        <v>227</v>
      </c>
      <c r="BA822" s="7" t="s">
        <v>227</v>
      </c>
      <c r="BB822" s="7"/>
      <c r="BC822" s="4" t="s">
        <v>227</v>
      </c>
      <c r="BD822" s="8" t="s">
        <v>227</v>
      </c>
      <c r="BE822" s="4" t="s">
        <v>227</v>
      </c>
      <c r="BF822" s="8" t="s">
        <v>227</v>
      </c>
      <c r="BG822" s="7" t="s">
        <v>227</v>
      </c>
      <c r="BH822" s="7" t="s">
        <v>227</v>
      </c>
      <c r="BI822" s="7"/>
      <c r="BJ822" s="4">
        <v>13</v>
      </c>
      <c r="BK822" s="8">
        <v>181.4</v>
      </c>
      <c r="BL822" s="2" t="s">
        <v>2819</v>
      </c>
      <c r="BM822" s="7"/>
      <c r="BN822" s="7"/>
      <c r="BO822" s="4"/>
      <c r="BP822" s="8"/>
      <c r="BQ822" s="4"/>
      <c r="BR822" s="8"/>
      <c r="BS822" s="7"/>
      <c r="BT822" s="7"/>
      <c r="BU822" s="2" t="s">
        <v>4920</v>
      </c>
      <c r="BV822" s="2" t="s">
        <v>227</v>
      </c>
      <c r="BW822" s="2" t="s">
        <v>227</v>
      </c>
      <c r="BX822" s="2" t="s">
        <v>235</v>
      </c>
      <c r="BY822" s="2" t="s">
        <v>236</v>
      </c>
      <c r="BZ822" s="2" t="s">
        <v>224</v>
      </c>
      <c r="CA822" s="2" t="s">
        <v>4911</v>
      </c>
      <c r="CB822" s="2" t="s">
        <v>4849</v>
      </c>
      <c r="CC822" s="2" t="s">
        <v>239</v>
      </c>
      <c r="CD822" s="2" t="s">
        <v>227</v>
      </c>
      <c r="CE822" s="4">
        <v>137</v>
      </c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>
        <v>80</v>
      </c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  <c r="EM822" s="4"/>
      <c r="EN822" s="4"/>
      <c r="EO822" s="4"/>
      <c r="EP822" s="4"/>
      <c r="EQ822" s="4"/>
      <c r="ER822" s="4"/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/>
      <c r="FE822" s="4"/>
      <c r="FF822" s="4"/>
      <c r="FG822" s="4"/>
      <c r="FH822" s="4"/>
      <c r="FI822" s="4"/>
      <c r="FJ822" s="4"/>
      <c r="FK822" s="4"/>
      <c r="FL822" s="4"/>
      <c r="FM822" s="4"/>
      <c r="FN822" s="4"/>
      <c r="FO822" s="4"/>
      <c r="FP822" s="4"/>
      <c r="FQ822" s="4"/>
      <c r="FR822" s="4"/>
      <c r="FS822" s="4"/>
      <c r="FT822" s="4"/>
      <c r="FU822" s="4"/>
      <c r="FV822" s="4"/>
      <c r="FW822" s="4"/>
      <c r="FX822" s="4"/>
      <c r="FY822" s="4"/>
      <c r="FZ822" s="4"/>
      <c r="GA822" s="4"/>
      <c r="GB822" s="4"/>
      <c r="GC822" s="4"/>
      <c r="GD822" s="4"/>
      <c r="GE822" s="4"/>
      <c r="GF822" s="4"/>
      <c r="GG822" s="4"/>
      <c r="GH822" s="4"/>
      <c r="GI822" s="4"/>
      <c r="GJ822" s="4"/>
      <c r="GK822" s="4"/>
      <c r="GL822" s="4"/>
      <c r="GM822" s="4"/>
      <c r="GN822" s="4"/>
      <c r="GO822" s="4"/>
      <c r="GP822" s="4"/>
      <c r="GQ822" s="4"/>
      <c r="GR822" s="4"/>
      <c r="GS822" s="4"/>
      <c r="GT822" s="4"/>
      <c r="GU822" s="4"/>
      <c r="GV822" s="4"/>
      <c r="GW822" s="4"/>
      <c r="GX822" s="4"/>
    </row>
    <row r="823">
      <c r="A823" s="2" t="s">
        <v>4921</v>
      </c>
      <c r="B823" s="2" t="s">
        <v>278</v>
      </c>
      <c r="C823" s="2" t="s">
        <v>1299</v>
      </c>
      <c r="D823" s="2" t="s">
        <v>280</v>
      </c>
      <c r="E823" s="2" t="s">
        <v>281</v>
      </c>
      <c r="F823" s="2" t="s">
        <v>2101</v>
      </c>
      <c r="G823" s="2" t="s">
        <v>2101</v>
      </c>
      <c r="H823" s="2" t="s">
        <v>2101</v>
      </c>
      <c r="I823" s="2" t="s">
        <v>4907</v>
      </c>
      <c r="J823" s="2" t="s">
        <v>252</v>
      </c>
      <c r="K823" s="2" t="s">
        <v>4918</v>
      </c>
      <c r="L823" s="3">
        <v>14.85</v>
      </c>
      <c r="M823" s="3">
        <v>15.59</v>
      </c>
      <c r="N823" s="3">
        <v>32.99</v>
      </c>
      <c r="O823" s="2" t="s">
        <v>224</v>
      </c>
      <c r="P823" s="2" t="s">
        <v>225</v>
      </c>
      <c r="Q823" s="2" t="s">
        <v>226</v>
      </c>
      <c r="R823" s="2" t="s">
        <v>227</v>
      </c>
      <c r="S823" s="2" t="s">
        <v>4919</v>
      </c>
      <c r="T823" s="2" t="s">
        <v>375</v>
      </c>
      <c r="U823" s="2" t="s">
        <v>287</v>
      </c>
      <c r="V823" s="2" t="s">
        <v>2101</v>
      </c>
      <c r="W823" s="2" t="s">
        <v>231</v>
      </c>
      <c r="X823" s="2" t="s">
        <v>227</v>
      </c>
      <c r="Y823" s="2" t="s">
        <v>3840</v>
      </c>
      <c r="Z823" s="4">
        <v>174</v>
      </c>
      <c r="AA823" s="4">
        <f>=ROUNDDOWN(9.15789473684211,0)</f>
      </c>
      <c r="AB823" s="5">
        <v>19</v>
      </c>
      <c r="AC823" s="2" t="s">
        <v>821</v>
      </c>
      <c r="AD823" s="4">
        <v>380</v>
      </c>
      <c r="AE823" s="4">
        <v>380</v>
      </c>
      <c r="AF823" s="6">
        <v>65</v>
      </c>
      <c r="AG823" s="6"/>
      <c r="AH823" s="7">
        <v>1</v>
      </c>
      <c r="AI823" s="4"/>
      <c r="AJ823" s="4">
        <f>=ROUNDDOWN({0},0)</f>
      </c>
      <c r="AK823" s="5"/>
      <c r="AL823" s="2" t="s">
        <v>227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227</v>
      </c>
      <c r="AW823" s="8" t="s">
        <v>227</v>
      </c>
      <c r="AX823" s="4" t="s">
        <v>227</v>
      </c>
      <c r="AY823" s="8" t="s">
        <v>227</v>
      </c>
      <c r="AZ823" s="7" t="s">
        <v>227</v>
      </c>
      <c r="BA823" s="7" t="s">
        <v>227</v>
      </c>
      <c r="BB823" s="7"/>
      <c r="BC823" s="4" t="s">
        <v>227</v>
      </c>
      <c r="BD823" s="8" t="s">
        <v>227</v>
      </c>
      <c r="BE823" s="4" t="s">
        <v>227</v>
      </c>
      <c r="BF823" s="8" t="s">
        <v>227</v>
      </c>
      <c r="BG823" s="7" t="s">
        <v>227</v>
      </c>
      <c r="BH823" s="7" t="s">
        <v>227</v>
      </c>
      <c r="BI823" s="7"/>
      <c r="BJ823" s="4">
        <v>29</v>
      </c>
      <c r="BK823" s="8">
        <v>493.04</v>
      </c>
      <c r="BL823" s="2" t="s">
        <v>4915</v>
      </c>
      <c r="BM823" s="7"/>
      <c r="BN823" s="7"/>
      <c r="BO823" s="4"/>
      <c r="BP823" s="8"/>
      <c r="BQ823" s="4"/>
      <c r="BR823" s="8"/>
      <c r="BS823" s="7"/>
      <c r="BT823" s="7"/>
      <c r="BU823" s="2" t="s">
        <v>4922</v>
      </c>
      <c r="BV823" s="2" t="s">
        <v>227</v>
      </c>
      <c r="BW823" s="2" t="s">
        <v>227</v>
      </c>
      <c r="BX823" s="2" t="s">
        <v>235</v>
      </c>
      <c r="BY823" s="2" t="s">
        <v>236</v>
      </c>
      <c r="BZ823" s="2" t="s">
        <v>224</v>
      </c>
      <c r="CA823" s="2" t="s">
        <v>4911</v>
      </c>
      <c r="CB823" s="2" t="s">
        <v>3959</v>
      </c>
      <c r="CC823" s="2" t="s">
        <v>239</v>
      </c>
      <c r="CD823" s="2" t="s">
        <v>227</v>
      </c>
      <c r="CE823" s="4">
        <v>174</v>
      </c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>
        <v>380</v>
      </c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/>
      <c r="FA823" s="4"/>
      <c r="FB823" s="4"/>
      <c r="FC823" s="4"/>
      <c r="FD823" s="4"/>
      <c r="FE823" s="4"/>
      <c r="FF823" s="4"/>
      <c r="FG823" s="4"/>
      <c r="FH823" s="4"/>
      <c r="FI823" s="4"/>
      <c r="FJ823" s="4"/>
      <c r="FK823" s="4"/>
      <c r="FL823" s="4"/>
      <c r="FM823" s="4"/>
      <c r="FN823" s="4"/>
      <c r="FO823" s="4"/>
      <c r="FP823" s="4"/>
      <c r="FQ823" s="4"/>
      <c r="FR823" s="4"/>
      <c r="FS823" s="4"/>
      <c r="FT823" s="4"/>
      <c r="FU823" s="4"/>
      <c r="FV823" s="4"/>
      <c r="FW823" s="4"/>
      <c r="FX823" s="4"/>
      <c r="FY823" s="4"/>
      <c r="FZ823" s="4"/>
      <c r="GA823" s="4"/>
      <c r="GB823" s="4"/>
      <c r="GC823" s="4"/>
      <c r="GD823" s="4"/>
      <c r="GE823" s="4"/>
      <c r="GF823" s="4"/>
      <c r="GG823" s="4"/>
      <c r="GH823" s="4"/>
      <c r="GI823" s="4"/>
      <c r="GJ823" s="4"/>
      <c r="GK823" s="4"/>
      <c r="GL823" s="4"/>
      <c r="GM823" s="4"/>
      <c r="GN823" s="4"/>
      <c r="GO823" s="4"/>
      <c r="GP823" s="4"/>
      <c r="GQ823" s="4"/>
      <c r="GR823" s="4"/>
      <c r="GS823" s="4"/>
      <c r="GT823" s="4"/>
      <c r="GU823" s="4"/>
      <c r="GV823" s="4"/>
      <c r="GW823" s="4"/>
      <c r="GX823" s="4"/>
    </row>
    <row r="824">
      <c r="A824" s="2" t="s">
        <v>4923</v>
      </c>
      <c r="B824" s="2" t="s">
        <v>278</v>
      </c>
      <c r="C824" s="2" t="s">
        <v>1299</v>
      </c>
      <c r="D824" s="2" t="s">
        <v>280</v>
      </c>
      <c r="E824" s="2" t="s">
        <v>281</v>
      </c>
      <c r="F824" s="2" t="s">
        <v>2101</v>
      </c>
      <c r="G824" s="2" t="s">
        <v>2101</v>
      </c>
      <c r="H824" s="2" t="s">
        <v>2101</v>
      </c>
      <c r="I824" s="2" t="s">
        <v>4907</v>
      </c>
      <c r="J824" s="2" t="s">
        <v>252</v>
      </c>
      <c r="K824" s="2" t="s">
        <v>4924</v>
      </c>
      <c r="L824" s="3">
        <v>14.85</v>
      </c>
      <c r="M824" s="3">
        <v>15.59</v>
      </c>
      <c r="N824" s="3">
        <v>32.99</v>
      </c>
      <c r="O824" s="2" t="s">
        <v>224</v>
      </c>
      <c r="P824" s="2" t="s">
        <v>225</v>
      </c>
      <c r="Q824" s="2" t="s">
        <v>226</v>
      </c>
      <c r="R824" s="2" t="s">
        <v>227</v>
      </c>
      <c r="S824" s="2" t="s">
        <v>4925</v>
      </c>
      <c r="T824" s="2" t="s">
        <v>375</v>
      </c>
      <c r="U824" s="2" t="s">
        <v>227</v>
      </c>
      <c r="V824" s="2" t="s">
        <v>2101</v>
      </c>
      <c r="W824" s="2" t="s">
        <v>231</v>
      </c>
      <c r="X824" s="2" t="s">
        <v>227</v>
      </c>
      <c r="Y824" s="2" t="s">
        <v>3840</v>
      </c>
      <c r="Z824" s="4">
        <v>265</v>
      </c>
      <c r="AA824" s="4">
        <f>=ROUNDDOWN(50.9615384615385,0)</f>
      </c>
      <c r="AB824" s="5">
        <v>5.2</v>
      </c>
      <c r="AC824" s="2" t="s">
        <v>211</v>
      </c>
      <c r="AD824" s="4">
        <v>100</v>
      </c>
      <c r="AE824" s="4">
        <v>100</v>
      </c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227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/>
      <c r="AW824" s="8"/>
      <c r="AX824" s="4"/>
      <c r="AY824" s="8"/>
      <c r="AZ824" s="7"/>
      <c r="BA824" s="7"/>
      <c r="BB824" s="7"/>
      <c r="BC824" s="4" t="s">
        <v>227</v>
      </c>
      <c r="BD824" s="8" t="s">
        <v>227</v>
      </c>
      <c r="BE824" s="4" t="s">
        <v>227</v>
      </c>
      <c r="BF824" s="8" t="s">
        <v>227</v>
      </c>
      <c r="BG824" s="7" t="s">
        <v>227</v>
      </c>
      <c r="BH824" s="7" t="s">
        <v>227</v>
      </c>
      <c r="BI824" s="7"/>
      <c r="BJ824" s="4">
        <v>27</v>
      </c>
      <c r="BK824" s="8">
        <v>446.74</v>
      </c>
      <c r="BL824" s="2" t="s">
        <v>4926</v>
      </c>
      <c r="BM824" s="7"/>
      <c r="BN824" s="7"/>
      <c r="BO824" s="4"/>
      <c r="BP824" s="8"/>
      <c r="BQ824" s="4"/>
      <c r="BR824" s="8"/>
      <c r="BS824" s="7"/>
      <c r="BT824" s="7"/>
      <c r="BU824" s="2" t="s">
        <v>4927</v>
      </c>
      <c r="BV824" s="2" t="s">
        <v>227</v>
      </c>
      <c r="BW824" s="2" t="s">
        <v>227</v>
      </c>
      <c r="BX824" s="2" t="s">
        <v>235</v>
      </c>
      <c r="BY824" s="2" t="s">
        <v>236</v>
      </c>
      <c r="BZ824" s="2" t="s">
        <v>224</v>
      </c>
      <c r="CA824" s="2" t="s">
        <v>4911</v>
      </c>
      <c r="CB824" s="2" t="s">
        <v>3959</v>
      </c>
      <c r="CC824" s="2" t="s">
        <v>239</v>
      </c>
      <c r="CD824" s="2" t="s">
        <v>227</v>
      </c>
      <c r="CE824" s="4">
        <v>265</v>
      </c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/>
      <c r="FB824" s="4"/>
      <c r="FC824" s="4"/>
      <c r="FD824" s="4"/>
      <c r="FE824" s="4"/>
      <c r="FF824" s="4"/>
      <c r="FG824" s="4"/>
      <c r="FH824" s="4"/>
      <c r="FI824" s="4"/>
      <c r="FJ824" s="4"/>
      <c r="FK824" s="4"/>
      <c r="FL824" s="4"/>
      <c r="FM824" s="4"/>
      <c r="FN824" s="4"/>
      <c r="FO824" s="4"/>
      <c r="FP824" s="4"/>
      <c r="FQ824" s="4"/>
      <c r="FR824" s="4"/>
      <c r="FS824" s="4"/>
      <c r="FT824" s="4"/>
      <c r="FU824" s="4"/>
      <c r="FV824" s="4"/>
      <c r="FW824" s="4"/>
      <c r="FX824" s="4"/>
      <c r="FY824" s="4"/>
      <c r="FZ824" s="4"/>
      <c r="GA824" s="4"/>
      <c r="GB824" s="4"/>
      <c r="GC824" s="4"/>
      <c r="GD824" s="4"/>
      <c r="GE824" s="4"/>
      <c r="GF824" s="4"/>
      <c r="GG824" s="4"/>
      <c r="GH824" s="4"/>
      <c r="GI824" s="4"/>
      <c r="GJ824" s="4"/>
      <c r="GK824" s="4"/>
      <c r="GL824" s="4"/>
      <c r="GM824" s="4"/>
      <c r="GN824" s="4"/>
      <c r="GO824" s="4"/>
      <c r="GP824" s="4"/>
      <c r="GQ824" s="4"/>
      <c r="GR824" s="4"/>
      <c r="GS824" s="4"/>
      <c r="GT824" s="4"/>
      <c r="GU824" s="4">
        <v>100</v>
      </c>
      <c r="GV824" s="4"/>
      <c r="GW824" s="4"/>
      <c r="GX824" s="4"/>
    </row>
    <row r="825">
      <c r="A825" s="2" t="s">
        <v>4928</v>
      </c>
      <c r="B825" s="2" t="s">
        <v>514</v>
      </c>
      <c r="C825" s="2" t="s">
        <v>1962</v>
      </c>
      <c r="D825" s="2" t="s">
        <v>516</v>
      </c>
      <c r="E825" s="2" t="s">
        <v>517</v>
      </c>
      <c r="F825" s="2" t="s">
        <v>4929</v>
      </c>
      <c r="G825" s="2" t="s">
        <v>4929</v>
      </c>
      <c r="H825" s="2" t="s">
        <v>4929</v>
      </c>
      <c r="I825" s="2" t="s">
        <v>4930</v>
      </c>
      <c r="J825" s="2" t="s">
        <v>593</v>
      </c>
      <c r="K825" s="2" t="s">
        <v>1242</v>
      </c>
      <c r="L825" s="3">
        <v>36.5</v>
      </c>
      <c r="M825" s="3">
        <v>38.33</v>
      </c>
      <c r="N825" s="3">
        <v>79.99</v>
      </c>
      <c r="O825" s="2" t="s">
        <v>224</v>
      </c>
      <c r="P825" s="2" t="s">
        <v>580</v>
      </c>
      <c r="Q825" s="2" t="s">
        <v>226</v>
      </c>
      <c r="R825" s="2" t="s">
        <v>227</v>
      </c>
      <c r="S825" s="2" t="s">
        <v>4931</v>
      </c>
      <c r="T825" s="2" t="s">
        <v>286</v>
      </c>
      <c r="U825" s="2" t="s">
        <v>594</v>
      </c>
      <c r="V825" s="2" t="s">
        <v>230</v>
      </c>
      <c r="W825" s="2" t="s">
        <v>487</v>
      </c>
      <c r="X825" s="2" t="s">
        <v>227</v>
      </c>
      <c r="Y825" s="2" t="s">
        <v>4932</v>
      </c>
      <c r="Z825" s="4">
        <v>354</v>
      </c>
      <c r="AA825" s="4">
        <f>=ROUNDDOWN(44.25,0)</f>
      </c>
      <c r="AB825" s="5">
        <v>8</v>
      </c>
      <c r="AC825" s="2" t="s">
        <v>227</v>
      </c>
      <c r="AD825" s="4"/>
      <c r="AE825" s="4"/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227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/>
      <c r="AW825" s="8"/>
      <c r="AX825" s="4"/>
      <c r="AY825" s="8"/>
      <c r="AZ825" s="7"/>
      <c r="BA825" s="7"/>
      <c r="BB825" s="7"/>
      <c r="BC825" s="4" t="s">
        <v>227</v>
      </c>
      <c r="BD825" s="8" t="s">
        <v>227</v>
      </c>
      <c r="BE825" s="4" t="s">
        <v>227</v>
      </c>
      <c r="BF825" s="8" t="s">
        <v>227</v>
      </c>
      <c r="BG825" s="7" t="s">
        <v>227</v>
      </c>
      <c r="BH825" s="7" t="s">
        <v>227</v>
      </c>
      <c r="BI825" s="7"/>
      <c r="BJ825" s="4">
        <v>16</v>
      </c>
      <c r="BK825" s="8">
        <v>645.4</v>
      </c>
      <c r="BL825" s="2" t="s">
        <v>3558</v>
      </c>
      <c r="BM825" s="7"/>
      <c r="BN825" s="7"/>
      <c r="BO825" s="4"/>
      <c r="BP825" s="8"/>
      <c r="BQ825" s="4"/>
      <c r="BR825" s="8"/>
      <c r="BS825" s="7"/>
      <c r="BT825" s="7"/>
      <c r="BU825" s="2" t="s">
        <v>4933</v>
      </c>
      <c r="BV825" s="2" t="s">
        <v>227</v>
      </c>
      <c r="BW825" s="2" t="s">
        <v>227</v>
      </c>
      <c r="BX825" s="2" t="s">
        <v>235</v>
      </c>
      <c r="BY825" s="2" t="s">
        <v>236</v>
      </c>
      <c r="BZ825" s="2" t="s">
        <v>224</v>
      </c>
      <c r="CA825" s="2" t="s">
        <v>4934</v>
      </c>
      <c r="CB825" s="2" t="s">
        <v>4935</v>
      </c>
      <c r="CC825" s="2" t="s">
        <v>239</v>
      </c>
      <c r="CD825" s="2" t="s">
        <v>227</v>
      </c>
      <c r="CE825" s="4">
        <v>354</v>
      </c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/>
      <c r="FE825" s="4"/>
      <c r="FF825" s="4"/>
      <c r="FG825" s="4"/>
      <c r="FH825" s="4"/>
      <c r="FI825" s="4"/>
      <c r="FJ825" s="4"/>
      <c r="FK825" s="4"/>
      <c r="FL825" s="4"/>
      <c r="FM825" s="4"/>
      <c r="FN825" s="4"/>
      <c r="FO825" s="4"/>
      <c r="FP825" s="4"/>
      <c r="FQ825" s="4"/>
      <c r="FR825" s="4"/>
      <c r="FS825" s="4"/>
      <c r="FT825" s="4"/>
      <c r="FU825" s="4"/>
      <c r="FV825" s="4"/>
      <c r="FW825" s="4"/>
      <c r="FX825" s="4"/>
      <c r="FY825" s="4"/>
      <c r="FZ825" s="4"/>
      <c r="GA825" s="4"/>
      <c r="GB825" s="4"/>
      <c r="GC825" s="4"/>
      <c r="GD825" s="4"/>
      <c r="GE825" s="4"/>
      <c r="GF825" s="4"/>
      <c r="GG825" s="4"/>
      <c r="GH825" s="4"/>
      <c r="GI825" s="4"/>
      <c r="GJ825" s="4"/>
      <c r="GK825" s="4"/>
      <c r="GL825" s="4"/>
      <c r="GM825" s="4"/>
      <c r="GN825" s="4"/>
      <c r="GO825" s="4"/>
      <c r="GP825" s="4"/>
      <c r="GQ825" s="4"/>
      <c r="GR825" s="4"/>
      <c r="GS825" s="4"/>
      <c r="GT825" s="4"/>
      <c r="GU825" s="4"/>
      <c r="GV825" s="4"/>
      <c r="GW825" s="4"/>
      <c r="GX825" s="4"/>
    </row>
    <row r="826">
      <c r="A826" s="2" t="s">
        <v>4936</v>
      </c>
      <c r="B826" s="2" t="s">
        <v>514</v>
      </c>
      <c r="C826" s="2" t="s">
        <v>1962</v>
      </c>
      <c r="D826" s="2" t="s">
        <v>516</v>
      </c>
      <c r="E826" s="2" t="s">
        <v>517</v>
      </c>
      <c r="F826" s="2" t="s">
        <v>4929</v>
      </c>
      <c r="G826" s="2" t="s">
        <v>4929</v>
      </c>
      <c r="H826" s="2" t="s">
        <v>4929</v>
      </c>
      <c r="I826" s="2" t="s">
        <v>4930</v>
      </c>
      <c r="J826" s="2" t="s">
        <v>593</v>
      </c>
      <c r="K826" s="2" t="s">
        <v>410</v>
      </c>
      <c r="L826" s="3">
        <v>36.5</v>
      </c>
      <c r="M826" s="3">
        <v>38.33</v>
      </c>
      <c r="N826" s="3">
        <v>79.99</v>
      </c>
      <c r="O826" s="2" t="s">
        <v>224</v>
      </c>
      <c r="P826" s="2" t="s">
        <v>580</v>
      </c>
      <c r="Q826" s="2" t="s">
        <v>226</v>
      </c>
      <c r="R826" s="2" t="s">
        <v>227</v>
      </c>
      <c r="S826" s="2" t="s">
        <v>4937</v>
      </c>
      <c r="T826" s="2" t="s">
        <v>286</v>
      </c>
      <c r="U826" s="2" t="s">
        <v>594</v>
      </c>
      <c r="V826" s="2" t="s">
        <v>230</v>
      </c>
      <c r="W826" s="2" t="s">
        <v>487</v>
      </c>
      <c r="X826" s="2" t="s">
        <v>227</v>
      </c>
      <c r="Y826" s="2" t="s">
        <v>4932</v>
      </c>
      <c r="Z826" s="4">
        <v>483</v>
      </c>
      <c r="AA826" s="4">
        <f>=ROUNDDOWN(53.6666666666667,0)</f>
      </c>
      <c r="AB826" s="5">
        <v>9</v>
      </c>
      <c r="AC826" s="2" t="s">
        <v>227</v>
      </c>
      <c r="AD826" s="4"/>
      <c r="AE826" s="4"/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227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/>
      <c r="AW826" s="8"/>
      <c r="AX826" s="4"/>
      <c r="AY826" s="8"/>
      <c r="AZ826" s="7"/>
      <c r="BA826" s="7"/>
      <c r="BB826" s="7"/>
      <c r="BC826" s="4" t="s">
        <v>227</v>
      </c>
      <c r="BD826" s="8" t="s">
        <v>227</v>
      </c>
      <c r="BE826" s="4" t="s">
        <v>227</v>
      </c>
      <c r="BF826" s="8" t="s">
        <v>227</v>
      </c>
      <c r="BG826" s="7" t="s">
        <v>227</v>
      </c>
      <c r="BH826" s="7" t="s">
        <v>227</v>
      </c>
      <c r="BI826" s="7"/>
      <c r="BJ826" s="4">
        <v>18</v>
      </c>
      <c r="BK826" s="8">
        <v>739.83</v>
      </c>
      <c r="BL826" s="2" t="s">
        <v>4938</v>
      </c>
      <c r="BM826" s="7"/>
      <c r="BN826" s="7"/>
      <c r="BO826" s="4"/>
      <c r="BP826" s="8"/>
      <c r="BQ826" s="4"/>
      <c r="BR826" s="8"/>
      <c r="BS826" s="7"/>
      <c r="BT826" s="7"/>
      <c r="BU826" s="2" t="s">
        <v>4939</v>
      </c>
      <c r="BV826" s="2" t="s">
        <v>227</v>
      </c>
      <c r="BW826" s="2" t="s">
        <v>227</v>
      </c>
      <c r="BX826" s="2" t="s">
        <v>235</v>
      </c>
      <c r="BY826" s="2" t="s">
        <v>236</v>
      </c>
      <c r="BZ826" s="2" t="s">
        <v>224</v>
      </c>
      <c r="CA826" s="2" t="s">
        <v>4934</v>
      </c>
      <c r="CB826" s="2" t="s">
        <v>4940</v>
      </c>
      <c r="CC826" s="2" t="s">
        <v>239</v>
      </c>
      <c r="CD826" s="2" t="s">
        <v>227</v>
      </c>
      <c r="CE826" s="4">
        <v>483</v>
      </c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/>
      <c r="FD826" s="4"/>
      <c r="FE826" s="4"/>
      <c r="FF826" s="4"/>
      <c r="FG826" s="4"/>
      <c r="FH826" s="4"/>
      <c r="FI826" s="4"/>
      <c r="FJ826" s="4"/>
      <c r="FK826" s="4"/>
      <c r="FL826" s="4"/>
      <c r="FM826" s="4"/>
      <c r="FN826" s="4"/>
      <c r="FO826" s="4"/>
      <c r="FP826" s="4"/>
      <c r="FQ826" s="4"/>
      <c r="FR826" s="4"/>
      <c r="FS826" s="4"/>
      <c r="FT826" s="4"/>
      <c r="FU826" s="4"/>
      <c r="FV826" s="4"/>
      <c r="FW826" s="4"/>
      <c r="FX826" s="4"/>
      <c r="FY826" s="4"/>
      <c r="FZ826" s="4"/>
      <c r="GA826" s="4"/>
      <c r="GB826" s="4"/>
      <c r="GC826" s="4"/>
      <c r="GD826" s="4"/>
      <c r="GE826" s="4"/>
      <c r="GF826" s="4"/>
      <c r="GG826" s="4"/>
      <c r="GH826" s="4"/>
      <c r="GI826" s="4"/>
      <c r="GJ826" s="4"/>
      <c r="GK826" s="4"/>
      <c r="GL826" s="4"/>
      <c r="GM826" s="4"/>
      <c r="GN826" s="4"/>
      <c r="GO826" s="4"/>
      <c r="GP826" s="4"/>
      <c r="GQ826" s="4"/>
      <c r="GR826" s="4"/>
      <c r="GS826" s="4"/>
      <c r="GT826" s="4"/>
      <c r="GU826" s="4"/>
      <c r="GV826" s="4"/>
      <c r="GW826" s="4"/>
      <c r="GX826" s="4"/>
    </row>
    <row r="827">
      <c r="A827" s="2" t="s">
        <v>4941</v>
      </c>
      <c r="B827" s="2" t="s">
        <v>514</v>
      </c>
      <c r="C827" s="2" t="s">
        <v>2678</v>
      </c>
      <c r="D827" s="2" t="s">
        <v>516</v>
      </c>
      <c r="E827" s="2" t="s">
        <v>517</v>
      </c>
      <c r="F827" s="2" t="s">
        <v>4942</v>
      </c>
      <c r="G827" s="2" t="s">
        <v>4942</v>
      </c>
      <c r="H827" s="2" t="s">
        <v>4942</v>
      </c>
      <c r="I827" s="2" t="s">
        <v>4943</v>
      </c>
      <c r="J827" s="2" t="s">
        <v>593</v>
      </c>
      <c r="K827" s="2" t="s">
        <v>264</v>
      </c>
      <c r="L827" s="3">
        <v>23.09</v>
      </c>
      <c r="M827" s="3">
        <v>24.24</v>
      </c>
      <c r="N827" s="3">
        <v>54.99</v>
      </c>
      <c r="O827" s="2" t="s">
        <v>224</v>
      </c>
      <c r="P827" s="2" t="s">
        <v>225</v>
      </c>
      <c r="Q827" s="2" t="s">
        <v>226</v>
      </c>
      <c r="R827" s="2" t="s">
        <v>227</v>
      </c>
      <c r="S827" s="2" t="s">
        <v>4944</v>
      </c>
      <c r="T827" s="2" t="s">
        <v>286</v>
      </c>
      <c r="U827" s="2" t="s">
        <v>594</v>
      </c>
      <c r="V827" s="2" t="s">
        <v>230</v>
      </c>
      <c r="W827" s="2" t="s">
        <v>231</v>
      </c>
      <c r="X827" s="2" t="s">
        <v>836</v>
      </c>
      <c r="Y827" s="2" t="s">
        <v>4945</v>
      </c>
      <c r="Z827" s="4">
        <v>36</v>
      </c>
      <c r="AA827" s="4">
        <f>=ROUNDDOWN(2.76923076923077,0)</f>
      </c>
      <c r="AB827" s="5">
        <v>13</v>
      </c>
      <c r="AC827" s="2" t="s">
        <v>155</v>
      </c>
      <c r="AD827" s="4">
        <v>380</v>
      </c>
      <c r="AE827" s="4">
        <v>570</v>
      </c>
      <c r="AF827" s="6">
        <v>73</v>
      </c>
      <c r="AG827" s="6"/>
      <c r="AH827" s="7">
        <v>1</v>
      </c>
      <c r="AI827" s="4"/>
      <c r="AJ827" s="4">
        <f>=ROUNDDOWN({0},0)</f>
      </c>
      <c r="AK827" s="5"/>
      <c r="AL827" s="2" t="s">
        <v>227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/>
      <c r="AW827" s="8"/>
      <c r="AX827" s="4"/>
      <c r="AY827" s="8"/>
      <c r="AZ827" s="7"/>
      <c r="BA827" s="7"/>
      <c r="BB827" s="7"/>
      <c r="BC827" s="4"/>
      <c r="BD827" s="8"/>
      <c r="BE827" s="4"/>
      <c r="BF827" s="8"/>
      <c r="BG827" s="7"/>
      <c r="BH827" s="7"/>
      <c r="BI827" s="7"/>
      <c r="BJ827" s="4">
        <v>34</v>
      </c>
      <c r="BK827" s="8">
        <v>924.02</v>
      </c>
      <c r="BL827" s="2" t="s">
        <v>4946</v>
      </c>
      <c r="BM827" s="7"/>
      <c r="BN827" s="7"/>
      <c r="BO827" s="4"/>
      <c r="BP827" s="8"/>
      <c r="BQ827" s="4"/>
      <c r="BR827" s="8"/>
      <c r="BS827" s="7"/>
      <c r="BT827" s="7"/>
      <c r="BU827" s="2" t="s">
        <v>4947</v>
      </c>
      <c r="BV827" s="2" t="s">
        <v>227</v>
      </c>
      <c r="BW827" s="2" t="s">
        <v>227</v>
      </c>
      <c r="BX827" s="2" t="s">
        <v>235</v>
      </c>
      <c r="BY827" s="2" t="s">
        <v>236</v>
      </c>
      <c r="BZ827" s="2" t="s">
        <v>224</v>
      </c>
      <c r="CA827" s="2" t="s">
        <v>4948</v>
      </c>
      <c r="CB827" s="2" t="s">
        <v>3946</v>
      </c>
      <c r="CC827" s="2" t="s">
        <v>239</v>
      </c>
      <c r="CD827" s="2" t="s">
        <v>227</v>
      </c>
      <c r="CE827" s="4">
        <v>36</v>
      </c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>
        <v>380</v>
      </c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/>
      <c r="FE827" s="4"/>
      <c r="FF827" s="4"/>
      <c r="FG827" s="4"/>
      <c r="FH827" s="4"/>
      <c r="FI827" s="4"/>
      <c r="FJ827" s="4"/>
      <c r="FK827" s="4"/>
      <c r="FL827" s="4"/>
      <c r="FM827" s="4"/>
      <c r="FN827" s="4"/>
      <c r="FO827" s="4"/>
      <c r="FP827" s="4"/>
      <c r="FQ827" s="4"/>
      <c r="FR827" s="4"/>
      <c r="FS827" s="4"/>
      <c r="FT827" s="4"/>
      <c r="FU827" s="4"/>
      <c r="FV827" s="4"/>
      <c r="FW827" s="4"/>
      <c r="FX827" s="4"/>
      <c r="FY827" s="4"/>
      <c r="FZ827" s="4"/>
      <c r="GA827" s="4"/>
      <c r="GB827" s="4"/>
      <c r="GC827" s="4"/>
      <c r="GD827" s="4"/>
      <c r="GE827" s="4"/>
      <c r="GF827" s="4"/>
      <c r="GG827" s="4"/>
      <c r="GH827" s="4">
        <v>190</v>
      </c>
      <c r="GI827" s="4"/>
      <c r="GJ827" s="4"/>
      <c r="GK827" s="4"/>
      <c r="GL827" s="4"/>
      <c r="GM827" s="4"/>
      <c r="GN827" s="4"/>
      <c r="GO827" s="4"/>
      <c r="GP827" s="4"/>
      <c r="GQ827" s="4"/>
      <c r="GR827" s="4"/>
      <c r="GS827" s="4"/>
      <c r="GT827" s="4"/>
      <c r="GU827" s="4"/>
      <c r="GV827" s="4"/>
      <c r="GW827" s="4"/>
      <c r="GX827" s="4"/>
    </row>
    <row r="828">
      <c r="A828" s="2" t="s">
        <v>4949</v>
      </c>
      <c r="B828" s="2" t="s">
        <v>667</v>
      </c>
      <c r="C828" s="2" t="s">
        <v>1139</v>
      </c>
      <c r="D828" s="2" t="s">
        <v>1652</v>
      </c>
      <c r="E828" s="2" t="s">
        <v>4950</v>
      </c>
      <c r="F828" s="2" t="s">
        <v>4951</v>
      </c>
      <c r="G828" s="2" t="s">
        <v>4952</v>
      </c>
      <c r="H828" s="2" t="s">
        <v>4953</v>
      </c>
      <c r="I828" s="2" t="s">
        <v>4954</v>
      </c>
      <c r="J828" s="2" t="s">
        <v>626</v>
      </c>
      <c r="K828" s="2" t="s">
        <v>657</v>
      </c>
      <c r="L828" s="3">
        <v>32</v>
      </c>
      <c r="M828" s="3">
        <v>33.6</v>
      </c>
      <c r="N828" s="3">
        <v>79.99</v>
      </c>
      <c r="O828" s="2" t="s">
        <v>224</v>
      </c>
      <c r="P828" s="2" t="s">
        <v>225</v>
      </c>
      <c r="Q828" s="2" t="s">
        <v>226</v>
      </c>
      <c r="R828" s="2" t="s">
        <v>227</v>
      </c>
      <c r="S828" s="2" t="s">
        <v>4955</v>
      </c>
      <c r="T828" s="2" t="s">
        <v>375</v>
      </c>
      <c r="U828" s="2" t="s">
        <v>674</v>
      </c>
      <c r="V828" s="2" t="s">
        <v>230</v>
      </c>
      <c r="W828" s="2" t="s">
        <v>231</v>
      </c>
      <c r="X828" s="2" t="s">
        <v>581</v>
      </c>
      <c r="Y828" s="2" t="s">
        <v>4956</v>
      </c>
      <c r="Z828" s="4">
        <v>631</v>
      </c>
      <c r="AA828" s="4">
        <f>=ROUNDDOWN(33.2105263157895,0)</f>
      </c>
      <c r="AB828" s="5">
        <v>19</v>
      </c>
      <c r="AC828" s="2" t="s">
        <v>227</v>
      </c>
      <c r="AD828" s="4"/>
      <c r="AE828" s="4"/>
      <c r="AF828" s="6">
        <v>65</v>
      </c>
      <c r="AG828" s="6"/>
      <c r="AH828" s="7">
        <v>1</v>
      </c>
      <c r="AI828" s="4"/>
      <c r="AJ828" s="4">
        <f>=ROUNDDOWN({0},0)</f>
      </c>
      <c r="AK828" s="5"/>
      <c r="AL828" s="2" t="s">
        <v>227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/>
      <c r="AW828" s="8"/>
      <c r="AX828" s="4"/>
      <c r="AY828" s="8"/>
      <c r="AZ828" s="7"/>
      <c r="BA828" s="7"/>
      <c r="BB828" s="7"/>
      <c r="BC828" s="4" t="s">
        <v>227</v>
      </c>
      <c r="BD828" s="8" t="s">
        <v>227</v>
      </c>
      <c r="BE828" s="4" t="s">
        <v>227</v>
      </c>
      <c r="BF828" s="8" t="s">
        <v>227</v>
      </c>
      <c r="BG828" s="7" t="s">
        <v>227</v>
      </c>
      <c r="BH828" s="7" t="s">
        <v>227</v>
      </c>
      <c r="BI828" s="7"/>
      <c r="BJ828" s="4">
        <v>52</v>
      </c>
      <c r="BK828" s="8">
        <v>1754.96</v>
      </c>
      <c r="BL828" s="2" t="s">
        <v>434</v>
      </c>
      <c r="BM828" s="7"/>
      <c r="BN828" s="7"/>
      <c r="BO828" s="4"/>
      <c r="BP828" s="8"/>
      <c r="BQ828" s="4"/>
      <c r="BR828" s="8"/>
      <c r="BS828" s="7"/>
      <c r="BT828" s="7"/>
      <c r="BU828" s="2" t="s">
        <v>4957</v>
      </c>
      <c r="BV828" s="2" t="s">
        <v>227</v>
      </c>
      <c r="BW828" s="2" t="s">
        <v>227</v>
      </c>
      <c r="BX828" s="2" t="s">
        <v>235</v>
      </c>
      <c r="BY828" s="2" t="s">
        <v>236</v>
      </c>
      <c r="BZ828" s="2" t="s">
        <v>224</v>
      </c>
      <c r="CA828" s="2" t="s">
        <v>2657</v>
      </c>
      <c r="CB828" s="2" t="s">
        <v>2711</v>
      </c>
      <c r="CC828" s="2" t="s">
        <v>239</v>
      </c>
      <c r="CD828" s="2" t="s">
        <v>227</v>
      </c>
      <c r="CE828" s="4">
        <v>406</v>
      </c>
      <c r="CF828" s="4"/>
      <c r="CG828" s="4"/>
      <c r="CH828" s="4"/>
      <c r="CI828" s="4"/>
      <c r="CJ828" s="4"/>
      <c r="CK828" s="4">
        <v>225</v>
      </c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/>
      <c r="FD828" s="4"/>
      <c r="FE828" s="4"/>
      <c r="FF828" s="4"/>
      <c r="FG828" s="4"/>
      <c r="FH828" s="4"/>
      <c r="FI828" s="4"/>
      <c r="FJ828" s="4"/>
      <c r="FK828" s="4"/>
      <c r="FL828" s="4"/>
      <c r="FM828" s="4"/>
      <c r="FN828" s="4"/>
      <c r="FO828" s="4"/>
      <c r="FP828" s="4"/>
      <c r="FQ828" s="4"/>
      <c r="FR828" s="4"/>
      <c r="FS828" s="4"/>
      <c r="FT828" s="4"/>
      <c r="FU828" s="4"/>
      <c r="FV828" s="4"/>
      <c r="FW828" s="4"/>
      <c r="FX828" s="4"/>
      <c r="FY828" s="4"/>
      <c r="FZ828" s="4"/>
      <c r="GA828" s="4"/>
      <c r="GB828" s="4"/>
      <c r="GC828" s="4"/>
      <c r="GD828" s="4"/>
      <c r="GE828" s="4"/>
      <c r="GF828" s="4"/>
      <c r="GG828" s="4"/>
      <c r="GH828" s="4"/>
      <c r="GI828" s="4"/>
      <c r="GJ828" s="4"/>
      <c r="GK828" s="4"/>
      <c r="GL828" s="4"/>
      <c r="GM828" s="4"/>
      <c r="GN828" s="4"/>
      <c r="GO828" s="4"/>
      <c r="GP828" s="4"/>
      <c r="GQ828" s="4"/>
      <c r="GR828" s="4"/>
      <c r="GS828" s="4"/>
      <c r="GT828" s="4"/>
      <c r="GU828" s="4"/>
      <c r="GV828" s="4"/>
      <c r="GW828" s="4"/>
      <c r="GX828" s="4"/>
    </row>
    <row r="829">
      <c r="A829" s="2" t="s">
        <v>4958</v>
      </c>
      <c r="B829" s="2" t="s">
        <v>667</v>
      </c>
      <c r="C829" s="2" t="s">
        <v>1139</v>
      </c>
      <c r="D829" s="2" t="s">
        <v>1652</v>
      </c>
      <c r="E829" s="2" t="s">
        <v>4950</v>
      </c>
      <c r="F829" s="2" t="s">
        <v>4951</v>
      </c>
      <c r="G829" s="2" t="s">
        <v>4952</v>
      </c>
      <c r="H829" s="2" t="s">
        <v>4953</v>
      </c>
      <c r="I829" s="2" t="s">
        <v>4954</v>
      </c>
      <c r="J829" s="2" t="s">
        <v>626</v>
      </c>
      <c r="K829" s="2" t="s">
        <v>264</v>
      </c>
      <c r="L829" s="3">
        <v>32</v>
      </c>
      <c r="M829" s="3">
        <v>33.6</v>
      </c>
      <c r="N829" s="3">
        <v>79.99</v>
      </c>
      <c r="O829" s="2" t="s">
        <v>224</v>
      </c>
      <c r="P829" s="2" t="s">
        <v>225</v>
      </c>
      <c r="Q829" s="2" t="s">
        <v>226</v>
      </c>
      <c r="R829" s="2" t="s">
        <v>227</v>
      </c>
      <c r="S829" s="2" t="s">
        <v>4959</v>
      </c>
      <c r="T829" s="2" t="s">
        <v>375</v>
      </c>
      <c r="U829" s="2" t="s">
        <v>674</v>
      </c>
      <c r="V829" s="2" t="s">
        <v>230</v>
      </c>
      <c r="W829" s="2" t="s">
        <v>231</v>
      </c>
      <c r="X829" s="2" t="s">
        <v>581</v>
      </c>
      <c r="Y829" s="2" t="s">
        <v>4956</v>
      </c>
      <c r="Z829" s="4">
        <v>323</v>
      </c>
      <c r="AA829" s="4">
        <f>=ROUNDDOWN(29.3636363636364,0)</f>
      </c>
      <c r="AB829" s="5">
        <v>11</v>
      </c>
      <c r="AC829" s="2" t="s">
        <v>227</v>
      </c>
      <c r="AD829" s="4"/>
      <c r="AE829" s="4"/>
      <c r="AF829" s="6">
        <v>65</v>
      </c>
      <c r="AG829" s="6"/>
      <c r="AH829" s="7">
        <v>1</v>
      </c>
      <c r="AI829" s="4"/>
      <c r="AJ829" s="4">
        <f>=ROUNDDOWN({0},0)</f>
      </c>
      <c r="AK829" s="5"/>
      <c r="AL829" s="2" t="s">
        <v>227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227</v>
      </c>
      <c r="AW829" s="8" t="s">
        <v>227</v>
      </c>
      <c r="AX829" s="4" t="s">
        <v>227</v>
      </c>
      <c r="AY829" s="8" t="s">
        <v>227</v>
      </c>
      <c r="AZ829" s="7" t="s">
        <v>227</v>
      </c>
      <c r="BA829" s="7" t="s">
        <v>227</v>
      </c>
      <c r="BB829" s="7"/>
      <c r="BC829" s="4" t="s">
        <v>227</v>
      </c>
      <c r="BD829" s="8" t="s">
        <v>227</v>
      </c>
      <c r="BE829" s="4" t="s">
        <v>227</v>
      </c>
      <c r="BF829" s="8" t="s">
        <v>227</v>
      </c>
      <c r="BG829" s="7" t="s">
        <v>227</v>
      </c>
      <c r="BH829" s="7" t="s">
        <v>227</v>
      </c>
      <c r="BI829" s="7"/>
      <c r="BJ829" s="4">
        <v>22</v>
      </c>
      <c r="BK829" s="8">
        <v>761.48</v>
      </c>
      <c r="BL829" s="2" t="s">
        <v>1314</v>
      </c>
      <c r="BM829" s="7"/>
      <c r="BN829" s="7"/>
      <c r="BO829" s="4"/>
      <c r="BP829" s="8"/>
      <c r="BQ829" s="4"/>
      <c r="BR829" s="8"/>
      <c r="BS829" s="7"/>
      <c r="BT829" s="7"/>
      <c r="BU829" s="2" t="s">
        <v>4960</v>
      </c>
      <c r="BV829" s="2" t="s">
        <v>227</v>
      </c>
      <c r="BW829" s="2" t="s">
        <v>227</v>
      </c>
      <c r="BX829" s="2" t="s">
        <v>235</v>
      </c>
      <c r="BY829" s="2" t="s">
        <v>236</v>
      </c>
      <c r="BZ829" s="2" t="s">
        <v>224</v>
      </c>
      <c r="CA829" s="2" t="s">
        <v>2657</v>
      </c>
      <c r="CB829" s="2" t="s">
        <v>4788</v>
      </c>
      <c r="CC829" s="2" t="s">
        <v>239</v>
      </c>
      <c r="CD829" s="2" t="s">
        <v>227</v>
      </c>
      <c r="CE829" s="4">
        <v>323</v>
      </c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/>
      <c r="FB829" s="4"/>
      <c r="FC829" s="4"/>
      <c r="FD829" s="4"/>
      <c r="FE829" s="4"/>
      <c r="FF829" s="4"/>
      <c r="FG829" s="4"/>
      <c r="FH829" s="4"/>
      <c r="FI829" s="4"/>
      <c r="FJ829" s="4"/>
      <c r="FK829" s="4"/>
      <c r="FL829" s="4"/>
      <c r="FM829" s="4"/>
      <c r="FN829" s="4"/>
      <c r="FO829" s="4"/>
      <c r="FP829" s="4"/>
      <c r="FQ829" s="4"/>
      <c r="FR829" s="4"/>
      <c r="FS829" s="4"/>
      <c r="FT829" s="4"/>
      <c r="FU829" s="4"/>
      <c r="FV829" s="4"/>
      <c r="FW829" s="4"/>
      <c r="FX829" s="4"/>
      <c r="FY829" s="4"/>
      <c r="FZ829" s="4"/>
      <c r="GA829" s="4"/>
      <c r="GB829" s="4"/>
      <c r="GC829" s="4"/>
      <c r="GD829" s="4"/>
      <c r="GE829" s="4"/>
      <c r="GF829" s="4"/>
      <c r="GG829" s="4"/>
      <c r="GH829" s="4"/>
      <c r="GI829" s="4"/>
      <c r="GJ829" s="4"/>
      <c r="GK829" s="4"/>
      <c r="GL829" s="4"/>
      <c r="GM829" s="4"/>
      <c r="GN829" s="4"/>
      <c r="GO829" s="4"/>
      <c r="GP829" s="4"/>
      <c r="GQ829" s="4"/>
      <c r="GR829" s="4"/>
      <c r="GS829" s="4"/>
      <c r="GT829" s="4"/>
      <c r="GU829" s="4"/>
      <c r="GV829" s="4"/>
      <c r="GW829" s="4"/>
      <c r="GX829" s="4"/>
    </row>
    <row r="830">
      <c r="A830" s="2" t="s">
        <v>4961</v>
      </c>
      <c r="B830" s="2" t="s">
        <v>667</v>
      </c>
      <c r="C830" s="2" t="s">
        <v>1139</v>
      </c>
      <c r="D830" s="2" t="s">
        <v>1652</v>
      </c>
      <c r="E830" s="2" t="s">
        <v>4950</v>
      </c>
      <c r="F830" s="2" t="s">
        <v>4951</v>
      </c>
      <c r="G830" s="2" t="s">
        <v>4952</v>
      </c>
      <c r="H830" s="2" t="s">
        <v>4953</v>
      </c>
      <c r="I830" s="2" t="s">
        <v>4954</v>
      </c>
      <c r="J830" s="2" t="s">
        <v>682</v>
      </c>
      <c r="K830" s="2" t="s">
        <v>264</v>
      </c>
      <c r="L830" s="3">
        <v>37.8</v>
      </c>
      <c r="M830" s="3">
        <v>39.69</v>
      </c>
      <c r="N830" s="3">
        <v>89.99</v>
      </c>
      <c r="O830" s="2" t="s">
        <v>224</v>
      </c>
      <c r="P830" s="2" t="s">
        <v>225</v>
      </c>
      <c r="Q830" s="2" t="s">
        <v>226</v>
      </c>
      <c r="R830" s="2" t="s">
        <v>227</v>
      </c>
      <c r="S830" s="2" t="s">
        <v>4959</v>
      </c>
      <c r="T830" s="2" t="s">
        <v>375</v>
      </c>
      <c r="U830" s="2" t="s">
        <v>674</v>
      </c>
      <c r="V830" s="2" t="s">
        <v>230</v>
      </c>
      <c r="W830" s="2" t="s">
        <v>231</v>
      </c>
      <c r="X830" s="2" t="s">
        <v>581</v>
      </c>
      <c r="Y830" s="2" t="s">
        <v>4956</v>
      </c>
      <c r="Z830" s="4">
        <v>579</v>
      </c>
      <c r="AA830" s="4">
        <f>=ROUNDDOWN(28.95,0)</f>
      </c>
      <c r="AB830" s="5">
        <v>20</v>
      </c>
      <c r="AC830" s="2" t="s">
        <v>227</v>
      </c>
      <c r="AD830" s="4"/>
      <c r="AE830" s="4"/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227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227</v>
      </c>
      <c r="AW830" s="8" t="s">
        <v>227</v>
      </c>
      <c r="AX830" s="4" t="s">
        <v>227</v>
      </c>
      <c r="AY830" s="8" t="s">
        <v>227</v>
      </c>
      <c r="AZ830" s="7" t="s">
        <v>227</v>
      </c>
      <c r="BA830" s="7" t="s">
        <v>227</v>
      </c>
      <c r="BB830" s="7"/>
      <c r="BC830" s="4" t="s">
        <v>227</v>
      </c>
      <c r="BD830" s="8" t="s">
        <v>227</v>
      </c>
      <c r="BE830" s="4" t="s">
        <v>227</v>
      </c>
      <c r="BF830" s="8" t="s">
        <v>227</v>
      </c>
      <c r="BG830" s="7" t="s">
        <v>227</v>
      </c>
      <c r="BH830" s="7" t="s">
        <v>227</v>
      </c>
      <c r="BI830" s="7"/>
      <c r="BJ830" s="4">
        <v>37</v>
      </c>
      <c r="BK830" s="8">
        <v>1481.61</v>
      </c>
      <c r="BL830" s="2" t="s">
        <v>434</v>
      </c>
      <c r="BM830" s="7"/>
      <c r="BN830" s="7"/>
      <c r="BO830" s="4"/>
      <c r="BP830" s="8"/>
      <c r="BQ830" s="4"/>
      <c r="BR830" s="8"/>
      <c r="BS830" s="7"/>
      <c r="BT830" s="7"/>
      <c r="BU830" s="2" t="s">
        <v>4962</v>
      </c>
      <c r="BV830" s="2" t="s">
        <v>227</v>
      </c>
      <c r="BW830" s="2" t="s">
        <v>227</v>
      </c>
      <c r="BX830" s="2" t="s">
        <v>235</v>
      </c>
      <c r="BY830" s="2" t="s">
        <v>236</v>
      </c>
      <c r="BZ830" s="2" t="s">
        <v>224</v>
      </c>
      <c r="CA830" s="2" t="s">
        <v>2657</v>
      </c>
      <c r="CB830" s="2" t="s">
        <v>1011</v>
      </c>
      <c r="CC830" s="2" t="s">
        <v>239</v>
      </c>
      <c r="CD830" s="2" t="s">
        <v>227</v>
      </c>
      <c r="CE830" s="4">
        <v>579</v>
      </c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/>
      <c r="FB830" s="4"/>
      <c r="FC830" s="4"/>
      <c r="FD830" s="4"/>
      <c r="FE830" s="4"/>
      <c r="FF830" s="4"/>
      <c r="FG830" s="4"/>
      <c r="FH830" s="4"/>
      <c r="FI830" s="4"/>
      <c r="FJ830" s="4"/>
      <c r="FK830" s="4"/>
      <c r="FL830" s="4"/>
      <c r="FM830" s="4"/>
      <c r="FN830" s="4"/>
      <c r="FO830" s="4"/>
      <c r="FP830" s="4"/>
      <c r="FQ830" s="4"/>
      <c r="FR830" s="4"/>
      <c r="FS830" s="4"/>
      <c r="FT830" s="4"/>
      <c r="FU830" s="4"/>
      <c r="FV830" s="4"/>
      <c r="FW830" s="4"/>
      <c r="FX830" s="4"/>
      <c r="FY830" s="4"/>
      <c r="FZ830" s="4"/>
      <c r="GA830" s="4"/>
      <c r="GB830" s="4"/>
      <c r="GC830" s="4"/>
      <c r="GD830" s="4"/>
      <c r="GE830" s="4"/>
      <c r="GF830" s="4"/>
      <c r="GG830" s="4"/>
      <c r="GH830" s="4"/>
      <c r="GI830" s="4"/>
      <c r="GJ830" s="4"/>
      <c r="GK830" s="4"/>
      <c r="GL830" s="4"/>
      <c r="GM830" s="4"/>
      <c r="GN830" s="4"/>
      <c r="GO830" s="4"/>
      <c r="GP830" s="4"/>
      <c r="GQ830" s="4"/>
      <c r="GR830" s="4"/>
      <c r="GS830" s="4"/>
      <c r="GT830" s="4"/>
      <c r="GU830" s="4"/>
      <c r="GV830" s="4"/>
      <c r="GW830" s="4"/>
      <c r="GX830" s="4"/>
    </row>
    <row r="831">
      <c r="A831" s="2" t="s">
        <v>4963</v>
      </c>
      <c r="B831" s="2" t="s">
        <v>573</v>
      </c>
      <c r="C831" s="2" t="s">
        <v>668</v>
      </c>
      <c r="D831" s="2" t="s">
        <v>1515</v>
      </c>
      <c r="E831" s="2" t="s">
        <v>4964</v>
      </c>
      <c r="F831" s="2" t="s">
        <v>4965</v>
      </c>
      <c r="G831" s="2" t="s">
        <v>4965</v>
      </c>
      <c r="H831" s="2" t="s">
        <v>4965</v>
      </c>
      <c r="I831" s="2" t="s">
        <v>4966</v>
      </c>
      <c r="J831" s="2" t="s">
        <v>548</v>
      </c>
      <c r="K831" s="2" t="s">
        <v>1780</v>
      </c>
      <c r="L831" s="3">
        <v>85.5</v>
      </c>
      <c r="M831" s="3">
        <v>89.78</v>
      </c>
      <c r="N831" s="3">
        <v>179</v>
      </c>
      <c r="O831" s="2" t="s">
        <v>224</v>
      </c>
      <c r="P831" s="2" t="s">
        <v>580</v>
      </c>
      <c r="Q831" s="2" t="s">
        <v>226</v>
      </c>
      <c r="R831" s="2" t="s">
        <v>227</v>
      </c>
      <c r="S831" s="2" t="s">
        <v>4967</v>
      </c>
      <c r="T831" s="2" t="s">
        <v>227</v>
      </c>
      <c r="U831" s="2" t="s">
        <v>227</v>
      </c>
      <c r="V831" s="2" t="s">
        <v>230</v>
      </c>
      <c r="W831" s="2" t="s">
        <v>4968</v>
      </c>
      <c r="X831" s="2" t="s">
        <v>227</v>
      </c>
      <c r="Y831" s="2" t="s">
        <v>4969</v>
      </c>
      <c r="Z831" s="4">
        <v>238</v>
      </c>
      <c r="AA831" s="4">
        <f>=ROUNDDOWN(79.3333333333333,0)</f>
      </c>
      <c r="AB831" s="5">
        <v>3</v>
      </c>
      <c r="AC831" s="2" t="s">
        <v>227</v>
      </c>
      <c r="AD831" s="4"/>
      <c r="AE831" s="4"/>
      <c r="AF831" s="6">
        <v>74</v>
      </c>
      <c r="AG831" s="6"/>
      <c r="AH831" s="7">
        <v>1</v>
      </c>
      <c r="AI831" s="4"/>
      <c r="AJ831" s="4">
        <f>=ROUNDDOWN({0},0)</f>
      </c>
      <c r="AK831" s="5"/>
      <c r="AL831" s="2" t="s">
        <v>227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/>
      <c r="AW831" s="8"/>
      <c r="AX831" s="4"/>
      <c r="AY831" s="8"/>
      <c r="AZ831" s="7"/>
      <c r="BA831" s="7"/>
      <c r="BB831" s="7"/>
      <c r="BC831" s="4"/>
      <c r="BD831" s="8"/>
      <c r="BE831" s="4"/>
      <c r="BF831" s="8"/>
      <c r="BG831" s="7"/>
      <c r="BH831" s="7"/>
      <c r="BI831" s="7"/>
      <c r="BJ831" s="4">
        <v>10</v>
      </c>
      <c r="BK831" s="8">
        <v>832.56</v>
      </c>
      <c r="BL831" s="2" t="s">
        <v>4970</v>
      </c>
      <c r="BM831" s="7"/>
      <c r="BN831" s="7"/>
      <c r="BO831" s="4"/>
      <c r="BP831" s="8"/>
      <c r="BQ831" s="4"/>
      <c r="BR831" s="8"/>
      <c r="BS831" s="7"/>
      <c r="BT831" s="7"/>
      <c r="BU831" s="2" t="s">
        <v>4971</v>
      </c>
      <c r="BV831" s="2" t="s">
        <v>227</v>
      </c>
      <c r="BW831" s="2" t="s">
        <v>227</v>
      </c>
      <c r="BX831" s="2" t="s">
        <v>235</v>
      </c>
      <c r="BY831" s="2" t="s">
        <v>236</v>
      </c>
      <c r="BZ831" s="2" t="s">
        <v>224</v>
      </c>
      <c r="CA831" s="2" t="s">
        <v>4972</v>
      </c>
      <c r="CB831" s="2" t="s">
        <v>4912</v>
      </c>
      <c r="CC831" s="2" t="s">
        <v>239</v>
      </c>
      <c r="CD831" s="2" t="s">
        <v>227</v>
      </c>
      <c r="CE831" s="4"/>
      <c r="CF831" s="4">
        <v>238</v>
      </c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/>
      <c r="FE831" s="4"/>
      <c r="FF831" s="4"/>
      <c r="FG831" s="4"/>
      <c r="FH831" s="4"/>
      <c r="FI831" s="4"/>
      <c r="FJ831" s="4"/>
      <c r="FK831" s="4"/>
      <c r="FL831" s="4"/>
      <c r="FM831" s="4"/>
      <c r="FN831" s="4"/>
      <c r="FO831" s="4"/>
      <c r="FP831" s="4"/>
      <c r="FQ831" s="4"/>
      <c r="FR831" s="4"/>
      <c r="FS831" s="4"/>
      <c r="FT831" s="4"/>
      <c r="FU831" s="4"/>
      <c r="FV831" s="4"/>
      <c r="FW831" s="4"/>
      <c r="FX831" s="4"/>
      <c r="FY831" s="4"/>
      <c r="FZ831" s="4"/>
      <c r="GA831" s="4"/>
      <c r="GB831" s="4"/>
      <c r="GC831" s="4"/>
      <c r="GD831" s="4"/>
      <c r="GE831" s="4"/>
      <c r="GF831" s="4"/>
      <c r="GG831" s="4"/>
      <c r="GH831" s="4"/>
      <c r="GI831" s="4"/>
      <c r="GJ831" s="4"/>
      <c r="GK831" s="4"/>
      <c r="GL831" s="4"/>
      <c r="GM831" s="4"/>
      <c r="GN831" s="4"/>
      <c r="GO831" s="4"/>
      <c r="GP831" s="4"/>
      <c r="GQ831" s="4"/>
      <c r="GR831" s="4"/>
      <c r="GS831" s="4"/>
      <c r="GT831" s="4"/>
      <c r="GU831" s="4"/>
      <c r="GV831" s="4"/>
      <c r="GW831" s="4"/>
      <c r="GX831" s="4"/>
    </row>
    <row r="832">
      <c r="A832" s="2" t="s">
        <v>4973</v>
      </c>
      <c r="B832" s="2" t="s">
        <v>542</v>
      </c>
      <c r="C832" s="2" t="s">
        <v>360</v>
      </c>
      <c r="D832" s="2" t="s">
        <v>1052</v>
      </c>
      <c r="E832" s="2" t="s">
        <v>545</v>
      </c>
      <c r="F832" s="2" t="s">
        <v>4974</v>
      </c>
      <c r="G832" s="2" t="s">
        <v>227</v>
      </c>
      <c r="H832" s="2" t="s">
        <v>227</v>
      </c>
      <c r="I832" s="2" t="s">
        <v>4975</v>
      </c>
      <c r="J832" s="2" t="s">
        <v>548</v>
      </c>
      <c r="K832" s="2" t="s">
        <v>223</v>
      </c>
      <c r="L832" s="3">
        <v>24.5</v>
      </c>
      <c r="M832" s="3">
        <v>25.72</v>
      </c>
      <c r="N832" s="3">
        <v>50.99</v>
      </c>
      <c r="O832" s="2" t="s">
        <v>224</v>
      </c>
      <c r="P832" s="2" t="s">
        <v>225</v>
      </c>
      <c r="Q832" s="2" t="s">
        <v>226</v>
      </c>
      <c r="R832" s="2" t="s">
        <v>227</v>
      </c>
      <c r="S832" s="2" t="s">
        <v>4976</v>
      </c>
      <c r="T832" s="2" t="s">
        <v>227</v>
      </c>
      <c r="U832" s="2" t="s">
        <v>287</v>
      </c>
      <c r="V832" s="2" t="s">
        <v>1045</v>
      </c>
      <c r="W832" s="2" t="s">
        <v>1045</v>
      </c>
      <c r="X832" s="2" t="s">
        <v>227</v>
      </c>
      <c r="Y832" s="2" t="s">
        <v>1579</v>
      </c>
      <c r="Z832" s="4">
        <v>71</v>
      </c>
      <c r="AA832" s="4">
        <f>=ROUNDDOWN(10.1428571428571,0)</f>
      </c>
      <c r="AB832" s="5">
        <v>7</v>
      </c>
      <c r="AC832" s="2" t="s">
        <v>153</v>
      </c>
      <c r="AD832" s="4">
        <v>120</v>
      </c>
      <c r="AE832" s="4">
        <v>120</v>
      </c>
      <c r="AF832" s="6">
        <v>63</v>
      </c>
      <c r="AG832" s="6"/>
      <c r="AH832" s="7">
        <v>1</v>
      </c>
      <c r="AI832" s="4"/>
      <c r="AJ832" s="4">
        <f>=ROUNDDOWN({0},0)</f>
      </c>
      <c r="AK832" s="5"/>
      <c r="AL832" s="2" t="s">
        <v>227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/>
      <c r="AW832" s="8"/>
      <c r="AX832" s="4"/>
      <c r="AY832" s="8"/>
      <c r="AZ832" s="7"/>
      <c r="BA832" s="7"/>
      <c r="BB832" s="7"/>
      <c r="BC832" s="4"/>
      <c r="BD832" s="8"/>
      <c r="BE832" s="4"/>
      <c r="BF832" s="8"/>
      <c r="BG832" s="7"/>
      <c r="BH832" s="7"/>
      <c r="BI832" s="7"/>
      <c r="BJ832" s="4">
        <v>37</v>
      </c>
      <c r="BK832" s="8">
        <v>1033.3</v>
      </c>
      <c r="BL832" s="2" t="s">
        <v>4977</v>
      </c>
      <c r="BM832" s="7"/>
      <c r="BN832" s="7"/>
      <c r="BO832" s="4"/>
      <c r="BP832" s="8"/>
      <c r="BQ832" s="4"/>
      <c r="BR832" s="8"/>
      <c r="BS832" s="7"/>
      <c r="BT832" s="7"/>
      <c r="BU832" s="2" t="s">
        <v>4978</v>
      </c>
      <c r="BV832" s="2" t="s">
        <v>227</v>
      </c>
      <c r="BW832" s="2" t="s">
        <v>227</v>
      </c>
      <c r="BX832" s="2" t="s">
        <v>235</v>
      </c>
      <c r="BY832" s="2" t="s">
        <v>236</v>
      </c>
      <c r="BZ832" s="2" t="s">
        <v>224</v>
      </c>
      <c r="CA832" s="2" t="s">
        <v>244</v>
      </c>
      <c r="CB832" s="2" t="s">
        <v>1475</v>
      </c>
      <c r="CC832" s="2" t="s">
        <v>239</v>
      </c>
      <c r="CD832" s="2" t="s">
        <v>227</v>
      </c>
      <c r="CE832" s="4"/>
      <c r="CF832" s="4">
        <v>71</v>
      </c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>
        <v>120</v>
      </c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/>
      <c r="FD832" s="4"/>
      <c r="FE832" s="4"/>
      <c r="FF832" s="4"/>
      <c r="FG832" s="4"/>
      <c r="FH832" s="4"/>
      <c r="FI832" s="4"/>
      <c r="FJ832" s="4"/>
      <c r="FK832" s="4"/>
      <c r="FL832" s="4"/>
      <c r="FM832" s="4"/>
      <c r="FN832" s="4"/>
      <c r="FO832" s="4"/>
      <c r="FP832" s="4"/>
      <c r="FQ832" s="4"/>
      <c r="FR832" s="4"/>
      <c r="FS832" s="4"/>
      <c r="FT832" s="4"/>
      <c r="FU832" s="4"/>
      <c r="FV832" s="4"/>
      <c r="FW832" s="4"/>
      <c r="FX832" s="4"/>
      <c r="FY832" s="4"/>
      <c r="FZ832" s="4"/>
      <c r="GA832" s="4"/>
      <c r="GB832" s="4"/>
      <c r="GC832" s="4"/>
      <c r="GD832" s="4"/>
      <c r="GE832" s="4"/>
      <c r="GF832" s="4"/>
      <c r="GG832" s="4"/>
      <c r="GH832" s="4"/>
      <c r="GI832" s="4"/>
      <c r="GJ832" s="4"/>
      <c r="GK832" s="4"/>
      <c r="GL832" s="4"/>
      <c r="GM832" s="4"/>
      <c r="GN832" s="4"/>
      <c r="GO832" s="4"/>
      <c r="GP832" s="4"/>
      <c r="GQ832" s="4"/>
      <c r="GR832" s="4"/>
      <c r="GS832" s="4"/>
      <c r="GT832" s="4"/>
      <c r="GU832" s="4"/>
      <c r="GV832" s="4"/>
      <c r="GW832" s="4"/>
      <c r="GX832" s="4"/>
    </row>
    <row r="833">
      <c r="A833" s="2" t="s">
        <v>4979</v>
      </c>
      <c r="B833" s="2" t="s">
        <v>697</v>
      </c>
      <c r="C833" s="2" t="s">
        <v>360</v>
      </c>
      <c r="D833" s="2" t="s">
        <v>868</v>
      </c>
      <c r="E833" s="2" t="s">
        <v>1334</v>
      </c>
      <c r="F833" s="2" t="s">
        <v>4980</v>
      </c>
      <c r="G833" s="2" t="s">
        <v>4980</v>
      </c>
      <c r="H833" s="2" t="s">
        <v>4980</v>
      </c>
      <c r="I833" s="2" t="s">
        <v>4981</v>
      </c>
      <c r="J833" s="2" t="s">
        <v>2854</v>
      </c>
      <c r="K833" s="2" t="s">
        <v>976</v>
      </c>
      <c r="L833" s="3">
        <v>11.64</v>
      </c>
      <c r="M833" s="3">
        <v>12.22</v>
      </c>
      <c r="N833" s="3">
        <v>25.99</v>
      </c>
      <c r="O833" s="2" t="s">
        <v>224</v>
      </c>
      <c r="P833" s="2" t="s">
        <v>225</v>
      </c>
      <c r="Q833" s="2" t="s">
        <v>226</v>
      </c>
      <c r="R833" s="2" t="s">
        <v>227</v>
      </c>
      <c r="S833" s="2" t="s">
        <v>4982</v>
      </c>
      <c r="T833" s="2" t="s">
        <v>1698</v>
      </c>
      <c r="U833" s="2" t="s">
        <v>227</v>
      </c>
      <c r="V833" s="2" t="s">
        <v>877</v>
      </c>
      <c r="W833" s="2" t="s">
        <v>231</v>
      </c>
      <c r="X833" s="2" t="s">
        <v>581</v>
      </c>
      <c r="Y833" s="2" t="s">
        <v>232</v>
      </c>
      <c r="Z833" s="4">
        <v>464</v>
      </c>
      <c r="AA833" s="4">
        <f>=ROUNDDOWN(42.1818181818182,0)</f>
      </c>
      <c r="AB833" s="5">
        <v>11</v>
      </c>
      <c r="AC833" s="2" t="s">
        <v>583</v>
      </c>
      <c r="AD833" s="4">
        <v>500</v>
      </c>
      <c r="AE833" s="4">
        <v>500</v>
      </c>
      <c r="AF833" s="6">
        <v>64</v>
      </c>
      <c r="AG833" s="6"/>
      <c r="AH833" s="7">
        <v>1</v>
      </c>
      <c r="AI833" s="4"/>
      <c r="AJ833" s="4">
        <f>=ROUNDDOWN({0},0)</f>
      </c>
      <c r="AK833" s="5"/>
      <c r="AL833" s="2" t="s">
        <v>227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/>
      <c r="AW833" s="8"/>
      <c r="AX833" s="4"/>
      <c r="AY833" s="8"/>
      <c r="AZ833" s="7"/>
      <c r="BA833" s="7"/>
      <c r="BB833" s="7"/>
      <c r="BC833" s="4" t="s">
        <v>227</v>
      </c>
      <c r="BD833" s="8" t="s">
        <v>227</v>
      </c>
      <c r="BE833" s="4" t="s">
        <v>227</v>
      </c>
      <c r="BF833" s="8" t="s">
        <v>227</v>
      </c>
      <c r="BG833" s="7" t="s">
        <v>227</v>
      </c>
      <c r="BH833" s="7" t="s">
        <v>227</v>
      </c>
      <c r="BI833" s="7"/>
      <c r="BJ833" s="4">
        <v>46</v>
      </c>
      <c r="BK833" s="8">
        <v>520.31</v>
      </c>
      <c r="BL833" s="2" t="s">
        <v>4983</v>
      </c>
      <c r="BM833" s="7"/>
      <c r="BN833" s="7"/>
      <c r="BO833" s="4"/>
      <c r="BP833" s="8"/>
      <c r="BQ833" s="4"/>
      <c r="BR833" s="8"/>
      <c r="BS833" s="7"/>
      <c r="BT833" s="7"/>
      <c r="BU833" s="2" t="s">
        <v>4984</v>
      </c>
      <c r="BV833" s="2" t="s">
        <v>227</v>
      </c>
      <c r="BW833" s="2" t="s">
        <v>227</v>
      </c>
      <c r="BX833" s="2" t="s">
        <v>235</v>
      </c>
      <c r="BY833" s="2" t="s">
        <v>236</v>
      </c>
      <c r="BZ833" s="2" t="s">
        <v>224</v>
      </c>
      <c r="CA833" s="2" t="s">
        <v>1088</v>
      </c>
      <c r="CB833" s="2" t="s">
        <v>1475</v>
      </c>
      <c r="CC833" s="2" t="s">
        <v>239</v>
      </c>
      <c r="CD833" s="2" t="s">
        <v>227</v>
      </c>
      <c r="CE833" s="4">
        <v>464</v>
      </c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>
        <v>500</v>
      </c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/>
      <c r="FD833" s="4"/>
      <c r="FE833" s="4"/>
      <c r="FF833" s="4"/>
      <c r="FG833" s="4"/>
      <c r="FH833" s="4"/>
      <c r="FI833" s="4"/>
      <c r="FJ833" s="4"/>
      <c r="FK833" s="4"/>
      <c r="FL833" s="4"/>
      <c r="FM833" s="4"/>
      <c r="FN833" s="4"/>
      <c r="FO833" s="4"/>
      <c r="FP833" s="4"/>
      <c r="FQ833" s="4"/>
      <c r="FR833" s="4"/>
      <c r="FS833" s="4"/>
      <c r="FT833" s="4"/>
      <c r="FU833" s="4"/>
      <c r="FV833" s="4"/>
      <c r="FW833" s="4"/>
      <c r="FX833" s="4"/>
      <c r="FY833" s="4"/>
      <c r="FZ833" s="4"/>
      <c r="GA833" s="4"/>
      <c r="GB833" s="4"/>
      <c r="GC833" s="4"/>
      <c r="GD833" s="4"/>
      <c r="GE833" s="4"/>
      <c r="GF833" s="4"/>
      <c r="GG833" s="4"/>
      <c r="GH833" s="4"/>
      <c r="GI833" s="4"/>
      <c r="GJ833" s="4"/>
      <c r="GK833" s="4"/>
      <c r="GL833" s="4"/>
      <c r="GM833" s="4"/>
      <c r="GN833" s="4"/>
      <c r="GO833" s="4"/>
      <c r="GP833" s="4"/>
      <c r="GQ833" s="4"/>
      <c r="GR833" s="4"/>
      <c r="GS833" s="4"/>
      <c r="GT833" s="4"/>
      <c r="GU833" s="4"/>
      <c r="GV833" s="4"/>
      <c r="GW833" s="4"/>
      <c r="GX833" s="4"/>
    </row>
    <row r="834">
      <c r="A834" s="2" t="s">
        <v>4985</v>
      </c>
      <c r="B834" s="2" t="s">
        <v>697</v>
      </c>
      <c r="C834" s="2" t="s">
        <v>360</v>
      </c>
      <c r="D834" s="2" t="s">
        <v>868</v>
      </c>
      <c r="E834" s="2" t="s">
        <v>1334</v>
      </c>
      <c r="F834" s="2" t="s">
        <v>4980</v>
      </c>
      <c r="G834" s="2" t="s">
        <v>4980</v>
      </c>
      <c r="H834" s="2" t="s">
        <v>4980</v>
      </c>
      <c r="I834" s="2" t="s">
        <v>4981</v>
      </c>
      <c r="J834" s="2" t="s">
        <v>2854</v>
      </c>
      <c r="K834" s="2" t="s">
        <v>410</v>
      </c>
      <c r="L834" s="3">
        <v>11.64</v>
      </c>
      <c r="M834" s="3">
        <v>12.22</v>
      </c>
      <c r="N834" s="3">
        <v>25.99</v>
      </c>
      <c r="O834" s="2" t="s">
        <v>224</v>
      </c>
      <c r="P834" s="2" t="s">
        <v>225</v>
      </c>
      <c r="Q834" s="2" t="s">
        <v>226</v>
      </c>
      <c r="R834" s="2" t="s">
        <v>227</v>
      </c>
      <c r="S834" s="2" t="s">
        <v>4986</v>
      </c>
      <c r="T834" s="2" t="s">
        <v>1698</v>
      </c>
      <c r="U834" s="2" t="s">
        <v>227</v>
      </c>
      <c r="V834" s="2" t="s">
        <v>877</v>
      </c>
      <c r="W834" s="2" t="s">
        <v>231</v>
      </c>
      <c r="X834" s="2" t="s">
        <v>581</v>
      </c>
      <c r="Y834" s="2" t="s">
        <v>232</v>
      </c>
      <c r="Z834" s="4">
        <v>1038</v>
      </c>
      <c r="AA834" s="4">
        <f>=ROUNDDOWN(49.4285714285714,0)</f>
      </c>
      <c r="AB834" s="5">
        <v>21</v>
      </c>
      <c r="AC834" s="2" t="s">
        <v>583</v>
      </c>
      <c r="AD834" s="4">
        <v>800</v>
      </c>
      <c r="AE834" s="4">
        <v>800</v>
      </c>
      <c r="AF834" s="6">
        <v>64</v>
      </c>
      <c r="AG834" s="6"/>
      <c r="AH834" s="7">
        <v>1</v>
      </c>
      <c r="AI834" s="4"/>
      <c r="AJ834" s="4">
        <f>=ROUNDDOWN({0},0)</f>
      </c>
      <c r="AK834" s="5"/>
      <c r="AL834" s="2" t="s">
        <v>227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/>
      <c r="AW834" s="8"/>
      <c r="AX834" s="4"/>
      <c r="AY834" s="8"/>
      <c r="AZ834" s="7"/>
      <c r="BA834" s="7"/>
      <c r="BB834" s="7"/>
      <c r="BC834" s="4" t="s">
        <v>227</v>
      </c>
      <c r="BD834" s="8" t="s">
        <v>227</v>
      </c>
      <c r="BE834" s="4" t="s">
        <v>227</v>
      </c>
      <c r="BF834" s="8" t="s">
        <v>227</v>
      </c>
      <c r="BG834" s="7" t="s">
        <v>227</v>
      </c>
      <c r="BH834" s="7" t="s">
        <v>227</v>
      </c>
      <c r="BI834" s="7"/>
      <c r="BJ834" s="4">
        <v>107</v>
      </c>
      <c r="BK834" s="8">
        <v>1255.51</v>
      </c>
      <c r="BL834" s="2" t="s">
        <v>4987</v>
      </c>
      <c r="BM834" s="7"/>
      <c r="BN834" s="7"/>
      <c r="BO834" s="4"/>
      <c r="BP834" s="8"/>
      <c r="BQ834" s="4"/>
      <c r="BR834" s="8"/>
      <c r="BS834" s="7"/>
      <c r="BT834" s="7"/>
      <c r="BU834" s="2" t="s">
        <v>4988</v>
      </c>
      <c r="BV834" s="2" t="s">
        <v>227</v>
      </c>
      <c r="BW834" s="2" t="s">
        <v>227</v>
      </c>
      <c r="BX834" s="2" t="s">
        <v>235</v>
      </c>
      <c r="BY834" s="2" t="s">
        <v>236</v>
      </c>
      <c r="BZ834" s="2" t="s">
        <v>224</v>
      </c>
      <c r="CA834" s="2" t="s">
        <v>237</v>
      </c>
      <c r="CB834" s="2" t="s">
        <v>4989</v>
      </c>
      <c r="CC834" s="2" t="s">
        <v>239</v>
      </c>
      <c r="CD834" s="2" t="s">
        <v>227</v>
      </c>
      <c r="CE834" s="4">
        <v>1038</v>
      </c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>
        <v>800</v>
      </c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/>
      <c r="FD834" s="4"/>
      <c r="FE834" s="4"/>
      <c r="FF834" s="4"/>
      <c r="FG834" s="4"/>
      <c r="FH834" s="4"/>
      <c r="FI834" s="4"/>
      <c r="FJ834" s="4"/>
      <c r="FK834" s="4"/>
      <c r="FL834" s="4"/>
      <c r="FM834" s="4"/>
      <c r="FN834" s="4"/>
      <c r="FO834" s="4"/>
      <c r="FP834" s="4"/>
      <c r="FQ834" s="4"/>
      <c r="FR834" s="4"/>
      <c r="FS834" s="4"/>
      <c r="FT834" s="4"/>
      <c r="FU834" s="4"/>
      <c r="FV834" s="4"/>
      <c r="FW834" s="4"/>
      <c r="FX834" s="4"/>
      <c r="FY834" s="4"/>
      <c r="FZ834" s="4"/>
      <c r="GA834" s="4"/>
      <c r="GB834" s="4"/>
      <c r="GC834" s="4"/>
      <c r="GD834" s="4"/>
      <c r="GE834" s="4"/>
      <c r="GF834" s="4"/>
      <c r="GG834" s="4"/>
      <c r="GH834" s="4"/>
      <c r="GI834" s="4"/>
      <c r="GJ834" s="4"/>
      <c r="GK834" s="4"/>
      <c r="GL834" s="4"/>
      <c r="GM834" s="4"/>
      <c r="GN834" s="4"/>
      <c r="GO834" s="4"/>
      <c r="GP834" s="4"/>
      <c r="GQ834" s="4"/>
      <c r="GR834" s="4"/>
      <c r="GS834" s="4"/>
      <c r="GT834" s="4"/>
      <c r="GU834" s="4"/>
      <c r="GV834" s="4"/>
      <c r="GW834" s="4"/>
      <c r="GX834" s="4"/>
    </row>
    <row r="835">
      <c r="A835" s="2" t="s">
        <v>4990</v>
      </c>
      <c r="B835" s="2" t="s">
        <v>618</v>
      </c>
      <c r="C835" s="2" t="s">
        <v>1299</v>
      </c>
      <c r="D835" s="2" t="s">
        <v>687</v>
      </c>
      <c r="E835" s="2" t="s">
        <v>699</v>
      </c>
      <c r="F835" s="2" t="s">
        <v>4991</v>
      </c>
      <c r="G835" s="2" t="s">
        <v>4992</v>
      </c>
      <c r="H835" s="2" t="s">
        <v>4993</v>
      </c>
      <c r="I835" s="2" t="s">
        <v>4994</v>
      </c>
      <c r="J835" s="2" t="s">
        <v>1304</v>
      </c>
      <c r="K835" s="2" t="s">
        <v>1577</v>
      </c>
      <c r="L835" s="3">
        <v>31.29</v>
      </c>
      <c r="M835" s="3">
        <v>32.85</v>
      </c>
      <c r="N835" s="3">
        <v>64.99</v>
      </c>
      <c r="O835" s="2" t="s">
        <v>224</v>
      </c>
      <c r="P835" s="2" t="s">
        <v>225</v>
      </c>
      <c r="Q835" s="2" t="s">
        <v>226</v>
      </c>
      <c r="R835" s="2" t="s">
        <v>227</v>
      </c>
      <c r="S835" s="2" t="s">
        <v>4995</v>
      </c>
      <c r="T835" s="2" t="s">
        <v>375</v>
      </c>
      <c r="U835" s="2" t="s">
        <v>287</v>
      </c>
      <c r="V835" s="2" t="s">
        <v>629</v>
      </c>
      <c r="W835" s="2" t="s">
        <v>231</v>
      </c>
      <c r="X835" s="2" t="s">
        <v>581</v>
      </c>
      <c r="Y835" s="2" t="s">
        <v>232</v>
      </c>
      <c r="Z835" s="4">
        <v>541</v>
      </c>
      <c r="AA835" s="4">
        <f>=ROUNDDOWN(108.2,0)</f>
      </c>
      <c r="AB835" s="5">
        <v>5</v>
      </c>
      <c r="AC835" s="2" t="s">
        <v>227</v>
      </c>
      <c r="AD835" s="4"/>
      <c r="AE835" s="4"/>
      <c r="AF835" s="6">
        <v>64</v>
      </c>
      <c r="AG835" s="6"/>
      <c r="AH835" s="7">
        <v>1</v>
      </c>
      <c r="AI835" s="4"/>
      <c r="AJ835" s="4">
        <f>=ROUNDDOWN({0},0)</f>
      </c>
      <c r="AK835" s="5"/>
      <c r="AL835" s="2" t="s">
        <v>227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/>
      <c r="AW835" s="8"/>
      <c r="AX835" s="4"/>
      <c r="AY835" s="8"/>
      <c r="AZ835" s="7"/>
      <c r="BA835" s="7"/>
      <c r="BB835" s="7"/>
      <c r="BC835" s="4"/>
      <c r="BD835" s="8"/>
      <c r="BE835" s="4"/>
      <c r="BF835" s="8"/>
      <c r="BG835" s="7"/>
      <c r="BH835" s="7"/>
      <c r="BI835" s="7"/>
      <c r="BJ835" s="4">
        <v>36</v>
      </c>
      <c r="BK835" s="8">
        <v>1332.63</v>
      </c>
      <c r="BL835" s="2" t="s">
        <v>4996</v>
      </c>
      <c r="BM835" s="7"/>
      <c r="BN835" s="7"/>
      <c r="BO835" s="4"/>
      <c r="BP835" s="8"/>
      <c r="BQ835" s="4"/>
      <c r="BR835" s="8"/>
      <c r="BS835" s="7"/>
      <c r="BT835" s="7"/>
      <c r="BU835" s="2" t="s">
        <v>4997</v>
      </c>
      <c r="BV835" s="2" t="s">
        <v>227</v>
      </c>
      <c r="BW835" s="2" t="s">
        <v>227</v>
      </c>
      <c r="BX835" s="2" t="s">
        <v>235</v>
      </c>
      <c r="BY835" s="2" t="s">
        <v>236</v>
      </c>
      <c r="BZ835" s="2" t="s">
        <v>224</v>
      </c>
      <c r="CA835" s="2" t="s">
        <v>237</v>
      </c>
      <c r="CB835" s="2" t="s">
        <v>4998</v>
      </c>
      <c r="CC835" s="2" t="s">
        <v>239</v>
      </c>
      <c r="CD835" s="2" t="s">
        <v>227</v>
      </c>
      <c r="CE835" s="4">
        <v>541</v>
      </c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/>
      <c r="FD835" s="4"/>
      <c r="FE835" s="4"/>
      <c r="FF835" s="4"/>
      <c r="FG835" s="4"/>
      <c r="FH835" s="4"/>
      <c r="FI835" s="4"/>
      <c r="FJ835" s="4"/>
      <c r="FK835" s="4"/>
      <c r="FL835" s="4"/>
      <c r="FM835" s="4"/>
      <c r="FN835" s="4"/>
      <c r="FO835" s="4"/>
      <c r="FP835" s="4"/>
      <c r="FQ835" s="4"/>
      <c r="FR835" s="4"/>
      <c r="FS835" s="4"/>
      <c r="FT835" s="4"/>
      <c r="FU835" s="4"/>
      <c r="FV835" s="4"/>
      <c r="FW835" s="4"/>
      <c r="FX835" s="4"/>
      <c r="FY835" s="4"/>
      <c r="FZ835" s="4"/>
      <c r="GA835" s="4"/>
      <c r="GB835" s="4"/>
      <c r="GC835" s="4"/>
      <c r="GD835" s="4"/>
      <c r="GE835" s="4"/>
      <c r="GF835" s="4"/>
      <c r="GG835" s="4"/>
      <c r="GH835" s="4"/>
      <c r="GI835" s="4"/>
      <c r="GJ835" s="4"/>
      <c r="GK835" s="4"/>
      <c r="GL835" s="4"/>
      <c r="GM835" s="4"/>
      <c r="GN835" s="4"/>
      <c r="GO835" s="4"/>
      <c r="GP835" s="4"/>
      <c r="GQ835" s="4"/>
      <c r="GR835" s="4"/>
      <c r="GS835" s="4"/>
      <c r="GT835" s="4"/>
      <c r="GU835" s="4"/>
      <c r="GV835" s="4"/>
      <c r="GW835" s="4"/>
      <c r="GX835" s="4"/>
    </row>
    <row r="836">
      <c r="A836" s="2" t="s">
        <v>4999</v>
      </c>
      <c r="B836" s="2" t="s">
        <v>514</v>
      </c>
      <c r="C836" s="2" t="s">
        <v>360</v>
      </c>
      <c r="D836" s="2" t="s">
        <v>516</v>
      </c>
      <c r="E836" s="2" t="s">
        <v>517</v>
      </c>
      <c r="F836" s="2" t="s">
        <v>5000</v>
      </c>
      <c r="G836" s="2" t="s">
        <v>5000</v>
      </c>
      <c r="H836" s="2" t="s">
        <v>5000</v>
      </c>
      <c r="I836" s="2" t="s">
        <v>5001</v>
      </c>
      <c r="J836" s="2" t="s">
        <v>593</v>
      </c>
      <c r="K836" s="2" t="s">
        <v>1242</v>
      </c>
      <c r="L836" s="3">
        <v>26.4</v>
      </c>
      <c r="M836" s="3">
        <v>27.72</v>
      </c>
      <c r="N836" s="3">
        <v>54.99</v>
      </c>
      <c r="O836" s="2" t="s">
        <v>224</v>
      </c>
      <c r="P836" s="2" t="s">
        <v>225</v>
      </c>
      <c r="Q836" s="2" t="s">
        <v>226</v>
      </c>
      <c r="R836" s="2" t="s">
        <v>227</v>
      </c>
      <c r="S836" s="2" t="s">
        <v>5002</v>
      </c>
      <c r="T836" s="2" t="s">
        <v>286</v>
      </c>
      <c r="U836" s="2" t="s">
        <v>594</v>
      </c>
      <c r="V836" s="2" t="s">
        <v>230</v>
      </c>
      <c r="W836" s="2" t="s">
        <v>836</v>
      </c>
      <c r="X836" s="2" t="s">
        <v>227</v>
      </c>
      <c r="Y836" s="2" t="s">
        <v>5003</v>
      </c>
      <c r="Z836" s="4">
        <v>3</v>
      </c>
      <c r="AA836" s="4">
        <f>=ROUNDDOWN(0.0769230769230769,0)</f>
      </c>
      <c r="AB836" s="5">
        <v>39</v>
      </c>
      <c r="AC836" s="2" t="s">
        <v>5004</v>
      </c>
      <c r="AD836" s="4">
        <v>345</v>
      </c>
      <c r="AE836" s="4">
        <v>1575</v>
      </c>
      <c r="AF836" s="6">
        <v>73</v>
      </c>
      <c r="AG836" s="6"/>
      <c r="AH836" s="7">
        <v>0.4194</v>
      </c>
      <c r="AI836" s="4"/>
      <c r="AJ836" s="4">
        <f>=ROUNDDOWN({0},0)</f>
      </c>
      <c r="AK836" s="5"/>
      <c r="AL836" s="2" t="s">
        <v>227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/>
      <c r="AW836" s="8"/>
      <c r="AX836" s="4"/>
      <c r="AY836" s="8"/>
      <c r="AZ836" s="7"/>
      <c r="BA836" s="7"/>
      <c r="BB836" s="7"/>
      <c r="BC836" s="4" t="s">
        <v>227</v>
      </c>
      <c r="BD836" s="8" t="s">
        <v>227</v>
      </c>
      <c r="BE836" s="4" t="s">
        <v>227</v>
      </c>
      <c r="BF836" s="8" t="s">
        <v>227</v>
      </c>
      <c r="BG836" s="7" t="s">
        <v>227</v>
      </c>
      <c r="BH836" s="7" t="s">
        <v>227</v>
      </c>
      <c r="BI836" s="7"/>
      <c r="BJ836" s="4">
        <v>103</v>
      </c>
      <c r="BK836" s="8">
        <v>2891.34</v>
      </c>
      <c r="BL836" s="2" t="s">
        <v>4393</v>
      </c>
      <c r="BM836" s="7"/>
      <c r="BN836" s="7"/>
      <c r="BO836" s="4"/>
      <c r="BP836" s="8"/>
      <c r="BQ836" s="4"/>
      <c r="BR836" s="8"/>
      <c r="BS836" s="7"/>
      <c r="BT836" s="7"/>
      <c r="BU836" s="2" t="s">
        <v>5005</v>
      </c>
      <c r="BV836" s="2" t="s">
        <v>227</v>
      </c>
      <c r="BW836" s="2" t="s">
        <v>227</v>
      </c>
      <c r="BX836" s="2" t="s">
        <v>711</v>
      </c>
      <c r="BY836" s="2" t="s">
        <v>236</v>
      </c>
      <c r="BZ836" s="2" t="s">
        <v>224</v>
      </c>
      <c r="CA836" s="2" t="s">
        <v>5006</v>
      </c>
      <c r="CB836" s="2" t="s">
        <v>5007</v>
      </c>
      <c r="CC836" s="2" t="s">
        <v>239</v>
      </c>
      <c r="CD836" s="2" t="s">
        <v>227</v>
      </c>
      <c r="CE836" s="4">
        <v>3</v>
      </c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>
        <v>345</v>
      </c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/>
      <c r="FB836" s="4"/>
      <c r="FC836" s="4"/>
      <c r="FD836" s="4"/>
      <c r="FE836" s="4"/>
      <c r="FF836" s="4"/>
      <c r="FG836" s="4"/>
      <c r="FH836" s="4"/>
      <c r="FI836" s="4"/>
      <c r="FJ836" s="4">
        <v>530</v>
      </c>
      <c r="FK836" s="4"/>
      <c r="FL836" s="4"/>
      <c r="FM836" s="4"/>
      <c r="FN836" s="4"/>
      <c r="FO836" s="4"/>
      <c r="FP836" s="4">
        <v>350</v>
      </c>
      <c r="FQ836" s="4"/>
      <c r="FR836" s="4"/>
      <c r="FS836" s="4"/>
      <c r="FT836" s="4"/>
      <c r="FU836" s="4"/>
      <c r="FV836" s="4"/>
      <c r="FW836" s="4"/>
      <c r="FX836" s="4"/>
      <c r="FY836" s="4"/>
      <c r="FZ836" s="4"/>
      <c r="GA836" s="4">
        <v>350</v>
      </c>
      <c r="GB836" s="4"/>
      <c r="GC836" s="4"/>
      <c r="GD836" s="4"/>
      <c r="GE836" s="4"/>
      <c r="GF836" s="4"/>
      <c r="GG836" s="4"/>
      <c r="GH836" s="4"/>
      <c r="GI836" s="4"/>
      <c r="GJ836" s="4"/>
      <c r="GK836" s="4"/>
      <c r="GL836" s="4"/>
      <c r="GM836" s="4"/>
      <c r="GN836" s="4"/>
      <c r="GO836" s="4"/>
      <c r="GP836" s="4"/>
      <c r="GQ836" s="4"/>
      <c r="GR836" s="4"/>
      <c r="GS836" s="4"/>
      <c r="GT836" s="4"/>
      <c r="GU836" s="4"/>
      <c r="GV836" s="4"/>
      <c r="GW836" s="4"/>
      <c r="GX836" s="4"/>
    </row>
    <row r="837">
      <c r="A837" s="2" t="s">
        <v>5008</v>
      </c>
      <c r="B837" s="2" t="s">
        <v>514</v>
      </c>
      <c r="C837" s="2" t="s">
        <v>360</v>
      </c>
      <c r="D837" s="2" t="s">
        <v>516</v>
      </c>
      <c r="E837" s="2" t="s">
        <v>517</v>
      </c>
      <c r="F837" s="2" t="s">
        <v>5000</v>
      </c>
      <c r="G837" s="2" t="s">
        <v>5000</v>
      </c>
      <c r="H837" s="2" t="s">
        <v>5000</v>
      </c>
      <c r="I837" s="2" t="s">
        <v>5001</v>
      </c>
      <c r="J837" s="2" t="s">
        <v>593</v>
      </c>
      <c r="K837" s="2" t="s">
        <v>363</v>
      </c>
      <c r="L837" s="3">
        <v>26.4</v>
      </c>
      <c r="M837" s="3">
        <v>27.72</v>
      </c>
      <c r="N837" s="3">
        <v>54.99</v>
      </c>
      <c r="O837" s="2" t="s">
        <v>224</v>
      </c>
      <c r="P837" s="2" t="s">
        <v>225</v>
      </c>
      <c r="Q837" s="2" t="s">
        <v>226</v>
      </c>
      <c r="R837" s="2" t="s">
        <v>227</v>
      </c>
      <c r="S837" s="2" t="s">
        <v>227</v>
      </c>
      <c r="T837" s="2" t="s">
        <v>227</v>
      </c>
      <c r="U837" s="2" t="s">
        <v>594</v>
      </c>
      <c r="V837" s="2" t="s">
        <v>230</v>
      </c>
      <c r="W837" s="2" t="s">
        <v>836</v>
      </c>
      <c r="X837" s="2" t="s">
        <v>227</v>
      </c>
      <c r="Y837" s="2" t="s">
        <v>595</v>
      </c>
      <c r="Z837" s="4">
        <v>173</v>
      </c>
      <c r="AA837" s="4">
        <f>=ROUNDDOWN(4.11904761904762,0)</f>
      </c>
      <c r="AB837" s="5">
        <v>42</v>
      </c>
      <c r="AC837" s="2" t="s">
        <v>155</v>
      </c>
      <c r="AD837" s="4">
        <v>350</v>
      </c>
      <c r="AE837" s="4">
        <v>1400</v>
      </c>
      <c r="AF837" s="6">
        <v>73</v>
      </c>
      <c r="AG837" s="6"/>
      <c r="AH837" s="7">
        <v>1</v>
      </c>
      <c r="AI837" s="4"/>
      <c r="AJ837" s="4">
        <f>=ROUNDDOWN({0},0)</f>
      </c>
      <c r="AK837" s="5"/>
      <c r="AL837" s="2" t="s">
        <v>227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/>
      <c r="AW837" s="8"/>
      <c r="AX837" s="4"/>
      <c r="AY837" s="8"/>
      <c r="AZ837" s="7"/>
      <c r="BA837" s="7"/>
      <c r="BB837" s="7"/>
      <c r="BC837" s="4" t="s">
        <v>227</v>
      </c>
      <c r="BD837" s="8" t="s">
        <v>227</v>
      </c>
      <c r="BE837" s="4" t="s">
        <v>227</v>
      </c>
      <c r="BF837" s="8" t="s">
        <v>227</v>
      </c>
      <c r="BG837" s="7" t="s">
        <v>227</v>
      </c>
      <c r="BH837" s="7" t="s">
        <v>227</v>
      </c>
      <c r="BI837" s="7"/>
      <c r="BJ837" s="4">
        <v>241</v>
      </c>
      <c r="BK837" s="8">
        <v>6932.74</v>
      </c>
      <c r="BL837" s="2" t="s">
        <v>5009</v>
      </c>
      <c r="BM837" s="7"/>
      <c r="BN837" s="7"/>
      <c r="BO837" s="4"/>
      <c r="BP837" s="8"/>
      <c r="BQ837" s="4"/>
      <c r="BR837" s="8"/>
      <c r="BS837" s="7"/>
      <c r="BT837" s="7"/>
      <c r="BU837" s="2" t="s">
        <v>5010</v>
      </c>
      <c r="BV837" s="2" t="s">
        <v>227</v>
      </c>
      <c r="BW837" s="2" t="s">
        <v>227</v>
      </c>
      <c r="BX837" s="2" t="s">
        <v>711</v>
      </c>
      <c r="BY837" s="2" t="s">
        <v>236</v>
      </c>
      <c r="BZ837" s="2" t="s">
        <v>224</v>
      </c>
      <c r="CA837" s="2" t="s">
        <v>2399</v>
      </c>
      <c r="CB837" s="2" t="s">
        <v>5011</v>
      </c>
      <c r="CC837" s="2" t="s">
        <v>239</v>
      </c>
      <c r="CD837" s="2" t="s">
        <v>227</v>
      </c>
      <c r="CE837" s="4">
        <v>173</v>
      </c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>
        <v>350</v>
      </c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/>
      <c r="FD837" s="4"/>
      <c r="FE837" s="4"/>
      <c r="FF837" s="4"/>
      <c r="FG837" s="4"/>
      <c r="FH837" s="4"/>
      <c r="FI837" s="4"/>
      <c r="FJ837" s="4">
        <v>350</v>
      </c>
      <c r="FK837" s="4"/>
      <c r="FL837" s="4"/>
      <c r="FM837" s="4"/>
      <c r="FN837" s="4"/>
      <c r="FO837" s="4"/>
      <c r="FP837" s="4"/>
      <c r="FQ837" s="4"/>
      <c r="FR837" s="4"/>
      <c r="FS837" s="4"/>
      <c r="FT837" s="4"/>
      <c r="FU837" s="4"/>
      <c r="FV837" s="4"/>
      <c r="FW837" s="4"/>
      <c r="FX837" s="4"/>
      <c r="FY837" s="4"/>
      <c r="FZ837" s="4"/>
      <c r="GA837" s="4">
        <v>350</v>
      </c>
      <c r="GB837" s="4"/>
      <c r="GC837" s="4"/>
      <c r="GD837" s="4"/>
      <c r="GE837" s="4"/>
      <c r="GF837" s="4"/>
      <c r="GG837" s="4"/>
      <c r="GH837" s="4"/>
      <c r="GI837" s="4"/>
      <c r="GJ837" s="4"/>
      <c r="GK837" s="4"/>
      <c r="GL837" s="4"/>
      <c r="GM837" s="4"/>
      <c r="GN837" s="4"/>
      <c r="GO837" s="4"/>
      <c r="GP837" s="4"/>
      <c r="GQ837" s="4"/>
      <c r="GR837" s="4">
        <v>350</v>
      </c>
      <c r="GS837" s="4"/>
      <c r="GT837" s="4"/>
      <c r="GU837" s="4"/>
      <c r="GV837" s="4"/>
      <c r="GW837" s="4"/>
      <c r="GX837" s="4"/>
    </row>
    <row r="838">
      <c r="A838" s="2" t="s">
        <v>5012</v>
      </c>
      <c r="B838" s="2" t="s">
        <v>514</v>
      </c>
      <c r="C838" s="2" t="s">
        <v>360</v>
      </c>
      <c r="D838" s="2" t="s">
        <v>516</v>
      </c>
      <c r="E838" s="2" t="s">
        <v>517</v>
      </c>
      <c r="F838" s="2" t="s">
        <v>5000</v>
      </c>
      <c r="G838" s="2" t="s">
        <v>5000</v>
      </c>
      <c r="H838" s="2" t="s">
        <v>5000</v>
      </c>
      <c r="I838" s="2" t="s">
        <v>5001</v>
      </c>
      <c r="J838" s="2" t="s">
        <v>593</v>
      </c>
      <c r="K838" s="2" t="s">
        <v>264</v>
      </c>
      <c r="L838" s="3">
        <v>26.4</v>
      </c>
      <c r="M838" s="3">
        <v>27.72</v>
      </c>
      <c r="N838" s="3">
        <v>54.99</v>
      </c>
      <c r="O838" s="2" t="s">
        <v>224</v>
      </c>
      <c r="P838" s="2" t="s">
        <v>485</v>
      </c>
      <c r="Q838" s="2" t="s">
        <v>226</v>
      </c>
      <c r="R838" s="2" t="s">
        <v>227</v>
      </c>
      <c r="S838" s="2" t="s">
        <v>5002</v>
      </c>
      <c r="T838" s="2" t="s">
        <v>286</v>
      </c>
      <c r="U838" s="2" t="s">
        <v>594</v>
      </c>
      <c r="V838" s="2" t="s">
        <v>230</v>
      </c>
      <c r="W838" s="2" t="s">
        <v>836</v>
      </c>
      <c r="X838" s="2" t="s">
        <v>227</v>
      </c>
      <c r="Y838" s="2" t="s">
        <v>5013</v>
      </c>
      <c r="Z838" s="4">
        <v>9</v>
      </c>
      <c r="AA838" s="4">
        <f>=ROUNDDOWN(0.176470588235294,0)</f>
      </c>
      <c r="AB838" s="5">
        <v>51</v>
      </c>
      <c r="AC838" s="2" t="s">
        <v>5004</v>
      </c>
      <c r="AD838" s="4">
        <v>342</v>
      </c>
      <c r="AE838" s="4">
        <v>2092</v>
      </c>
      <c r="AF838" s="6">
        <v>73</v>
      </c>
      <c r="AG838" s="6"/>
      <c r="AH838" s="7">
        <v>0.0645</v>
      </c>
      <c r="AI838" s="4"/>
      <c r="AJ838" s="4">
        <f>=ROUNDDOWN({0},0)</f>
      </c>
      <c r="AK838" s="5"/>
      <c r="AL838" s="2" t="s">
        <v>227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/>
      <c r="AW838" s="8"/>
      <c r="AX838" s="4"/>
      <c r="AY838" s="8"/>
      <c r="AZ838" s="7"/>
      <c r="BA838" s="7"/>
      <c r="BB838" s="7"/>
      <c r="BC838" s="4" t="s">
        <v>227</v>
      </c>
      <c r="BD838" s="8" t="s">
        <v>227</v>
      </c>
      <c r="BE838" s="4" t="s">
        <v>227</v>
      </c>
      <c r="BF838" s="8" t="s">
        <v>227</v>
      </c>
      <c r="BG838" s="7" t="s">
        <v>227</v>
      </c>
      <c r="BH838" s="7" t="s">
        <v>227</v>
      </c>
      <c r="BI838" s="7"/>
      <c r="BJ838" s="4">
        <v>18</v>
      </c>
      <c r="BK838" s="8">
        <v>518.41</v>
      </c>
      <c r="BL838" s="2" t="s">
        <v>5014</v>
      </c>
      <c r="BM838" s="7"/>
      <c r="BN838" s="7"/>
      <c r="BO838" s="4"/>
      <c r="BP838" s="8"/>
      <c r="BQ838" s="4"/>
      <c r="BR838" s="8"/>
      <c r="BS838" s="7"/>
      <c r="BT838" s="7"/>
      <c r="BU838" s="2" t="s">
        <v>5015</v>
      </c>
      <c r="BV838" s="2" t="s">
        <v>227</v>
      </c>
      <c r="BW838" s="2" t="s">
        <v>227</v>
      </c>
      <c r="BX838" s="2" t="s">
        <v>711</v>
      </c>
      <c r="BY838" s="2" t="s">
        <v>236</v>
      </c>
      <c r="BZ838" s="2" t="s">
        <v>224</v>
      </c>
      <c r="CA838" s="2" t="s">
        <v>5016</v>
      </c>
      <c r="CB838" s="2" t="s">
        <v>5017</v>
      </c>
      <c r="CC838" s="2" t="s">
        <v>239</v>
      </c>
      <c r="CD838" s="2" t="s">
        <v>227</v>
      </c>
      <c r="CE838" s="4">
        <v>9</v>
      </c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>
        <v>342</v>
      </c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>
        <v>350</v>
      </c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/>
      <c r="FD838" s="4"/>
      <c r="FE838" s="4"/>
      <c r="FF838" s="4"/>
      <c r="FG838" s="4"/>
      <c r="FH838" s="4"/>
      <c r="FI838" s="4"/>
      <c r="FJ838" s="4">
        <v>350</v>
      </c>
      <c r="FK838" s="4"/>
      <c r="FL838" s="4"/>
      <c r="FM838" s="4"/>
      <c r="FN838" s="4"/>
      <c r="FO838" s="4"/>
      <c r="FP838" s="4">
        <v>700</v>
      </c>
      <c r="FQ838" s="4"/>
      <c r="FR838" s="4"/>
      <c r="FS838" s="4"/>
      <c r="FT838" s="4"/>
      <c r="FU838" s="4"/>
      <c r="FV838" s="4"/>
      <c r="FW838" s="4"/>
      <c r="FX838" s="4"/>
      <c r="FY838" s="4"/>
      <c r="FZ838" s="4"/>
      <c r="GA838" s="4"/>
      <c r="GB838" s="4"/>
      <c r="GC838" s="4"/>
      <c r="GD838" s="4"/>
      <c r="GE838" s="4"/>
      <c r="GF838" s="4"/>
      <c r="GG838" s="4"/>
      <c r="GH838" s="4"/>
      <c r="GI838" s="4"/>
      <c r="GJ838" s="4"/>
      <c r="GK838" s="4"/>
      <c r="GL838" s="4"/>
      <c r="GM838" s="4"/>
      <c r="GN838" s="4"/>
      <c r="GO838" s="4"/>
      <c r="GP838" s="4"/>
      <c r="GQ838" s="4"/>
      <c r="GR838" s="4">
        <v>350</v>
      </c>
      <c r="GS838" s="4"/>
      <c r="GT838" s="4"/>
      <c r="GU838" s="4"/>
      <c r="GV838" s="4"/>
      <c r="GW838" s="4"/>
      <c r="GX838" s="4"/>
    </row>
    <row r="839">
      <c r="A839" s="2" t="s">
        <v>5018</v>
      </c>
      <c r="B839" s="2" t="s">
        <v>667</v>
      </c>
      <c r="C839" s="2" t="s">
        <v>1139</v>
      </c>
      <c r="D839" s="2" t="s">
        <v>1652</v>
      </c>
      <c r="E839" s="2" t="s">
        <v>1653</v>
      </c>
      <c r="F839" s="2" t="s">
        <v>5019</v>
      </c>
      <c r="G839" s="2" t="s">
        <v>5020</v>
      </c>
      <c r="H839" s="2" t="s">
        <v>5021</v>
      </c>
      <c r="I839" s="2" t="s">
        <v>5022</v>
      </c>
      <c r="J839" s="2" t="s">
        <v>626</v>
      </c>
      <c r="K839" s="2" t="s">
        <v>432</v>
      </c>
      <c r="L839" s="3">
        <v>21.6</v>
      </c>
      <c r="M839" s="3">
        <v>22.68</v>
      </c>
      <c r="N839" s="3">
        <v>59.99</v>
      </c>
      <c r="O839" s="2" t="s">
        <v>224</v>
      </c>
      <c r="P839" s="2" t="s">
        <v>225</v>
      </c>
      <c r="Q839" s="2" t="s">
        <v>226</v>
      </c>
      <c r="R839" s="2" t="s">
        <v>227</v>
      </c>
      <c r="S839" s="2" t="s">
        <v>5023</v>
      </c>
      <c r="T839" s="2" t="s">
        <v>227</v>
      </c>
      <c r="U839" s="2" t="s">
        <v>674</v>
      </c>
      <c r="V839" s="2" t="s">
        <v>230</v>
      </c>
      <c r="W839" s="2" t="s">
        <v>231</v>
      </c>
      <c r="X839" s="2" t="s">
        <v>5024</v>
      </c>
      <c r="Y839" s="2" t="s">
        <v>3837</v>
      </c>
      <c r="Z839" s="4">
        <v>366</v>
      </c>
      <c r="AA839" s="4">
        <f>=ROUNDDOWN(33.2727272727273,0)</f>
      </c>
      <c r="AB839" s="5">
        <v>11</v>
      </c>
      <c r="AC839" s="2" t="s">
        <v>5025</v>
      </c>
      <c r="AD839" s="4">
        <v>170</v>
      </c>
      <c r="AE839" s="4">
        <v>320</v>
      </c>
      <c r="AF839" s="6">
        <v>65</v>
      </c>
      <c r="AG839" s="6">
        <v>48</v>
      </c>
      <c r="AH839" s="7">
        <v>1</v>
      </c>
      <c r="AI839" s="4"/>
      <c r="AJ839" s="4">
        <f>=ROUNDDOWN({0},0)</f>
      </c>
      <c r="AK839" s="5"/>
      <c r="AL839" s="2" t="s">
        <v>227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/>
      <c r="AW839" s="8"/>
      <c r="AX839" s="4"/>
      <c r="AY839" s="8"/>
      <c r="AZ839" s="7"/>
      <c r="BA839" s="7"/>
      <c r="BB839" s="7"/>
      <c r="BC839" s="4"/>
      <c r="BD839" s="8"/>
      <c r="BE839" s="4"/>
      <c r="BF839" s="8"/>
      <c r="BG839" s="7"/>
      <c r="BH839" s="7"/>
      <c r="BI839" s="7"/>
      <c r="BJ839" s="4">
        <v>27</v>
      </c>
      <c r="BK839" s="8">
        <v>628.95</v>
      </c>
      <c r="BL839" s="2" t="s">
        <v>5026</v>
      </c>
      <c r="BM839" s="7"/>
      <c r="BN839" s="7"/>
      <c r="BO839" s="4"/>
      <c r="BP839" s="8"/>
      <c r="BQ839" s="4"/>
      <c r="BR839" s="8"/>
      <c r="BS839" s="7"/>
      <c r="BT839" s="7"/>
      <c r="BU839" s="2" t="s">
        <v>5027</v>
      </c>
      <c r="BV839" s="2" t="s">
        <v>227</v>
      </c>
      <c r="BW839" s="2" t="s">
        <v>227</v>
      </c>
      <c r="BX839" s="2" t="s">
        <v>235</v>
      </c>
      <c r="BY839" s="2" t="s">
        <v>236</v>
      </c>
      <c r="BZ839" s="2" t="s">
        <v>224</v>
      </c>
      <c r="CA839" s="2" t="s">
        <v>3576</v>
      </c>
      <c r="CB839" s="2" t="s">
        <v>5028</v>
      </c>
      <c r="CC839" s="2" t="s">
        <v>239</v>
      </c>
      <c r="CD839" s="2" t="s">
        <v>227</v>
      </c>
      <c r="CE839" s="4">
        <v>287</v>
      </c>
      <c r="CF839" s="4"/>
      <c r="CG839" s="4"/>
      <c r="CH839" s="4">
        <v>79</v>
      </c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/>
      <c r="FE839" s="4"/>
      <c r="FF839" s="4"/>
      <c r="FG839" s="4"/>
      <c r="FH839" s="4"/>
      <c r="FI839" s="4"/>
      <c r="FJ839" s="4"/>
      <c r="FK839" s="4"/>
      <c r="FL839" s="4"/>
      <c r="FM839" s="4">
        <v>170</v>
      </c>
      <c r="FN839" s="4"/>
      <c r="FO839" s="4"/>
      <c r="FP839" s="4"/>
      <c r="FQ839" s="4"/>
      <c r="FR839" s="4"/>
      <c r="FS839" s="4"/>
      <c r="FT839" s="4"/>
      <c r="FU839" s="4"/>
      <c r="FV839" s="4"/>
      <c r="FW839" s="4"/>
      <c r="FX839" s="4"/>
      <c r="FY839" s="4"/>
      <c r="FZ839" s="4"/>
      <c r="GA839" s="4"/>
      <c r="GB839" s="4">
        <v>150</v>
      </c>
      <c r="GC839" s="4"/>
      <c r="GD839" s="4"/>
      <c r="GE839" s="4"/>
      <c r="GF839" s="4"/>
      <c r="GG839" s="4"/>
      <c r="GH839" s="4"/>
      <c r="GI839" s="4"/>
      <c r="GJ839" s="4"/>
      <c r="GK839" s="4"/>
      <c r="GL839" s="4"/>
      <c r="GM839" s="4"/>
      <c r="GN839" s="4"/>
      <c r="GO839" s="4"/>
      <c r="GP839" s="4"/>
      <c r="GQ839" s="4"/>
      <c r="GR839" s="4"/>
      <c r="GS839" s="4"/>
      <c r="GT839" s="4"/>
      <c r="GU839" s="4"/>
      <c r="GV839" s="4"/>
      <c r="GW839" s="4"/>
      <c r="GX839" s="4"/>
    </row>
    <row r="840">
      <c r="A840" s="2" t="s">
        <v>5029</v>
      </c>
      <c r="B840" s="2" t="s">
        <v>278</v>
      </c>
      <c r="C840" s="2" t="s">
        <v>1962</v>
      </c>
      <c r="D840" s="2" t="s">
        <v>280</v>
      </c>
      <c r="E840" s="2" t="s">
        <v>281</v>
      </c>
      <c r="F840" s="2" t="s">
        <v>5030</v>
      </c>
      <c r="G840" s="2" t="s">
        <v>5030</v>
      </c>
      <c r="H840" s="2" t="s">
        <v>5030</v>
      </c>
      <c r="I840" s="2" t="s">
        <v>5031</v>
      </c>
      <c r="J840" s="2" t="s">
        <v>384</v>
      </c>
      <c r="K840" s="2" t="s">
        <v>5032</v>
      </c>
      <c r="L840" s="3">
        <v>28.68</v>
      </c>
      <c r="M840" s="3">
        <v>30.11</v>
      </c>
      <c r="N840" s="3">
        <v>62.99</v>
      </c>
      <c r="O840" s="2" t="s">
        <v>224</v>
      </c>
      <c r="P840" s="2" t="s">
        <v>225</v>
      </c>
      <c r="Q840" s="2" t="s">
        <v>226</v>
      </c>
      <c r="R840" s="2" t="s">
        <v>227</v>
      </c>
      <c r="S840" s="2" t="s">
        <v>5033</v>
      </c>
      <c r="T840" s="2" t="s">
        <v>2100</v>
      </c>
      <c r="U840" s="2" t="s">
        <v>287</v>
      </c>
      <c r="V840" s="2" t="s">
        <v>906</v>
      </c>
      <c r="W840" s="2" t="s">
        <v>231</v>
      </c>
      <c r="X840" s="2" t="s">
        <v>836</v>
      </c>
      <c r="Y840" s="2" t="s">
        <v>3236</v>
      </c>
      <c r="Z840" s="4">
        <v>272</v>
      </c>
      <c r="AA840" s="4">
        <f>=ROUNDDOWN(34,0)</f>
      </c>
      <c r="AB840" s="5">
        <v>8</v>
      </c>
      <c r="AC840" s="2" t="s">
        <v>752</v>
      </c>
      <c r="AD840" s="4">
        <v>78</v>
      </c>
      <c r="AE840" s="4">
        <v>215</v>
      </c>
      <c r="AF840" s="6">
        <v>65</v>
      </c>
      <c r="AG840" s="6"/>
      <c r="AH840" s="7">
        <v>1</v>
      </c>
      <c r="AI840" s="4"/>
      <c r="AJ840" s="4">
        <f>=ROUNDDOWN({0},0)</f>
      </c>
      <c r="AK840" s="5"/>
      <c r="AL840" s="2" t="s">
        <v>227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/>
      <c r="AW840" s="8"/>
      <c r="AX840" s="4"/>
      <c r="AY840" s="8"/>
      <c r="AZ840" s="7"/>
      <c r="BA840" s="7"/>
      <c r="BB840" s="7"/>
      <c r="BC840" s="4" t="s">
        <v>227</v>
      </c>
      <c r="BD840" s="8" t="s">
        <v>227</v>
      </c>
      <c r="BE840" s="4" t="s">
        <v>227</v>
      </c>
      <c r="BF840" s="8" t="s">
        <v>227</v>
      </c>
      <c r="BG840" s="7" t="s">
        <v>227</v>
      </c>
      <c r="BH840" s="7" t="s">
        <v>227</v>
      </c>
      <c r="BI840" s="7"/>
      <c r="BJ840" s="4">
        <v>8</v>
      </c>
      <c r="BK840" s="8">
        <v>265.66</v>
      </c>
      <c r="BL840" s="2" t="s">
        <v>5034</v>
      </c>
      <c r="BM840" s="7"/>
      <c r="BN840" s="7"/>
      <c r="BO840" s="4"/>
      <c r="BP840" s="8"/>
      <c r="BQ840" s="4"/>
      <c r="BR840" s="8"/>
      <c r="BS840" s="7"/>
      <c r="BT840" s="7"/>
      <c r="BU840" s="2" t="s">
        <v>5035</v>
      </c>
      <c r="BV840" s="2" t="s">
        <v>227</v>
      </c>
      <c r="BW840" s="2" t="s">
        <v>227</v>
      </c>
      <c r="BX840" s="2" t="s">
        <v>235</v>
      </c>
      <c r="BY840" s="2" t="s">
        <v>236</v>
      </c>
      <c r="BZ840" s="2" t="s">
        <v>224</v>
      </c>
      <c r="CA840" s="2" t="s">
        <v>3236</v>
      </c>
      <c r="CB840" s="2" t="s">
        <v>3458</v>
      </c>
      <c r="CC840" s="2" t="s">
        <v>239</v>
      </c>
      <c r="CD840" s="2" t="s">
        <v>227</v>
      </c>
      <c r="CE840" s="4">
        <v>272</v>
      </c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>
        <v>78</v>
      </c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/>
      <c r="FE840" s="4">
        <v>90</v>
      </c>
      <c r="FF840" s="4"/>
      <c r="FG840" s="4"/>
      <c r="FH840" s="4"/>
      <c r="FI840" s="4"/>
      <c r="FJ840" s="4"/>
      <c r="FK840" s="4"/>
      <c r="FL840" s="4"/>
      <c r="FM840" s="4"/>
      <c r="FN840" s="4"/>
      <c r="FO840" s="4"/>
      <c r="FP840" s="4"/>
      <c r="FQ840" s="4"/>
      <c r="FR840" s="4">
        <v>47</v>
      </c>
      <c r="FS840" s="4"/>
      <c r="FT840" s="4"/>
      <c r="FU840" s="4"/>
      <c r="FV840" s="4"/>
      <c r="FW840" s="4"/>
      <c r="FX840" s="4"/>
      <c r="FY840" s="4"/>
      <c r="FZ840" s="4"/>
      <c r="GA840" s="4"/>
      <c r="GB840" s="4"/>
      <c r="GC840" s="4"/>
      <c r="GD840" s="4"/>
      <c r="GE840" s="4"/>
      <c r="GF840" s="4"/>
      <c r="GG840" s="4"/>
      <c r="GH840" s="4"/>
      <c r="GI840" s="4"/>
      <c r="GJ840" s="4"/>
      <c r="GK840" s="4"/>
      <c r="GL840" s="4"/>
      <c r="GM840" s="4"/>
      <c r="GN840" s="4"/>
      <c r="GO840" s="4"/>
      <c r="GP840" s="4"/>
      <c r="GQ840" s="4"/>
      <c r="GR840" s="4"/>
      <c r="GS840" s="4"/>
      <c r="GT840" s="4"/>
      <c r="GU840" s="4"/>
      <c r="GV840" s="4"/>
      <c r="GW840" s="4"/>
      <c r="GX840" s="4"/>
    </row>
    <row r="841">
      <c r="A841" s="2" t="s">
        <v>5036</v>
      </c>
      <c r="B841" s="2" t="s">
        <v>278</v>
      </c>
      <c r="C841" s="2" t="s">
        <v>1962</v>
      </c>
      <c r="D841" s="2" t="s">
        <v>280</v>
      </c>
      <c r="E841" s="2" t="s">
        <v>281</v>
      </c>
      <c r="F841" s="2" t="s">
        <v>5030</v>
      </c>
      <c r="G841" s="2" t="s">
        <v>5030</v>
      </c>
      <c r="H841" s="2" t="s">
        <v>5030</v>
      </c>
      <c r="I841" s="2" t="s">
        <v>5031</v>
      </c>
      <c r="J841" s="2" t="s">
        <v>247</v>
      </c>
      <c r="K841" s="2" t="s">
        <v>5037</v>
      </c>
      <c r="L841" s="3">
        <v>22</v>
      </c>
      <c r="M841" s="3">
        <v>23.1</v>
      </c>
      <c r="N841" s="3">
        <v>47.99</v>
      </c>
      <c r="O841" s="2" t="s">
        <v>224</v>
      </c>
      <c r="P841" s="2" t="s">
        <v>225</v>
      </c>
      <c r="Q841" s="2" t="s">
        <v>226</v>
      </c>
      <c r="R841" s="2" t="s">
        <v>227</v>
      </c>
      <c r="S841" s="2" t="s">
        <v>5038</v>
      </c>
      <c r="T841" s="2" t="s">
        <v>2100</v>
      </c>
      <c r="U841" s="2" t="s">
        <v>287</v>
      </c>
      <c r="V841" s="2" t="s">
        <v>288</v>
      </c>
      <c r="W841" s="2" t="s">
        <v>231</v>
      </c>
      <c r="X841" s="2" t="s">
        <v>836</v>
      </c>
      <c r="Y841" s="2" t="s">
        <v>2319</v>
      </c>
      <c r="Z841" s="4">
        <v>2</v>
      </c>
      <c r="AA841" s="4">
        <f>=ROUNDDOWN(0.10989010989011,0)</f>
      </c>
      <c r="AB841" s="5">
        <v>18.2</v>
      </c>
      <c r="AC841" s="2" t="s">
        <v>752</v>
      </c>
      <c r="AD841" s="4">
        <v>30</v>
      </c>
      <c r="AE841" s="4">
        <v>462</v>
      </c>
      <c r="AF841" s="6">
        <v>74</v>
      </c>
      <c r="AG841" s="6"/>
      <c r="AH841" s="7">
        <v>0</v>
      </c>
      <c r="AI841" s="4"/>
      <c r="AJ841" s="4">
        <f>=ROUNDDOWN({0},0)</f>
      </c>
      <c r="AK841" s="5"/>
      <c r="AL841" s="2" t="s">
        <v>227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227</v>
      </c>
      <c r="AW841" s="8" t="s">
        <v>227</v>
      </c>
      <c r="AX841" s="4" t="s">
        <v>227</v>
      </c>
      <c r="AY841" s="8" t="s">
        <v>227</v>
      </c>
      <c r="AZ841" s="7" t="s">
        <v>227</v>
      </c>
      <c r="BA841" s="7" t="s">
        <v>227</v>
      </c>
      <c r="BB841" s="7"/>
      <c r="BC841" s="4" t="s">
        <v>227</v>
      </c>
      <c r="BD841" s="8" t="s">
        <v>227</v>
      </c>
      <c r="BE841" s="4" t="s">
        <v>227</v>
      </c>
      <c r="BF841" s="8" t="s">
        <v>227</v>
      </c>
      <c r="BG841" s="7" t="s">
        <v>227</v>
      </c>
      <c r="BH841" s="7" t="s">
        <v>227</v>
      </c>
      <c r="BI841" s="7"/>
      <c r="BJ841" s="4"/>
      <c r="BK841" s="8"/>
      <c r="BL841" s="2" t="s">
        <v>227</v>
      </c>
      <c r="BM841" s="7"/>
      <c r="BN841" s="7"/>
      <c r="BO841" s="4"/>
      <c r="BP841" s="8"/>
      <c r="BQ841" s="4"/>
      <c r="BR841" s="8"/>
      <c r="BS841" s="7"/>
      <c r="BT841" s="7"/>
      <c r="BU841" s="2" t="s">
        <v>5039</v>
      </c>
      <c r="BV841" s="2" t="s">
        <v>227</v>
      </c>
      <c r="BW841" s="2" t="s">
        <v>227</v>
      </c>
      <c r="BX841" s="2" t="s">
        <v>235</v>
      </c>
      <c r="BY841" s="2" t="s">
        <v>236</v>
      </c>
      <c r="BZ841" s="2" t="s">
        <v>224</v>
      </c>
      <c r="CA841" s="2" t="s">
        <v>1297</v>
      </c>
      <c r="CB841" s="2" t="s">
        <v>783</v>
      </c>
      <c r="CC841" s="2" t="s">
        <v>239</v>
      </c>
      <c r="CD841" s="2" t="s">
        <v>227</v>
      </c>
      <c r="CE841" s="4">
        <v>2</v>
      </c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>
        <v>30</v>
      </c>
      <c r="DV841" s="4"/>
      <c r="DW841" s="4">
        <v>20</v>
      </c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/>
      <c r="FD841" s="4"/>
      <c r="FE841" s="4">
        <v>52</v>
      </c>
      <c r="FF841" s="4"/>
      <c r="FG841" s="4"/>
      <c r="FH841" s="4"/>
      <c r="FI841" s="4"/>
      <c r="FJ841" s="4"/>
      <c r="FK841" s="4"/>
      <c r="FL841" s="4"/>
      <c r="FM841" s="4"/>
      <c r="FN841" s="4"/>
      <c r="FO841" s="4"/>
      <c r="FP841" s="4"/>
      <c r="FQ841" s="4"/>
      <c r="FR841" s="4"/>
      <c r="FS841" s="4"/>
      <c r="FT841" s="4"/>
      <c r="FU841" s="4"/>
      <c r="FV841" s="4"/>
      <c r="FW841" s="4"/>
      <c r="FX841" s="4"/>
      <c r="FY841" s="4"/>
      <c r="FZ841" s="4"/>
      <c r="GA841" s="4"/>
      <c r="GB841" s="4"/>
      <c r="GC841" s="4"/>
      <c r="GD841" s="4"/>
      <c r="GE841" s="4"/>
      <c r="GF841" s="4">
        <v>252</v>
      </c>
      <c r="GG841" s="4"/>
      <c r="GH841" s="4"/>
      <c r="GI841" s="4"/>
      <c r="GJ841" s="4"/>
      <c r="GK841" s="4"/>
      <c r="GL841" s="4"/>
      <c r="GM841" s="4"/>
      <c r="GN841" s="4"/>
      <c r="GO841" s="4"/>
      <c r="GP841" s="4"/>
      <c r="GQ841" s="4"/>
      <c r="GR841" s="4"/>
      <c r="GS841" s="4">
        <v>108</v>
      </c>
      <c r="GT841" s="4"/>
      <c r="GU841" s="4"/>
      <c r="GV841" s="4"/>
      <c r="GW841" s="4"/>
      <c r="GX841" s="4"/>
    </row>
    <row r="842">
      <c r="A842" s="2" t="s">
        <v>5040</v>
      </c>
      <c r="B842" s="2" t="s">
        <v>278</v>
      </c>
      <c r="C842" s="2" t="s">
        <v>1962</v>
      </c>
      <c r="D842" s="2" t="s">
        <v>280</v>
      </c>
      <c r="E842" s="2" t="s">
        <v>281</v>
      </c>
      <c r="F842" s="2" t="s">
        <v>5030</v>
      </c>
      <c r="G842" s="2" t="s">
        <v>5030</v>
      </c>
      <c r="H842" s="2" t="s">
        <v>5030</v>
      </c>
      <c r="I842" s="2" t="s">
        <v>5031</v>
      </c>
      <c r="J842" s="2" t="s">
        <v>252</v>
      </c>
      <c r="K842" s="2" t="s">
        <v>5037</v>
      </c>
      <c r="L842" s="3">
        <v>25.85</v>
      </c>
      <c r="M842" s="3">
        <v>27.14</v>
      </c>
      <c r="N842" s="3">
        <v>55.99</v>
      </c>
      <c r="O842" s="2" t="s">
        <v>224</v>
      </c>
      <c r="P842" s="2" t="s">
        <v>225</v>
      </c>
      <c r="Q842" s="2" t="s">
        <v>226</v>
      </c>
      <c r="R842" s="2" t="s">
        <v>227</v>
      </c>
      <c r="S842" s="2" t="s">
        <v>5038</v>
      </c>
      <c r="T842" s="2" t="s">
        <v>2100</v>
      </c>
      <c r="U842" s="2" t="s">
        <v>287</v>
      </c>
      <c r="V842" s="2" t="s">
        <v>288</v>
      </c>
      <c r="W842" s="2" t="s">
        <v>231</v>
      </c>
      <c r="X842" s="2" t="s">
        <v>836</v>
      </c>
      <c r="Y842" s="2" t="s">
        <v>2319</v>
      </c>
      <c r="Z842" s="4"/>
      <c r="AA842" s="4">
        <f>=ROUNDDOWN({0},0)</f>
      </c>
      <c r="AB842" s="5">
        <v>134.4</v>
      </c>
      <c r="AC842" s="2" t="s">
        <v>752</v>
      </c>
      <c r="AD842" s="4">
        <v>50</v>
      </c>
      <c r="AE842" s="4">
        <v>2376</v>
      </c>
      <c r="AF842" s="6">
        <v>74</v>
      </c>
      <c r="AG842" s="6"/>
      <c r="AH842" s="7">
        <v>0</v>
      </c>
      <c r="AI842" s="4"/>
      <c r="AJ842" s="4">
        <f>=ROUNDDOWN({0},0)</f>
      </c>
      <c r="AK842" s="5"/>
      <c r="AL842" s="2" t="s">
        <v>227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 t="s">
        <v>227</v>
      </c>
      <c r="AW842" s="8" t="s">
        <v>227</v>
      </c>
      <c r="AX842" s="4" t="s">
        <v>227</v>
      </c>
      <c r="AY842" s="8" t="s">
        <v>227</v>
      </c>
      <c r="AZ842" s="7" t="s">
        <v>227</v>
      </c>
      <c r="BA842" s="7" t="s">
        <v>227</v>
      </c>
      <c r="BB842" s="7"/>
      <c r="BC842" s="4" t="s">
        <v>227</v>
      </c>
      <c r="BD842" s="8" t="s">
        <v>227</v>
      </c>
      <c r="BE842" s="4" t="s">
        <v>227</v>
      </c>
      <c r="BF842" s="8" t="s">
        <v>227</v>
      </c>
      <c r="BG842" s="7" t="s">
        <v>227</v>
      </c>
      <c r="BH842" s="7" t="s">
        <v>227</v>
      </c>
      <c r="BI842" s="7"/>
      <c r="BJ842" s="4"/>
      <c r="BK842" s="8"/>
      <c r="BL842" s="2" t="s">
        <v>227</v>
      </c>
      <c r="BM842" s="7"/>
      <c r="BN842" s="7"/>
      <c r="BO842" s="4"/>
      <c r="BP842" s="8"/>
      <c r="BQ842" s="4"/>
      <c r="BR842" s="8"/>
      <c r="BS842" s="7"/>
      <c r="BT842" s="7"/>
      <c r="BU842" s="2" t="s">
        <v>5041</v>
      </c>
      <c r="BV842" s="2" t="s">
        <v>227</v>
      </c>
      <c r="BW842" s="2" t="s">
        <v>227</v>
      </c>
      <c r="BX842" s="2" t="s">
        <v>235</v>
      </c>
      <c r="BY842" s="2" t="s">
        <v>236</v>
      </c>
      <c r="BZ842" s="2" t="s">
        <v>224</v>
      </c>
      <c r="CA842" s="2" t="s">
        <v>1297</v>
      </c>
      <c r="CB842" s="2" t="s">
        <v>4718</v>
      </c>
      <c r="CC842" s="2" t="s">
        <v>239</v>
      </c>
      <c r="CD842" s="2" t="s">
        <v>227</v>
      </c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>
        <v>50</v>
      </c>
      <c r="DV842" s="4"/>
      <c r="DW842" s="4">
        <v>50</v>
      </c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/>
      <c r="FB842" s="4"/>
      <c r="FC842" s="4"/>
      <c r="FD842" s="4"/>
      <c r="FE842" s="4">
        <v>176</v>
      </c>
      <c r="FF842" s="4"/>
      <c r="FG842" s="4"/>
      <c r="FH842" s="4"/>
      <c r="FI842" s="4"/>
      <c r="FJ842" s="4"/>
      <c r="FK842" s="4"/>
      <c r="FL842" s="4"/>
      <c r="FM842" s="4"/>
      <c r="FN842" s="4"/>
      <c r="FO842" s="4"/>
      <c r="FP842" s="4"/>
      <c r="FQ842" s="4"/>
      <c r="FR842" s="4"/>
      <c r="FS842" s="4"/>
      <c r="FT842" s="4"/>
      <c r="FU842" s="4"/>
      <c r="FV842" s="4"/>
      <c r="FW842" s="4"/>
      <c r="FX842" s="4"/>
      <c r="FY842" s="4"/>
      <c r="FZ842" s="4"/>
      <c r="GA842" s="4"/>
      <c r="GB842" s="4"/>
      <c r="GC842" s="4"/>
      <c r="GD842" s="4"/>
      <c r="GE842" s="4"/>
      <c r="GF842" s="4">
        <v>1470</v>
      </c>
      <c r="GG842" s="4"/>
      <c r="GH842" s="4"/>
      <c r="GI842" s="4"/>
      <c r="GJ842" s="4"/>
      <c r="GK842" s="4"/>
      <c r="GL842" s="4"/>
      <c r="GM842" s="4"/>
      <c r="GN842" s="4"/>
      <c r="GO842" s="4"/>
      <c r="GP842" s="4"/>
      <c r="GQ842" s="4"/>
      <c r="GR842" s="4"/>
      <c r="GS842" s="4">
        <v>630</v>
      </c>
      <c r="GT842" s="4"/>
      <c r="GU842" s="4"/>
      <c r="GV842" s="4"/>
      <c r="GW842" s="4"/>
      <c r="GX842" s="4"/>
    </row>
    <row r="843">
      <c r="A843" s="2" t="s">
        <v>5042</v>
      </c>
      <c r="B843" s="2" t="s">
        <v>278</v>
      </c>
      <c r="C843" s="2" t="s">
        <v>1962</v>
      </c>
      <c r="D843" s="2" t="s">
        <v>280</v>
      </c>
      <c r="E843" s="2" t="s">
        <v>281</v>
      </c>
      <c r="F843" s="2" t="s">
        <v>5030</v>
      </c>
      <c r="G843" s="2" t="s">
        <v>5030</v>
      </c>
      <c r="H843" s="2" t="s">
        <v>5030</v>
      </c>
      <c r="I843" s="2" t="s">
        <v>5031</v>
      </c>
      <c r="J843" s="2" t="s">
        <v>257</v>
      </c>
      <c r="K843" s="2" t="s">
        <v>5037</v>
      </c>
      <c r="L843" s="3">
        <v>28.68</v>
      </c>
      <c r="M843" s="3">
        <v>30.11</v>
      </c>
      <c r="N843" s="3">
        <v>62.99</v>
      </c>
      <c r="O843" s="2" t="s">
        <v>224</v>
      </c>
      <c r="P843" s="2" t="s">
        <v>225</v>
      </c>
      <c r="Q843" s="2" t="s">
        <v>226</v>
      </c>
      <c r="R843" s="2" t="s">
        <v>227</v>
      </c>
      <c r="S843" s="2" t="s">
        <v>5038</v>
      </c>
      <c r="T843" s="2" t="s">
        <v>2100</v>
      </c>
      <c r="U843" s="2" t="s">
        <v>287</v>
      </c>
      <c r="V843" s="2" t="s">
        <v>288</v>
      </c>
      <c r="W843" s="2" t="s">
        <v>231</v>
      </c>
      <c r="X843" s="2" t="s">
        <v>836</v>
      </c>
      <c r="Y843" s="2" t="s">
        <v>2319</v>
      </c>
      <c r="Z843" s="4">
        <v>194</v>
      </c>
      <c r="AA843" s="4">
        <f>=ROUNDDOWN(12.7631578947368,0)</f>
      </c>
      <c r="AB843" s="5">
        <v>15.2</v>
      </c>
      <c r="AC843" s="2" t="s">
        <v>752</v>
      </c>
      <c r="AD843" s="4">
        <v>20</v>
      </c>
      <c r="AE843" s="4">
        <v>453</v>
      </c>
      <c r="AF843" s="6">
        <v>74</v>
      </c>
      <c r="AG843" s="6"/>
      <c r="AH843" s="7">
        <v>1</v>
      </c>
      <c r="AI843" s="4"/>
      <c r="AJ843" s="4">
        <f>=ROUNDDOWN({0},0)</f>
      </c>
      <c r="AK843" s="5"/>
      <c r="AL843" s="2" t="s">
        <v>227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227</v>
      </c>
      <c r="AW843" s="8" t="s">
        <v>227</v>
      </c>
      <c r="AX843" s="4" t="s">
        <v>227</v>
      </c>
      <c r="AY843" s="8" t="s">
        <v>227</v>
      </c>
      <c r="AZ843" s="7" t="s">
        <v>227</v>
      </c>
      <c r="BA843" s="7" t="s">
        <v>227</v>
      </c>
      <c r="BB843" s="7"/>
      <c r="BC843" s="4" t="s">
        <v>227</v>
      </c>
      <c r="BD843" s="8" t="s">
        <v>227</v>
      </c>
      <c r="BE843" s="4" t="s">
        <v>227</v>
      </c>
      <c r="BF843" s="8" t="s">
        <v>227</v>
      </c>
      <c r="BG843" s="7" t="s">
        <v>227</v>
      </c>
      <c r="BH843" s="7" t="s">
        <v>227</v>
      </c>
      <c r="BI843" s="7"/>
      <c r="BJ843" s="4">
        <v>15</v>
      </c>
      <c r="BK843" s="8">
        <v>489.84</v>
      </c>
      <c r="BL843" s="2" t="s">
        <v>3540</v>
      </c>
      <c r="BM843" s="7"/>
      <c r="BN843" s="7"/>
      <c r="BO843" s="4"/>
      <c r="BP843" s="8"/>
      <c r="BQ843" s="4"/>
      <c r="BR843" s="8"/>
      <c r="BS843" s="7"/>
      <c r="BT843" s="7"/>
      <c r="BU843" s="2" t="s">
        <v>5043</v>
      </c>
      <c r="BV843" s="2" t="s">
        <v>227</v>
      </c>
      <c r="BW843" s="2" t="s">
        <v>227</v>
      </c>
      <c r="BX843" s="2" t="s">
        <v>235</v>
      </c>
      <c r="BY843" s="2" t="s">
        <v>236</v>
      </c>
      <c r="BZ843" s="2" t="s">
        <v>224</v>
      </c>
      <c r="CA843" s="2" t="s">
        <v>1297</v>
      </c>
      <c r="CB843" s="2" t="s">
        <v>500</v>
      </c>
      <c r="CC843" s="2" t="s">
        <v>239</v>
      </c>
      <c r="CD843" s="2" t="s">
        <v>227</v>
      </c>
      <c r="CE843" s="4">
        <v>194</v>
      </c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>
        <v>20</v>
      </c>
      <c r="DV843" s="4"/>
      <c r="DW843" s="4">
        <v>20</v>
      </c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/>
      <c r="FD843" s="4"/>
      <c r="FE843" s="4">
        <v>93</v>
      </c>
      <c r="FF843" s="4"/>
      <c r="FG843" s="4"/>
      <c r="FH843" s="4"/>
      <c r="FI843" s="4"/>
      <c r="FJ843" s="4"/>
      <c r="FK843" s="4"/>
      <c r="FL843" s="4"/>
      <c r="FM843" s="4"/>
      <c r="FN843" s="4"/>
      <c r="FO843" s="4"/>
      <c r="FP843" s="4"/>
      <c r="FQ843" s="4"/>
      <c r="FR843" s="4"/>
      <c r="FS843" s="4"/>
      <c r="FT843" s="4"/>
      <c r="FU843" s="4"/>
      <c r="FV843" s="4"/>
      <c r="FW843" s="4"/>
      <c r="FX843" s="4"/>
      <c r="FY843" s="4"/>
      <c r="FZ843" s="4"/>
      <c r="GA843" s="4"/>
      <c r="GB843" s="4"/>
      <c r="GC843" s="4"/>
      <c r="GD843" s="4"/>
      <c r="GE843" s="4"/>
      <c r="GF843" s="4">
        <v>224</v>
      </c>
      <c r="GG843" s="4"/>
      <c r="GH843" s="4"/>
      <c r="GI843" s="4"/>
      <c r="GJ843" s="4"/>
      <c r="GK843" s="4"/>
      <c r="GL843" s="4"/>
      <c r="GM843" s="4"/>
      <c r="GN843" s="4"/>
      <c r="GO843" s="4"/>
      <c r="GP843" s="4"/>
      <c r="GQ843" s="4"/>
      <c r="GR843" s="4"/>
      <c r="GS843" s="4">
        <v>96</v>
      </c>
      <c r="GT843" s="4"/>
      <c r="GU843" s="4"/>
      <c r="GV843" s="4"/>
      <c r="GW843" s="4"/>
      <c r="GX843" s="4"/>
    </row>
    <row r="844">
      <c r="A844" s="2" t="s">
        <v>5044</v>
      </c>
      <c r="B844" s="2" t="s">
        <v>278</v>
      </c>
      <c r="C844" s="2" t="s">
        <v>1962</v>
      </c>
      <c r="D844" s="2" t="s">
        <v>280</v>
      </c>
      <c r="E844" s="2" t="s">
        <v>281</v>
      </c>
      <c r="F844" s="2" t="s">
        <v>5030</v>
      </c>
      <c r="G844" s="2" t="s">
        <v>5030</v>
      </c>
      <c r="H844" s="2" t="s">
        <v>5030</v>
      </c>
      <c r="I844" s="2" t="s">
        <v>5031</v>
      </c>
      <c r="J844" s="2" t="s">
        <v>384</v>
      </c>
      <c r="K844" s="2" t="s">
        <v>5037</v>
      </c>
      <c r="L844" s="3">
        <v>28.68</v>
      </c>
      <c r="M844" s="3">
        <v>30.11</v>
      </c>
      <c r="N844" s="3">
        <v>62.99</v>
      </c>
      <c r="O844" s="2" t="s">
        <v>224</v>
      </c>
      <c r="P844" s="2" t="s">
        <v>225</v>
      </c>
      <c r="Q844" s="2" t="s">
        <v>226</v>
      </c>
      <c r="R844" s="2" t="s">
        <v>227</v>
      </c>
      <c r="S844" s="2" t="s">
        <v>5038</v>
      </c>
      <c r="T844" s="2" t="s">
        <v>2100</v>
      </c>
      <c r="U844" s="2" t="s">
        <v>287</v>
      </c>
      <c r="V844" s="2" t="s">
        <v>288</v>
      </c>
      <c r="W844" s="2" t="s">
        <v>231</v>
      </c>
      <c r="X844" s="2" t="s">
        <v>836</v>
      </c>
      <c r="Y844" s="2" t="s">
        <v>2319</v>
      </c>
      <c r="Z844" s="4">
        <v>97</v>
      </c>
      <c r="AA844" s="4">
        <f>=ROUNDDOWN(32.3333333333333,0)</f>
      </c>
      <c r="AB844" s="5">
        <v>3</v>
      </c>
      <c r="AC844" s="2" t="s">
        <v>752</v>
      </c>
      <c r="AD844" s="4">
        <v>20</v>
      </c>
      <c r="AE844" s="4">
        <v>360</v>
      </c>
      <c r="AF844" s="6">
        <v>74</v>
      </c>
      <c r="AG844" s="6"/>
      <c r="AH844" s="7">
        <v>1</v>
      </c>
      <c r="AI844" s="4"/>
      <c r="AJ844" s="4">
        <f>=ROUNDDOWN({0},0)</f>
      </c>
      <c r="AK844" s="5"/>
      <c r="AL844" s="2" t="s">
        <v>227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227</v>
      </c>
      <c r="AW844" s="8" t="s">
        <v>227</v>
      </c>
      <c r="AX844" s="4" t="s">
        <v>227</v>
      </c>
      <c r="AY844" s="8" t="s">
        <v>227</v>
      </c>
      <c r="AZ844" s="7" t="s">
        <v>227</v>
      </c>
      <c r="BA844" s="7" t="s">
        <v>227</v>
      </c>
      <c r="BB844" s="7"/>
      <c r="BC844" s="4" t="s">
        <v>227</v>
      </c>
      <c r="BD844" s="8" t="s">
        <v>227</v>
      </c>
      <c r="BE844" s="4" t="s">
        <v>227</v>
      </c>
      <c r="BF844" s="8" t="s">
        <v>227</v>
      </c>
      <c r="BG844" s="7" t="s">
        <v>227</v>
      </c>
      <c r="BH844" s="7" t="s">
        <v>227</v>
      </c>
      <c r="BI844" s="7"/>
      <c r="BJ844" s="4">
        <v>4</v>
      </c>
      <c r="BK844" s="8">
        <v>132.73</v>
      </c>
      <c r="BL844" s="2" t="s">
        <v>2332</v>
      </c>
      <c r="BM844" s="7"/>
      <c r="BN844" s="7"/>
      <c r="BO844" s="4"/>
      <c r="BP844" s="8"/>
      <c r="BQ844" s="4"/>
      <c r="BR844" s="8"/>
      <c r="BS844" s="7"/>
      <c r="BT844" s="7"/>
      <c r="BU844" s="2" t="s">
        <v>5045</v>
      </c>
      <c r="BV844" s="2" t="s">
        <v>227</v>
      </c>
      <c r="BW844" s="2" t="s">
        <v>227</v>
      </c>
      <c r="BX844" s="2" t="s">
        <v>235</v>
      </c>
      <c r="BY844" s="2" t="s">
        <v>236</v>
      </c>
      <c r="BZ844" s="2" t="s">
        <v>224</v>
      </c>
      <c r="CA844" s="2" t="s">
        <v>1297</v>
      </c>
      <c r="CB844" s="2" t="s">
        <v>314</v>
      </c>
      <c r="CC844" s="2" t="s">
        <v>239</v>
      </c>
      <c r="CD844" s="2" t="s">
        <v>227</v>
      </c>
      <c r="CE844" s="4">
        <v>97</v>
      </c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>
        <v>20</v>
      </c>
      <c r="DV844" s="4"/>
      <c r="DW844" s="4">
        <v>20</v>
      </c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/>
      <c r="FD844" s="4"/>
      <c r="FE844" s="4">
        <v>50</v>
      </c>
      <c r="FF844" s="4"/>
      <c r="FG844" s="4"/>
      <c r="FH844" s="4"/>
      <c r="FI844" s="4"/>
      <c r="FJ844" s="4"/>
      <c r="FK844" s="4"/>
      <c r="FL844" s="4"/>
      <c r="FM844" s="4"/>
      <c r="FN844" s="4"/>
      <c r="FO844" s="4"/>
      <c r="FP844" s="4"/>
      <c r="FQ844" s="4"/>
      <c r="FR844" s="4"/>
      <c r="FS844" s="4"/>
      <c r="FT844" s="4"/>
      <c r="FU844" s="4"/>
      <c r="FV844" s="4"/>
      <c r="FW844" s="4"/>
      <c r="FX844" s="4"/>
      <c r="FY844" s="4"/>
      <c r="FZ844" s="4"/>
      <c r="GA844" s="4"/>
      <c r="GB844" s="4"/>
      <c r="GC844" s="4"/>
      <c r="GD844" s="4"/>
      <c r="GE844" s="4"/>
      <c r="GF844" s="4">
        <v>189</v>
      </c>
      <c r="GG844" s="4"/>
      <c r="GH844" s="4"/>
      <c r="GI844" s="4"/>
      <c r="GJ844" s="4"/>
      <c r="GK844" s="4"/>
      <c r="GL844" s="4"/>
      <c r="GM844" s="4"/>
      <c r="GN844" s="4"/>
      <c r="GO844" s="4"/>
      <c r="GP844" s="4"/>
      <c r="GQ844" s="4"/>
      <c r="GR844" s="4"/>
      <c r="GS844" s="4">
        <v>81</v>
      </c>
      <c r="GT844" s="4"/>
      <c r="GU844" s="4"/>
      <c r="GV844" s="4"/>
      <c r="GW844" s="4"/>
      <c r="GX844" s="4"/>
    </row>
    <row r="845">
      <c r="A845" s="2" t="s">
        <v>5046</v>
      </c>
      <c r="B845" s="2" t="s">
        <v>278</v>
      </c>
      <c r="C845" s="2" t="s">
        <v>1962</v>
      </c>
      <c r="D845" s="2" t="s">
        <v>280</v>
      </c>
      <c r="E845" s="2" t="s">
        <v>281</v>
      </c>
      <c r="F845" s="2" t="s">
        <v>5030</v>
      </c>
      <c r="G845" s="2" t="s">
        <v>5030</v>
      </c>
      <c r="H845" s="2" t="s">
        <v>5030</v>
      </c>
      <c r="I845" s="2" t="s">
        <v>5031</v>
      </c>
      <c r="J845" s="2" t="s">
        <v>384</v>
      </c>
      <c r="K845" s="2" t="s">
        <v>5047</v>
      </c>
      <c r="L845" s="3">
        <v>28.68</v>
      </c>
      <c r="M845" s="3">
        <v>30.11</v>
      </c>
      <c r="N845" s="3">
        <v>62.99</v>
      </c>
      <c r="O845" s="2" t="s">
        <v>224</v>
      </c>
      <c r="P845" s="2" t="s">
        <v>225</v>
      </c>
      <c r="Q845" s="2" t="s">
        <v>226</v>
      </c>
      <c r="R845" s="2" t="s">
        <v>227</v>
      </c>
      <c r="S845" s="2" t="s">
        <v>5048</v>
      </c>
      <c r="T845" s="2" t="s">
        <v>2100</v>
      </c>
      <c r="U845" s="2" t="s">
        <v>287</v>
      </c>
      <c r="V845" s="2" t="s">
        <v>906</v>
      </c>
      <c r="W845" s="2" t="s">
        <v>231</v>
      </c>
      <c r="X845" s="2" t="s">
        <v>836</v>
      </c>
      <c r="Y845" s="2" t="s">
        <v>3236</v>
      </c>
      <c r="Z845" s="4">
        <v>58</v>
      </c>
      <c r="AA845" s="4">
        <f>=ROUNDDOWN(8.28571428571428,0)</f>
      </c>
      <c r="AB845" s="5">
        <v>7</v>
      </c>
      <c r="AC845" s="2" t="s">
        <v>752</v>
      </c>
      <c r="AD845" s="4">
        <v>58</v>
      </c>
      <c r="AE845" s="4">
        <v>280</v>
      </c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227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/>
      <c r="AW845" s="8"/>
      <c r="AX845" s="4"/>
      <c r="AY845" s="8"/>
      <c r="AZ845" s="7"/>
      <c r="BA845" s="7"/>
      <c r="BB845" s="7"/>
      <c r="BC845" s="4" t="s">
        <v>227</v>
      </c>
      <c r="BD845" s="8" t="s">
        <v>227</v>
      </c>
      <c r="BE845" s="4" t="s">
        <v>227</v>
      </c>
      <c r="BF845" s="8" t="s">
        <v>227</v>
      </c>
      <c r="BG845" s="7" t="s">
        <v>227</v>
      </c>
      <c r="BH845" s="7" t="s">
        <v>227</v>
      </c>
      <c r="BI845" s="7"/>
      <c r="BJ845" s="4">
        <v>5</v>
      </c>
      <c r="BK845" s="8">
        <v>162.47</v>
      </c>
      <c r="BL845" s="2" t="s">
        <v>5049</v>
      </c>
      <c r="BM845" s="7"/>
      <c r="BN845" s="7"/>
      <c r="BO845" s="4"/>
      <c r="BP845" s="8"/>
      <c r="BQ845" s="4"/>
      <c r="BR845" s="8"/>
      <c r="BS845" s="7"/>
      <c r="BT845" s="7"/>
      <c r="BU845" s="2" t="s">
        <v>5050</v>
      </c>
      <c r="BV845" s="2" t="s">
        <v>227</v>
      </c>
      <c r="BW845" s="2" t="s">
        <v>227</v>
      </c>
      <c r="BX845" s="2" t="s">
        <v>235</v>
      </c>
      <c r="BY845" s="2" t="s">
        <v>236</v>
      </c>
      <c r="BZ845" s="2" t="s">
        <v>224</v>
      </c>
      <c r="CA845" s="2" t="s">
        <v>3236</v>
      </c>
      <c r="CB845" s="2" t="s">
        <v>5051</v>
      </c>
      <c r="CC845" s="2" t="s">
        <v>239</v>
      </c>
      <c r="CD845" s="2" t="s">
        <v>227</v>
      </c>
      <c r="CE845" s="4">
        <v>58</v>
      </c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>
        <v>58</v>
      </c>
      <c r="DV845" s="4"/>
      <c r="DW845" s="4">
        <v>143</v>
      </c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/>
      <c r="FD845" s="4"/>
      <c r="FE845" s="4">
        <v>36</v>
      </c>
      <c r="FF845" s="4"/>
      <c r="FG845" s="4"/>
      <c r="FH845" s="4"/>
      <c r="FI845" s="4"/>
      <c r="FJ845" s="4"/>
      <c r="FK845" s="4"/>
      <c r="FL845" s="4"/>
      <c r="FM845" s="4"/>
      <c r="FN845" s="4"/>
      <c r="FO845" s="4"/>
      <c r="FP845" s="4"/>
      <c r="FQ845" s="4"/>
      <c r="FR845" s="4">
        <v>43</v>
      </c>
      <c r="FS845" s="4"/>
      <c r="FT845" s="4"/>
      <c r="FU845" s="4"/>
      <c r="FV845" s="4"/>
      <c r="FW845" s="4"/>
      <c r="FX845" s="4"/>
      <c r="FY845" s="4"/>
      <c r="FZ845" s="4"/>
      <c r="GA845" s="4"/>
      <c r="GB845" s="4"/>
      <c r="GC845" s="4"/>
      <c r="GD845" s="4"/>
      <c r="GE845" s="4"/>
      <c r="GF845" s="4"/>
      <c r="GG845" s="4"/>
      <c r="GH845" s="4"/>
      <c r="GI845" s="4"/>
      <c r="GJ845" s="4"/>
      <c r="GK845" s="4"/>
      <c r="GL845" s="4"/>
      <c r="GM845" s="4"/>
      <c r="GN845" s="4"/>
      <c r="GO845" s="4"/>
      <c r="GP845" s="4"/>
      <c r="GQ845" s="4"/>
      <c r="GR845" s="4"/>
      <c r="GS845" s="4"/>
      <c r="GT845" s="4"/>
      <c r="GU845" s="4"/>
      <c r="GV845" s="4"/>
      <c r="GW845" s="4"/>
      <c r="GX845" s="4"/>
    </row>
    <row r="846">
      <c r="A846" s="2" t="s">
        <v>5052</v>
      </c>
      <c r="B846" s="2" t="s">
        <v>278</v>
      </c>
      <c r="C846" s="2" t="s">
        <v>1962</v>
      </c>
      <c r="D846" s="2" t="s">
        <v>280</v>
      </c>
      <c r="E846" s="2" t="s">
        <v>281</v>
      </c>
      <c r="F846" s="2" t="s">
        <v>5030</v>
      </c>
      <c r="G846" s="2" t="s">
        <v>5030</v>
      </c>
      <c r="H846" s="2" t="s">
        <v>5030</v>
      </c>
      <c r="I846" s="2" t="s">
        <v>5031</v>
      </c>
      <c r="J846" s="2" t="s">
        <v>252</v>
      </c>
      <c r="K846" s="2" t="s">
        <v>5053</v>
      </c>
      <c r="L846" s="3">
        <v>25.85</v>
      </c>
      <c r="M846" s="3">
        <v>27.14</v>
      </c>
      <c r="N846" s="3">
        <v>55.99</v>
      </c>
      <c r="O846" s="2" t="s">
        <v>224</v>
      </c>
      <c r="P846" s="2" t="s">
        <v>485</v>
      </c>
      <c r="Q846" s="2" t="s">
        <v>226</v>
      </c>
      <c r="R846" s="2" t="s">
        <v>227</v>
      </c>
      <c r="S846" s="2" t="s">
        <v>5054</v>
      </c>
      <c r="T846" s="2" t="s">
        <v>2100</v>
      </c>
      <c r="U846" s="2" t="s">
        <v>287</v>
      </c>
      <c r="V846" s="2" t="s">
        <v>906</v>
      </c>
      <c r="W846" s="2" t="s">
        <v>231</v>
      </c>
      <c r="X846" s="2" t="s">
        <v>836</v>
      </c>
      <c r="Y846" s="2" t="s">
        <v>3236</v>
      </c>
      <c r="Z846" s="4">
        <v>632</v>
      </c>
      <c r="AA846" s="4">
        <f>=ROUNDDOWN(19.1515151515152,0)</f>
      </c>
      <c r="AB846" s="5">
        <v>33</v>
      </c>
      <c r="AC846" s="2" t="s">
        <v>752</v>
      </c>
      <c r="AD846" s="4">
        <v>253</v>
      </c>
      <c r="AE846" s="4">
        <v>534</v>
      </c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227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227</v>
      </c>
      <c r="AW846" s="8" t="s">
        <v>227</v>
      </c>
      <c r="AX846" s="4" t="s">
        <v>227</v>
      </c>
      <c r="AY846" s="8" t="s">
        <v>227</v>
      </c>
      <c r="AZ846" s="7" t="s">
        <v>227</v>
      </c>
      <c r="BA846" s="7" t="s">
        <v>227</v>
      </c>
      <c r="BB846" s="7"/>
      <c r="BC846" s="4" t="s">
        <v>227</v>
      </c>
      <c r="BD846" s="8" t="s">
        <v>227</v>
      </c>
      <c r="BE846" s="4" t="s">
        <v>227</v>
      </c>
      <c r="BF846" s="8" t="s">
        <v>227</v>
      </c>
      <c r="BG846" s="7" t="s">
        <v>227</v>
      </c>
      <c r="BH846" s="7" t="s">
        <v>227</v>
      </c>
      <c r="BI846" s="7"/>
      <c r="BJ846" s="4">
        <v>18</v>
      </c>
      <c r="BK846" s="8">
        <v>517.79</v>
      </c>
      <c r="BL846" s="2" t="s">
        <v>5055</v>
      </c>
      <c r="BM846" s="7"/>
      <c r="BN846" s="7"/>
      <c r="BO846" s="4"/>
      <c r="BP846" s="8"/>
      <c r="BQ846" s="4"/>
      <c r="BR846" s="8"/>
      <c r="BS846" s="7"/>
      <c r="BT846" s="7"/>
      <c r="BU846" s="2" t="s">
        <v>5056</v>
      </c>
      <c r="BV846" s="2" t="s">
        <v>227</v>
      </c>
      <c r="BW846" s="2" t="s">
        <v>227</v>
      </c>
      <c r="BX846" s="2" t="s">
        <v>235</v>
      </c>
      <c r="BY846" s="2" t="s">
        <v>236</v>
      </c>
      <c r="BZ846" s="2" t="s">
        <v>224</v>
      </c>
      <c r="CA846" s="2" t="s">
        <v>3236</v>
      </c>
      <c r="CB846" s="2" t="s">
        <v>5057</v>
      </c>
      <c r="CC846" s="2" t="s">
        <v>239</v>
      </c>
      <c r="CD846" s="2" t="s">
        <v>227</v>
      </c>
      <c r="CE846" s="4">
        <v>632</v>
      </c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>
        <v>253</v>
      </c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/>
      <c r="FD846" s="4"/>
      <c r="FE846" s="4">
        <v>181</v>
      </c>
      <c r="FF846" s="4"/>
      <c r="FG846" s="4"/>
      <c r="FH846" s="4"/>
      <c r="FI846" s="4"/>
      <c r="FJ846" s="4"/>
      <c r="FK846" s="4"/>
      <c r="FL846" s="4"/>
      <c r="FM846" s="4"/>
      <c r="FN846" s="4"/>
      <c r="FO846" s="4"/>
      <c r="FP846" s="4"/>
      <c r="FQ846" s="4"/>
      <c r="FR846" s="4">
        <v>100</v>
      </c>
      <c r="FS846" s="4"/>
      <c r="FT846" s="4"/>
      <c r="FU846" s="4"/>
      <c r="FV846" s="4"/>
      <c r="FW846" s="4"/>
      <c r="FX846" s="4"/>
      <c r="FY846" s="4"/>
      <c r="FZ846" s="4"/>
      <c r="GA846" s="4"/>
      <c r="GB846" s="4"/>
      <c r="GC846" s="4"/>
      <c r="GD846" s="4"/>
      <c r="GE846" s="4"/>
      <c r="GF846" s="4"/>
      <c r="GG846" s="4"/>
      <c r="GH846" s="4"/>
      <c r="GI846" s="4"/>
      <c r="GJ846" s="4"/>
      <c r="GK846" s="4"/>
      <c r="GL846" s="4"/>
      <c r="GM846" s="4"/>
      <c r="GN846" s="4"/>
      <c r="GO846" s="4"/>
      <c r="GP846" s="4"/>
      <c r="GQ846" s="4"/>
      <c r="GR846" s="4"/>
      <c r="GS846" s="4"/>
      <c r="GT846" s="4"/>
      <c r="GU846" s="4"/>
      <c r="GV846" s="4"/>
      <c r="GW846" s="4"/>
      <c r="GX846" s="4"/>
    </row>
    <row r="847">
      <c r="A847" s="2" t="s">
        <v>5058</v>
      </c>
      <c r="B847" s="2" t="s">
        <v>278</v>
      </c>
      <c r="C847" s="2" t="s">
        <v>1962</v>
      </c>
      <c r="D847" s="2" t="s">
        <v>280</v>
      </c>
      <c r="E847" s="2" t="s">
        <v>281</v>
      </c>
      <c r="F847" s="2" t="s">
        <v>5030</v>
      </c>
      <c r="G847" s="2" t="s">
        <v>5030</v>
      </c>
      <c r="H847" s="2" t="s">
        <v>5030</v>
      </c>
      <c r="I847" s="2" t="s">
        <v>5031</v>
      </c>
      <c r="J847" s="2" t="s">
        <v>257</v>
      </c>
      <c r="K847" s="2" t="s">
        <v>5053</v>
      </c>
      <c r="L847" s="3">
        <v>28.68</v>
      </c>
      <c r="M847" s="3">
        <v>30.11</v>
      </c>
      <c r="N847" s="3">
        <v>62.99</v>
      </c>
      <c r="O847" s="2" t="s">
        <v>224</v>
      </c>
      <c r="P847" s="2" t="s">
        <v>225</v>
      </c>
      <c r="Q847" s="2" t="s">
        <v>226</v>
      </c>
      <c r="R847" s="2" t="s">
        <v>227</v>
      </c>
      <c r="S847" s="2" t="s">
        <v>5054</v>
      </c>
      <c r="T847" s="2" t="s">
        <v>2100</v>
      </c>
      <c r="U847" s="2" t="s">
        <v>287</v>
      </c>
      <c r="V847" s="2" t="s">
        <v>906</v>
      </c>
      <c r="W847" s="2" t="s">
        <v>231</v>
      </c>
      <c r="X847" s="2" t="s">
        <v>836</v>
      </c>
      <c r="Y847" s="2" t="s">
        <v>3236</v>
      </c>
      <c r="Z847" s="4">
        <v>122</v>
      </c>
      <c r="AA847" s="4">
        <f>=ROUNDDOWN(13.5555555555556,0)</f>
      </c>
      <c r="AB847" s="5">
        <v>9</v>
      </c>
      <c r="AC847" s="2" t="s">
        <v>752</v>
      </c>
      <c r="AD847" s="4">
        <v>142</v>
      </c>
      <c r="AE847" s="4">
        <v>613</v>
      </c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227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227</v>
      </c>
      <c r="AW847" s="8" t="s">
        <v>227</v>
      </c>
      <c r="AX847" s="4" t="s">
        <v>227</v>
      </c>
      <c r="AY847" s="8" t="s">
        <v>227</v>
      </c>
      <c r="AZ847" s="7" t="s">
        <v>227</v>
      </c>
      <c r="BA847" s="7" t="s">
        <v>227</v>
      </c>
      <c r="BB847" s="7"/>
      <c r="BC847" s="4" t="s">
        <v>227</v>
      </c>
      <c r="BD847" s="8" t="s">
        <v>227</v>
      </c>
      <c r="BE847" s="4" t="s">
        <v>227</v>
      </c>
      <c r="BF847" s="8" t="s">
        <v>227</v>
      </c>
      <c r="BG847" s="7" t="s">
        <v>227</v>
      </c>
      <c r="BH847" s="7" t="s">
        <v>227</v>
      </c>
      <c r="BI847" s="7"/>
      <c r="BJ847" s="4">
        <v>8</v>
      </c>
      <c r="BK847" s="8">
        <v>263.86</v>
      </c>
      <c r="BL847" s="2" t="s">
        <v>5059</v>
      </c>
      <c r="BM847" s="7"/>
      <c r="BN847" s="7"/>
      <c r="BO847" s="4"/>
      <c r="BP847" s="8"/>
      <c r="BQ847" s="4"/>
      <c r="BR847" s="8"/>
      <c r="BS847" s="7"/>
      <c r="BT847" s="7"/>
      <c r="BU847" s="2" t="s">
        <v>5060</v>
      </c>
      <c r="BV847" s="2" t="s">
        <v>227</v>
      </c>
      <c r="BW847" s="2" t="s">
        <v>227</v>
      </c>
      <c r="BX847" s="2" t="s">
        <v>235</v>
      </c>
      <c r="BY847" s="2" t="s">
        <v>236</v>
      </c>
      <c r="BZ847" s="2" t="s">
        <v>224</v>
      </c>
      <c r="CA847" s="2" t="s">
        <v>3236</v>
      </c>
      <c r="CB847" s="2" t="s">
        <v>5061</v>
      </c>
      <c r="CC847" s="2" t="s">
        <v>239</v>
      </c>
      <c r="CD847" s="2" t="s">
        <v>227</v>
      </c>
      <c r="CE847" s="4">
        <v>122</v>
      </c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>
        <v>142</v>
      </c>
      <c r="DV847" s="4"/>
      <c r="DW847" s="4">
        <v>248</v>
      </c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>
        <v>103</v>
      </c>
      <c r="FF847" s="4"/>
      <c r="FG847" s="4"/>
      <c r="FH847" s="4"/>
      <c r="FI847" s="4"/>
      <c r="FJ847" s="4"/>
      <c r="FK847" s="4"/>
      <c r="FL847" s="4"/>
      <c r="FM847" s="4"/>
      <c r="FN847" s="4"/>
      <c r="FO847" s="4"/>
      <c r="FP847" s="4"/>
      <c r="FQ847" s="4"/>
      <c r="FR847" s="4">
        <v>120</v>
      </c>
      <c r="FS847" s="4"/>
      <c r="FT847" s="4"/>
      <c r="FU847" s="4"/>
      <c r="FV847" s="4"/>
      <c r="FW847" s="4"/>
      <c r="FX847" s="4"/>
      <c r="FY847" s="4"/>
      <c r="FZ847" s="4"/>
      <c r="GA847" s="4"/>
      <c r="GB847" s="4"/>
      <c r="GC847" s="4"/>
      <c r="GD847" s="4"/>
      <c r="GE847" s="4"/>
      <c r="GF847" s="4"/>
      <c r="GG847" s="4"/>
      <c r="GH847" s="4"/>
      <c r="GI847" s="4"/>
      <c r="GJ847" s="4"/>
      <c r="GK847" s="4"/>
      <c r="GL847" s="4"/>
      <c r="GM847" s="4"/>
      <c r="GN847" s="4"/>
      <c r="GO847" s="4"/>
      <c r="GP847" s="4"/>
      <c r="GQ847" s="4"/>
      <c r="GR847" s="4"/>
      <c r="GS847" s="4"/>
      <c r="GT847" s="4"/>
      <c r="GU847" s="4"/>
      <c r="GV847" s="4"/>
      <c r="GW847" s="4"/>
      <c r="GX847" s="4"/>
    </row>
    <row r="848">
      <c r="A848" s="2" t="s">
        <v>5062</v>
      </c>
      <c r="B848" s="2" t="s">
        <v>278</v>
      </c>
      <c r="C848" s="2" t="s">
        <v>1962</v>
      </c>
      <c r="D848" s="2" t="s">
        <v>280</v>
      </c>
      <c r="E848" s="2" t="s">
        <v>281</v>
      </c>
      <c r="F848" s="2" t="s">
        <v>5030</v>
      </c>
      <c r="G848" s="2" t="s">
        <v>5030</v>
      </c>
      <c r="H848" s="2" t="s">
        <v>5030</v>
      </c>
      <c r="I848" s="2" t="s">
        <v>5031</v>
      </c>
      <c r="J848" s="2" t="s">
        <v>384</v>
      </c>
      <c r="K848" s="2" t="s">
        <v>5053</v>
      </c>
      <c r="L848" s="3">
        <v>28.68</v>
      </c>
      <c r="M848" s="3">
        <v>30.11</v>
      </c>
      <c r="N848" s="3">
        <v>62.99</v>
      </c>
      <c r="O848" s="2" t="s">
        <v>224</v>
      </c>
      <c r="P848" s="2" t="s">
        <v>225</v>
      </c>
      <c r="Q848" s="2" t="s">
        <v>226</v>
      </c>
      <c r="R848" s="2" t="s">
        <v>227</v>
      </c>
      <c r="S848" s="2" t="s">
        <v>5054</v>
      </c>
      <c r="T848" s="2" t="s">
        <v>2100</v>
      </c>
      <c r="U848" s="2" t="s">
        <v>287</v>
      </c>
      <c r="V848" s="2" t="s">
        <v>906</v>
      </c>
      <c r="W848" s="2" t="s">
        <v>231</v>
      </c>
      <c r="X848" s="2" t="s">
        <v>836</v>
      </c>
      <c r="Y848" s="2" t="s">
        <v>3236</v>
      </c>
      <c r="Z848" s="4">
        <v>65</v>
      </c>
      <c r="AA848" s="4">
        <f>=ROUNDDOWN(5,0)</f>
      </c>
      <c r="AB848" s="5">
        <v>13</v>
      </c>
      <c r="AC848" s="2" t="s">
        <v>752</v>
      </c>
      <c r="AD848" s="4">
        <v>67</v>
      </c>
      <c r="AE848" s="4">
        <v>318</v>
      </c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227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227</v>
      </c>
      <c r="AW848" s="8" t="s">
        <v>227</v>
      </c>
      <c r="AX848" s="4" t="s">
        <v>227</v>
      </c>
      <c r="AY848" s="8" t="s">
        <v>227</v>
      </c>
      <c r="AZ848" s="7" t="s">
        <v>227</v>
      </c>
      <c r="BA848" s="7" t="s">
        <v>227</v>
      </c>
      <c r="BB848" s="7"/>
      <c r="BC848" s="4" t="s">
        <v>227</v>
      </c>
      <c r="BD848" s="8" t="s">
        <v>227</v>
      </c>
      <c r="BE848" s="4" t="s">
        <v>227</v>
      </c>
      <c r="BF848" s="8" t="s">
        <v>227</v>
      </c>
      <c r="BG848" s="7" t="s">
        <v>227</v>
      </c>
      <c r="BH848" s="7" t="s">
        <v>227</v>
      </c>
      <c r="BI848" s="7"/>
      <c r="BJ848" s="4">
        <v>10</v>
      </c>
      <c r="BK848" s="8">
        <v>326.32</v>
      </c>
      <c r="BL848" s="2" t="s">
        <v>1314</v>
      </c>
      <c r="BM848" s="7"/>
      <c r="BN848" s="7"/>
      <c r="BO848" s="4"/>
      <c r="BP848" s="8"/>
      <c r="BQ848" s="4"/>
      <c r="BR848" s="8"/>
      <c r="BS848" s="7"/>
      <c r="BT848" s="7"/>
      <c r="BU848" s="2" t="s">
        <v>5063</v>
      </c>
      <c r="BV848" s="2" t="s">
        <v>227</v>
      </c>
      <c r="BW848" s="2" t="s">
        <v>227</v>
      </c>
      <c r="BX848" s="2" t="s">
        <v>235</v>
      </c>
      <c r="BY848" s="2" t="s">
        <v>236</v>
      </c>
      <c r="BZ848" s="2" t="s">
        <v>224</v>
      </c>
      <c r="CA848" s="2" t="s">
        <v>3236</v>
      </c>
      <c r="CB848" s="2" t="s">
        <v>1190</v>
      </c>
      <c r="CC848" s="2" t="s">
        <v>239</v>
      </c>
      <c r="CD848" s="2" t="s">
        <v>227</v>
      </c>
      <c r="CE848" s="4">
        <v>65</v>
      </c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>
        <v>67</v>
      </c>
      <c r="DV848" s="4"/>
      <c r="DW848" s="4">
        <v>160</v>
      </c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>
        <v>51</v>
      </c>
      <c r="FF848" s="4"/>
      <c r="FG848" s="4"/>
      <c r="FH848" s="4"/>
      <c r="FI848" s="4"/>
      <c r="FJ848" s="4"/>
      <c r="FK848" s="4"/>
      <c r="FL848" s="4"/>
      <c r="FM848" s="4"/>
      <c r="FN848" s="4"/>
      <c r="FO848" s="4"/>
      <c r="FP848" s="4"/>
      <c r="FQ848" s="4"/>
      <c r="FR848" s="4">
        <v>40</v>
      </c>
      <c r="FS848" s="4"/>
      <c r="FT848" s="4"/>
      <c r="FU848" s="4"/>
      <c r="FV848" s="4"/>
      <c r="FW848" s="4"/>
      <c r="FX848" s="4"/>
      <c r="FY848" s="4"/>
      <c r="FZ848" s="4"/>
      <c r="GA848" s="4"/>
      <c r="GB848" s="4"/>
      <c r="GC848" s="4"/>
      <c r="GD848" s="4"/>
      <c r="GE848" s="4"/>
      <c r="GF848" s="4"/>
      <c r="GG848" s="4"/>
      <c r="GH848" s="4"/>
      <c r="GI848" s="4"/>
      <c r="GJ848" s="4"/>
      <c r="GK848" s="4"/>
      <c r="GL848" s="4"/>
      <c r="GM848" s="4"/>
      <c r="GN848" s="4"/>
      <c r="GO848" s="4"/>
      <c r="GP848" s="4"/>
      <c r="GQ848" s="4"/>
      <c r="GR848" s="4"/>
      <c r="GS848" s="4"/>
      <c r="GT848" s="4"/>
      <c r="GU848" s="4"/>
      <c r="GV848" s="4"/>
      <c r="GW848" s="4"/>
      <c r="GX848" s="4"/>
    </row>
    <row r="849">
      <c r="A849" s="2" t="s">
        <v>5064</v>
      </c>
      <c r="B849" s="2" t="s">
        <v>278</v>
      </c>
      <c r="C849" s="2" t="s">
        <v>1962</v>
      </c>
      <c r="D849" s="2" t="s">
        <v>280</v>
      </c>
      <c r="E849" s="2" t="s">
        <v>281</v>
      </c>
      <c r="F849" s="2" t="s">
        <v>5030</v>
      </c>
      <c r="G849" s="2" t="s">
        <v>5030</v>
      </c>
      <c r="H849" s="2" t="s">
        <v>5030</v>
      </c>
      <c r="I849" s="2" t="s">
        <v>5031</v>
      </c>
      <c r="J849" s="2" t="s">
        <v>384</v>
      </c>
      <c r="K849" s="2" t="s">
        <v>2391</v>
      </c>
      <c r="L849" s="3">
        <v>28.68</v>
      </c>
      <c r="M849" s="3">
        <v>30.11</v>
      </c>
      <c r="N849" s="3">
        <v>62.99</v>
      </c>
      <c r="O849" s="2" t="s">
        <v>224</v>
      </c>
      <c r="P849" s="2" t="s">
        <v>225</v>
      </c>
      <c r="Q849" s="2" t="s">
        <v>226</v>
      </c>
      <c r="R849" s="2" t="s">
        <v>227</v>
      </c>
      <c r="S849" s="2" t="s">
        <v>5065</v>
      </c>
      <c r="T849" s="2" t="s">
        <v>2100</v>
      </c>
      <c r="U849" s="2" t="s">
        <v>287</v>
      </c>
      <c r="V849" s="2" t="s">
        <v>230</v>
      </c>
      <c r="W849" s="2" t="s">
        <v>231</v>
      </c>
      <c r="X849" s="2" t="s">
        <v>836</v>
      </c>
      <c r="Y849" s="2" t="s">
        <v>3236</v>
      </c>
      <c r="Z849" s="4">
        <v>157</v>
      </c>
      <c r="AA849" s="4">
        <f>=ROUNDDOWN(22.4285714285714,0)</f>
      </c>
      <c r="AB849" s="5">
        <v>7</v>
      </c>
      <c r="AC849" s="2" t="s">
        <v>752</v>
      </c>
      <c r="AD849" s="4">
        <v>44</v>
      </c>
      <c r="AE849" s="4">
        <v>103</v>
      </c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227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/>
      <c r="AW849" s="8"/>
      <c r="AX849" s="4"/>
      <c r="AY849" s="8"/>
      <c r="AZ849" s="7"/>
      <c r="BA849" s="7"/>
      <c r="BB849" s="7"/>
      <c r="BC849" s="4" t="s">
        <v>227</v>
      </c>
      <c r="BD849" s="8" t="s">
        <v>227</v>
      </c>
      <c r="BE849" s="4" t="s">
        <v>227</v>
      </c>
      <c r="BF849" s="8" t="s">
        <v>227</v>
      </c>
      <c r="BG849" s="7" t="s">
        <v>227</v>
      </c>
      <c r="BH849" s="7" t="s">
        <v>227</v>
      </c>
      <c r="BI849" s="7"/>
      <c r="BJ849" s="4">
        <v>2</v>
      </c>
      <c r="BK849" s="8">
        <v>70.44</v>
      </c>
      <c r="BL849" s="2" t="s">
        <v>5066</v>
      </c>
      <c r="BM849" s="7"/>
      <c r="BN849" s="7"/>
      <c r="BO849" s="4"/>
      <c r="BP849" s="8"/>
      <c r="BQ849" s="4"/>
      <c r="BR849" s="8"/>
      <c r="BS849" s="7"/>
      <c r="BT849" s="7"/>
      <c r="BU849" s="2" t="s">
        <v>5067</v>
      </c>
      <c r="BV849" s="2" t="s">
        <v>227</v>
      </c>
      <c r="BW849" s="2" t="s">
        <v>227</v>
      </c>
      <c r="BX849" s="2" t="s">
        <v>235</v>
      </c>
      <c r="BY849" s="2" t="s">
        <v>236</v>
      </c>
      <c r="BZ849" s="2" t="s">
        <v>224</v>
      </c>
      <c r="CA849" s="2" t="s">
        <v>3236</v>
      </c>
      <c r="CB849" s="2" t="s">
        <v>5068</v>
      </c>
      <c r="CC849" s="2" t="s">
        <v>239</v>
      </c>
      <c r="CD849" s="2" t="s">
        <v>227</v>
      </c>
      <c r="CE849" s="4">
        <v>157</v>
      </c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>
        <v>44</v>
      </c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/>
      <c r="FD849" s="4"/>
      <c r="FE849" s="4">
        <v>33</v>
      </c>
      <c r="FF849" s="4"/>
      <c r="FG849" s="4"/>
      <c r="FH849" s="4"/>
      <c r="FI849" s="4"/>
      <c r="FJ849" s="4"/>
      <c r="FK849" s="4"/>
      <c r="FL849" s="4"/>
      <c r="FM849" s="4"/>
      <c r="FN849" s="4"/>
      <c r="FO849" s="4"/>
      <c r="FP849" s="4"/>
      <c r="FQ849" s="4"/>
      <c r="FR849" s="4">
        <v>26</v>
      </c>
      <c r="FS849" s="4"/>
      <c r="FT849" s="4"/>
      <c r="FU849" s="4"/>
      <c r="FV849" s="4"/>
      <c r="FW849" s="4"/>
      <c r="FX849" s="4"/>
      <c r="FY849" s="4"/>
      <c r="FZ849" s="4"/>
      <c r="GA849" s="4"/>
      <c r="GB849" s="4"/>
      <c r="GC849" s="4"/>
      <c r="GD849" s="4"/>
      <c r="GE849" s="4"/>
      <c r="GF849" s="4"/>
      <c r="GG849" s="4"/>
      <c r="GH849" s="4"/>
      <c r="GI849" s="4"/>
      <c r="GJ849" s="4"/>
      <c r="GK849" s="4"/>
      <c r="GL849" s="4"/>
      <c r="GM849" s="4"/>
      <c r="GN849" s="4"/>
      <c r="GO849" s="4"/>
      <c r="GP849" s="4"/>
      <c r="GQ849" s="4"/>
      <c r="GR849" s="4"/>
      <c r="GS849" s="4"/>
      <c r="GT849" s="4"/>
      <c r="GU849" s="4"/>
      <c r="GV849" s="4"/>
      <c r="GW849" s="4"/>
      <c r="GX849" s="4"/>
    </row>
    <row r="850">
      <c r="A850" s="2" t="s">
        <v>5069</v>
      </c>
      <c r="B850" s="2" t="s">
        <v>278</v>
      </c>
      <c r="C850" s="2" t="s">
        <v>1962</v>
      </c>
      <c r="D850" s="2" t="s">
        <v>280</v>
      </c>
      <c r="E850" s="2" t="s">
        <v>281</v>
      </c>
      <c r="F850" s="2" t="s">
        <v>5030</v>
      </c>
      <c r="G850" s="2" t="s">
        <v>5030</v>
      </c>
      <c r="H850" s="2" t="s">
        <v>5030</v>
      </c>
      <c r="I850" s="2" t="s">
        <v>5031</v>
      </c>
      <c r="J850" s="2" t="s">
        <v>257</v>
      </c>
      <c r="K850" s="2" t="s">
        <v>5070</v>
      </c>
      <c r="L850" s="3">
        <v>28.68</v>
      </c>
      <c r="M850" s="3">
        <v>30.11</v>
      </c>
      <c r="N850" s="3">
        <v>62.99</v>
      </c>
      <c r="O850" s="2" t="s">
        <v>224</v>
      </c>
      <c r="P850" s="2" t="s">
        <v>225</v>
      </c>
      <c r="Q850" s="2" t="s">
        <v>226</v>
      </c>
      <c r="R850" s="2" t="s">
        <v>227</v>
      </c>
      <c r="S850" s="2" t="s">
        <v>5071</v>
      </c>
      <c r="T850" s="2" t="s">
        <v>2100</v>
      </c>
      <c r="U850" s="2" t="s">
        <v>287</v>
      </c>
      <c r="V850" s="2" t="s">
        <v>230</v>
      </c>
      <c r="W850" s="2" t="s">
        <v>231</v>
      </c>
      <c r="X850" s="2" t="s">
        <v>836</v>
      </c>
      <c r="Y850" s="2" t="s">
        <v>3236</v>
      </c>
      <c r="Z850" s="4">
        <v>277</v>
      </c>
      <c r="AA850" s="4">
        <f>=ROUNDDOWN(25.1818181818182,0)</f>
      </c>
      <c r="AB850" s="5">
        <v>11</v>
      </c>
      <c r="AC850" s="2" t="s">
        <v>752</v>
      </c>
      <c r="AD850" s="4">
        <v>103</v>
      </c>
      <c r="AE850" s="4">
        <v>234</v>
      </c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227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227</v>
      </c>
      <c r="AW850" s="8" t="s">
        <v>227</v>
      </c>
      <c r="AX850" s="4" t="s">
        <v>227</v>
      </c>
      <c r="AY850" s="8" t="s">
        <v>227</v>
      </c>
      <c r="AZ850" s="7" t="s">
        <v>227</v>
      </c>
      <c r="BA850" s="7" t="s">
        <v>227</v>
      </c>
      <c r="BB850" s="7"/>
      <c r="BC850" s="4" t="s">
        <v>227</v>
      </c>
      <c r="BD850" s="8" t="s">
        <v>227</v>
      </c>
      <c r="BE850" s="4" t="s">
        <v>227</v>
      </c>
      <c r="BF850" s="8" t="s">
        <v>227</v>
      </c>
      <c r="BG850" s="7" t="s">
        <v>227</v>
      </c>
      <c r="BH850" s="7" t="s">
        <v>227</v>
      </c>
      <c r="BI850" s="7"/>
      <c r="BJ850" s="4">
        <v>7</v>
      </c>
      <c r="BK850" s="8">
        <v>231.91</v>
      </c>
      <c r="BL850" s="2" t="s">
        <v>5072</v>
      </c>
      <c r="BM850" s="7"/>
      <c r="BN850" s="7"/>
      <c r="BO850" s="4"/>
      <c r="BP850" s="8"/>
      <c r="BQ850" s="4"/>
      <c r="BR850" s="8"/>
      <c r="BS850" s="7"/>
      <c r="BT850" s="7"/>
      <c r="BU850" s="2" t="s">
        <v>5073</v>
      </c>
      <c r="BV850" s="2" t="s">
        <v>227</v>
      </c>
      <c r="BW850" s="2" t="s">
        <v>227</v>
      </c>
      <c r="BX850" s="2" t="s">
        <v>235</v>
      </c>
      <c r="BY850" s="2" t="s">
        <v>236</v>
      </c>
      <c r="BZ850" s="2" t="s">
        <v>224</v>
      </c>
      <c r="CA850" s="2" t="s">
        <v>3236</v>
      </c>
      <c r="CB850" s="2" t="s">
        <v>1187</v>
      </c>
      <c r="CC850" s="2" t="s">
        <v>239</v>
      </c>
      <c r="CD850" s="2" t="s">
        <v>227</v>
      </c>
      <c r="CE850" s="4">
        <v>277</v>
      </c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>
        <v>103</v>
      </c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/>
      <c r="FD850" s="4"/>
      <c r="FE850" s="4">
        <v>53</v>
      </c>
      <c r="FF850" s="4"/>
      <c r="FG850" s="4"/>
      <c r="FH850" s="4"/>
      <c r="FI850" s="4"/>
      <c r="FJ850" s="4"/>
      <c r="FK850" s="4"/>
      <c r="FL850" s="4"/>
      <c r="FM850" s="4"/>
      <c r="FN850" s="4"/>
      <c r="FO850" s="4"/>
      <c r="FP850" s="4"/>
      <c r="FQ850" s="4"/>
      <c r="FR850" s="4">
        <v>78</v>
      </c>
      <c r="FS850" s="4"/>
      <c r="FT850" s="4"/>
      <c r="FU850" s="4"/>
      <c r="FV850" s="4"/>
      <c r="FW850" s="4"/>
      <c r="FX850" s="4"/>
      <c r="FY850" s="4"/>
      <c r="FZ850" s="4"/>
      <c r="GA850" s="4"/>
      <c r="GB850" s="4"/>
      <c r="GC850" s="4"/>
      <c r="GD850" s="4"/>
      <c r="GE850" s="4"/>
      <c r="GF850" s="4"/>
      <c r="GG850" s="4"/>
      <c r="GH850" s="4"/>
      <c r="GI850" s="4"/>
      <c r="GJ850" s="4"/>
      <c r="GK850" s="4"/>
      <c r="GL850" s="4"/>
      <c r="GM850" s="4"/>
      <c r="GN850" s="4"/>
      <c r="GO850" s="4"/>
      <c r="GP850" s="4"/>
      <c r="GQ850" s="4"/>
      <c r="GR850" s="4"/>
      <c r="GS850" s="4"/>
      <c r="GT850" s="4"/>
      <c r="GU850" s="4"/>
      <c r="GV850" s="4"/>
      <c r="GW850" s="4"/>
      <c r="GX850" s="4"/>
    </row>
    <row r="851">
      <c r="A851" s="2" t="s">
        <v>5074</v>
      </c>
      <c r="B851" s="2" t="s">
        <v>278</v>
      </c>
      <c r="C851" s="2" t="s">
        <v>1962</v>
      </c>
      <c r="D851" s="2" t="s">
        <v>280</v>
      </c>
      <c r="E851" s="2" t="s">
        <v>281</v>
      </c>
      <c r="F851" s="2" t="s">
        <v>5030</v>
      </c>
      <c r="G851" s="2" t="s">
        <v>5030</v>
      </c>
      <c r="H851" s="2" t="s">
        <v>5030</v>
      </c>
      <c r="I851" s="2" t="s">
        <v>5031</v>
      </c>
      <c r="J851" s="2" t="s">
        <v>384</v>
      </c>
      <c r="K851" s="2" t="s">
        <v>5070</v>
      </c>
      <c r="L851" s="3">
        <v>28.68</v>
      </c>
      <c r="M851" s="3">
        <v>30.11</v>
      </c>
      <c r="N851" s="3">
        <v>62.99</v>
      </c>
      <c r="O851" s="2" t="s">
        <v>224</v>
      </c>
      <c r="P851" s="2" t="s">
        <v>225</v>
      </c>
      <c r="Q851" s="2" t="s">
        <v>226</v>
      </c>
      <c r="R851" s="2" t="s">
        <v>227</v>
      </c>
      <c r="S851" s="2" t="s">
        <v>5071</v>
      </c>
      <c r="T851" s="2" t="s">
        <v>2100</v>
      </c>
      <c r="U851" s="2" t="s">
        <v>287</v>
      </c>
      <c r="V851" s="2" t="s">
        <v>230</v>
      </c>
      <c r="W851" s="2" t="s">
        <v>231</v>
      </c>
      <c r="X851" s="2" t="s">
        <v>836</v>
      </c>
      <c r="Y851" s="2" t="s">
        <v>3236</v>
      </c>
      <c r="Z851" s="4">
        <v>115</v>
      </c>
      <c r="AA851" s="4">
        <f>=ROUNDDOWN(28.75,0)</f>
      </c>
      <c r="AB851" s="5">
        <v>4</v>
      </c>
      <c r="AC851" s="2" t="s">
        <v>752</v>
      </c>
      <c r="AD851" s="4">
        <v>34</v>
      </c>
      <c r="AE851" s="4">
        <v>80</v>
      </c>
      <c r="AF851" s="6">
        <v>65</v>
      </c>
      <c r="AG851" s="6"/>
      <c r="AH851" s="7">
        <v>1</v>
      </c>
      <c r="AI851" s="4"/>
      <c r="AJ851" s="4">
        <f>=ROUNDDOWN({0},0)</f>
      </c>
      <c r="AK851" s="5"/>
      <c r="AL851" s="2" t="s">
        <v>227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227</v>
      </c>
      <c r="AW851" s="8" t="s">
        <v>227</v>
      </c>
      <c r="AX851" s="4" t="s">
        <v>227</v>
      </c>
      <c r="AY851" s="8" t="s">
        <v>227</v>
      </c>
      <c r="AZ851" s="7" t="s">
        <v>227</v>
      </c>
      <c r="BA851" s="7" t="s">
        <v>227</v>
      </c>
      <c r="BB851" s="7"/>
      <c r="BC851" s="4" t="s">
        <v>227</v>
      </c>
      <c r="BD851" s="8" t="s">
        <v>227</v>
      </c>
      <c r="BE851" s="4" t="s">
        <v>227</v>
      </c>
      <c r="BF851" s="8" t="s">
        <v>227</v>
      </c>
      <c r="BG851" s="7" t="s">
        <v>227</v>
      </c>
      <c r="BH851" s="7" t="s">
        <v>227</v>
      </c>
      <c r="BI851" s="7"/>
      <c r="BJ851" s="4">
        <v>3</v>
      </c>
      <c r="BK851" s="8">
        <v>94.68</v>
      </c>
      <c r="BL851" s="2" t="s">
        <v>5075</v>
      </c>
      <c r="BM851" s="7"/>
      <c r="BN851" s="7"/>
      <c r="BO851" s="4"/>
      <c r="BP851" s="8"/>
      <c r="BQ851" s="4"/>
      <c r="BR851" s="8"/>
      <c r="BS851" s="7"/>
      <c r="BT851" s="7"/>
      <c r="BU851" s="2" t="s">
        <v>5076</v>
      </c>
      <c r="BV851" s="2" t="s">
        <v>227</v>
      </c>
      <c r="BW851" s="2" t="s">
        <v>227</v>
      </c>
      <c r="BX851" s="2" t="s">
        <v>235</v>
      </c>
      <c r="BY851" s="2" t="s">
        <v>236</v>
      </c>
      <c r="BZ851" s="2" t="s">
        <v>224</v>
      </c>
      <c r="CA851" s="2" t="s">
        <v>3236</v>
      </c>
      <c r="CB851" s="2" t="s">
        <v>5077</v>
      </c>
      <c r="CC851" s="2" t="s">
        <v>239</v>
      </c>
      <c r="CD851" s="2" t="s">
        <v>227</v>
      </c>
      <c r="CE851" s="4">
        <v>115</v>
      </c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>
        <v>34</v>
      </c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/>
      <c r="FD851" s="4"/>
      <c r="FE851" s="4">
        <v>26</v>
      </c>
      <c r="FF851" s="4"/>
      <c r="FG851" s="4"/>
      <c r="FH851" s="4"/>
      <c r="FI851" s="4"/>
      <c r="FJ851" s="4"/>
      <c r="FK851" s="4"/>
      <c r="FL851" s="4"/>
      <c r="FM851" s="4"/>
      <c r="FN851" s="4"/>
      <c r="FO851" s="4"/>
      <c r="FP851" s="4"/>
      <c r="FQ851" s="4"/>
      <c r="FR851" s="4">
        <v>20</v>
      </c>
      <c r="FS851" s="4"/>
      <c r="FT851" s="4"/>
      <c r="FU851" s="4"/>
      <c r="FV851" s="4"/>
      <c r="FW851" s="4"/>
      <c r="FX851" s="4"/>
      <c r="FY851" s="4"/>
      <c r="FZ851" s="4"/>
      <c r="GA851" s="4"/>
      <c r="GB851" s="4"/>
      <c r="GC851" s="4"/>
      <c r="GD851" s="4"/>
      <c r="GE851" s="4"/>
      <c r="GF851" s="4"/>
      <c r="GG851" s="4"/>
      <c r="GH851" s="4"/>
      <c r="GI851" s="4"/>
      <c r="GJ851" s="4"/>
      <c r="GK851" s="4"/>
      <c r="GL851" s="4"/>
      <c r="GM851" s="4"/>
      <c r="GN851" s="4"/>
      <c r="GO851" s="4"/>
      <c r="GP851" s="4"/>
      <c r="GQ851" s="4"/>
      <c r="GR851" s="4"/>
      <c r="GS851" s="4"/>
      <c r="GT851" s="4"/>
      <c r="GU851" s="4"/>
      <c r="GV851" s="4"/>
      <c r="GW851" s="4"/>
      <c r="GX851" s="4"/>
    </row>
    <row r="852">
      <c r="A852" s="2" t="s">
        <v>5078</v>
      </c>
      <c r="B852" s="2" t="s">
        <v>278</v>
      </c>
      <c r="C852" s="2" t="s">
        <v>1962</v>
      </c>
      <c r="D852" s="2" t="s">
        <v>280</v>
      </c>
      <c r="E852" s="2" t="s">
        <v>281</v>
      </c>
      <c r="F852" s="2" t="s">
        <v>5030</v>
      </c>
      <c r="G852" s="2" t="s">
        <v>5030</v>
      </c>
      <c r="H852" s="2" t="s">
        <v>5030</v>
      </c>
      <c r="I852" s="2" t="s">
        <v>5031</v>
      </c>
      <c r="J852" s="2" t="s">
        <v>247</v>
      </c>
      <c r="K852" s="2" t="s">
        <v>5079</v>
      </c>
      <c r="L852" s="3">
        <v>22</v>
      </c>
      <c r="M852" s="3">
        <v>23.1</v>
      </c>
      <c r="N852" s="3">
        <v>47.99</v>
      </c>
      <c r="O852" s="2" t="s">
        <v>224</v>
      </c>
      <c r="P852" s="2" t="s">
        <v>225</v>
      </c>
      <c r="Q852" s="2" t="s">
        <v>226</v>
      </c>
      <c r="R852" s="2" t="s">
        <v>227</v>
      </c>
      <c r="S852" s="2" t="s">
        <v>5080</v>
      </c>
      <c r="T852" s="2" t="s">
        <v>2100</v>
      </c>
      <c r="U852" s="2" t="s">
        <v>287</v>
      </c>
      <c r="V852" s="2" t="s">
        <v>301</v>
      </c>
      <c r="W852" s="2" t="s">
        <v>231</v>
      </c>
      <c r="X852" s="2" t="s">
        <v>836</v>
      </c>
      <c r="Y852" s="2" t="s">
        <v>2338</v>
      </c>
      <c r="Z852" s="4">
        <v>3</v>
      </c>
      <c r="AA852" s="4">
        <f>=ROUNDDOWN(0.09375,0)</f>
      </c>
      <c r="AB852" s="5">
        <v>32</v>
      </c>
      <c r="AC852" s="2" t="s">
        <v>752</v>
      </c>
      <c r="AD852" s="4">
        <v>40</v>
      </c>
      <c r="AE852" s="4">
        <v>590</v>
      </c>
      <c r="AF852" s="6">
        <v>74</v>
      </c>
      <c r="AG852" s="6"/>
      <c r="AH852" s="7">
        <v>0.4194</v>
      </c>
      <c r="AI852" s="4"/>
      <c r="AJ852" s="4">
        <f>=ROUNDDOWN({0},0)</f>
      </c>
      <c r="AK852" s="5"/>
      <c r="AL852" s="2" t="s">
        <v>227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227</v>
      </c>
      <c r="AW852" s="8" t="s">
        <v>227</v>
      </c>
      <c r="AX852" s="4" t="s">
        <v>227</v>
      </c>
      <c r="AY852" s="8" t="s">
        <v>227</v>
      </c>
      <c r="AZ852" s="7" t="s">
        <v>227</v>
      </c>
      <c r="BA852" s="7" t="s">
        <v>227</v>
      </c>
      <c r="BB852" s="7"/>
      <c r="BC852" s="4" t="s">
        <v>227</v>
      </c>
      <c r="BD852" s="8" t="s">
        <v>227</v>
      </c>
      <c r="BE852" s="4" t="s">
        <v>227</v>
      </c>
      <c r="BF852" s="8" t="s">
        <v>227</v>
      </c>
      <c r="BG852" s="7" t="s">
        <v>227</v>
      </c>
      <c r="BH852" s="7" t="s">
        <v>227</v>
      </c>
      <c r="BI852" s="7"/>
      <c r="BJ852" s="4">
        <v>16</v>
      </c>
      <c r="BK852" s="8">
        <v>421.05</v>
      </c>
      <c r="BL852" s="2" t="s">
        <v>1314</v>
      </c>
      <c r="BM852" s="7"/>
      <c r="BN852" s="7"/>
      <c r="BO852" s="4"/>
      <c r="BP852" s="8"/>
      <c r="BQ852" s="4"/>
      <c r="BR852" s="8"/>
      <c r="BS852" s="7"/>
      <c r="BT852" s="7"/>
      <c r="BU852" s="2" t="s">
        <v>5081</v>
      </c>
      <c r="BV852" s="2" t="s">
        <v>227</v>
      </c>
      <c r="BW852" s="2" t="s">
        <v>227</v>
      </c>
      <c r="BX852" s="2" t="s">
        <v>235</v>
      </c>
      <c r="BY852" s="2" t="s">
        <v>236</v>
      </c>
      <c r="BZ852" s="2" t="s">
        <v>224</v>
      </c>
      <c r="CA852" s="2" t="s">
        <v>1297</v>
      </c>
      <c r="CB852" s="2" t="s">
        <v>1989</v>
      </c>
      <c r="CC852" s="2" t="s">
        <v>239</v>
      </c>
      <c r="CD852" s="2" t="s">
        <v>227</v>
      </c>
      <c r="CE852" s="4">
        <v>3</v>
      </c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>
        <v>40</v>
      </c>
      <c r="DV852" s="4"/>
      <c r="DW852" s="4">
        <v>70</v>
      </c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/>
      <c r="FD852" s="4"/>
      <c r="FE852" s="4">
        <v>80</v>
      </c>
      <c r="FF852" s="4"/>
      <c r="FG852" s="4"/>
      <c r="FH852" s="4"/>
      <c r="FI852" s="4"/>
      <c r="FJ852" s="4"/>
      <c r="FK852" s="4"/>
      <c r="FL852" s="4"/>
      <c r="FM852" s="4"/>
      <c r="FN852" s="4"/>
      <c r="FO852" s="4"/>
      <c r="FP852" s="4"/>
      <c r="FQ852" s="4"/>
      <c r="FR852" s="4"/>
      <c r="FS852" s="4"/>
      <c r="FT852" s="4"/>
      <c r="FU852" s="4"/>
      <c r="FV852" s="4"/>
      <c r="FW852" s="4"/>
      <c r="FX852" s="4"/>
      <c r="FY852" s="4"/>
      <c r="FZ852" s="4"/>
      <c r="GA852" s="4"/>
      <c r="GB852" s="4"/>
      <c r="GC852" s="4"/>
      <c r="GD852" s="4"/>
      <c r="GE852" s="4"/>
      <c r="GF852" s="4">
        <v>280</v>
      </c>
      <c r="GG852" s="4"/>
      <c r="GH852" s="4"/>
      <c r="GI852" s="4"/>
      <c r="GJ852" s="4"/>
      <c r="GK852" s="4"/>
      <c r="GL852" s="4"/>
      <c r="GM852" s="4"/>
      <c r="GN852" s="4"/>
      <c r="GO852" s="4"/>
      <c r="GP852" s="4"/>
      <c r="GQ852" s="4"/>
      <c r="GR852" s="4"/>
      <c r="GS852" s="4">
        <v>120</v>
      </c>
      <c r="GT852" s="4"/>
      <c r="GU852" s="4"/>
      <c r="GV852" s="4"/>
      <c r="GW852" s="4"/>
      <c r="GX852" s="4"/>
    </row>
    <row r="853">
      <c r="A853" s="2" t="s">
        <v>5082</v>
      </c>
      <c r="B853" s="2" t="s">
        <v>278</v>
      </c>
      <c r="C853" s="2" t="s">
        <v>1962</v>
      </c>
      <c r="D853" s="2" t="s">
        <v>280</v>
      </c>
      <c r="E853" s="2" t="s">
        <v>281</v>
      </c>
      <c r="F853" s="2" t="s">
        <v>5030</v>
      </c>
      <c r="G853" s="2" t="s">
        <v>5030</v>
      </c>
      <c r="H853" s="2" t="s">
        <v>5030</v>
      </c>
      <c r="I853" s="2" t="s">
        <v>5031</v>
      </c>
      <c r="J853" s="2" t="s">
        <v>252</v>
      </c>
      <c r="K853" s="2" t="s">
        <v>5079</v>
      </c>
      <c r="L853" s="3">
        <v>25.85</v>
      </c>
      <c r="M853" s="3">
        <v>27.14</v>
      </c>
      <c r="N853" s="3">
        <v>55.99</v>
      </c>
      <c r="O853" s="2" t="s">
        <v>224</v>
      </c>
      <c r="P853" s="2" t="s">
        <v>225</v>
      </c>
      <c r="Q853" s="2" t="s">
        <v>226</v>
      </c>
      <c r="R853" s="2" t="s">
        <v>227</v>
      </c>
      <c r="S853" s="2" t="s">
        <v>5080</v>
      </c>
      <c r="T853" s="2" t="s">
        <v>2100</v>
      </c>
      <c r="U853" s="2" t="s">
        <v>287</v>
      </c>
      <c r="V853" s="2" t="s">
        <v>301</v>
      </c>
      <c r="W853" s="2" t="s">
        <v>231</v>
      </c>
      <c r="X853" s="2" t="s">
        <v>836</v>
      </c>
      <c r="Y853" s="2" t="s">
        <v>2338</v>
      </c>
      <c r="Z853" s="4"/>
      <c r="AA853" s="4">
        <f>=ROUNDDOWN({0},0)</f>
      </c>
      <c r="AB853" s="5">
        <v>129</v>
      </c>
      <c r="AC853" s="2" t="s">
        <v>752</v>
      </c>
      <c r="AD853" s="4">
        <v>60</v>
      </c>
      <c r="AE853" s="4">
        <v>2220</v>
      </c>
      <c r="AF853" s="6">
        <v>74</v>
      </c>
      <c r="AG853" s="6"/>
      <c r="AH853" s="7">
        <v>0</v>
      </c>
      <c r="AI853" s="4"/>
      <c r="AJ853" s="4">
        <f>=ROUNDDOWN({0},0)</f>
      </c>
      <c r="AK853" s="5"/>
      <c r="AL853" s="2" t="s">
        <v>227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227</v>
      </c>
      <c r="AW853" s="8" t="s">
        <v>227</v>
      </c>
      <c r="AX853" s="4" t="s">
        <v>227</v>
      </c>
      <c r="AY853" s="8" t="s">
        <v>227</v>
      </c>
      <c r="AZ853" s="7" t="s">
        <v>227</v>
      </c>
      <c r="BA853" s="7" t="s">
        <v>227</v>
      </c>
      <c r="BB853" s="7"/>
      <c r="BC853" s="4" t="s">
        <v>227</v>
      </c>
      <c r="BD853" s="8" t="s">
        <v>227</v>
      </c>
      <c r="BE853" s="4" t="s">
        <v>227</v>
      </c>
      <c r="BF853" s="8" t="s">
        <v>227</v>
      </c>
      <c r="BG853" s="7" t="s">
        <v>227</v>
      </c>
      <c r="BH853" s="7" t="s">
        <v>227</v>
      </c>
      <c r="BI853" s="7"/>
      <c r="BJ853" s="4">
        <v>2</v>
      </c>
      <c r="BK853" s="8">
        <v>59.46</v>
      </c>
      <c r="BL853" s="2" t="s">
        <v>498</v>
      </c>
      <c r="BM853" s="7"/>
      <c r="BN853" s="7"/>
      <c r="BO853" s="4"/>
      <c r="BP853" s="8"/>
      <c r="BQ853" s="4"/>
      <c r="BR853" s="8"/>
      <c r="BS853" s="7"/>
      <c r="BT853" s="7"/>
      <c r="BU853" s="2" t="s">
        <v>5083</v>
      </c>
      <c r="BV853" s="2" t="s">
        <v>227</v>
      </c>
      <c r="BW853" s="2" t="s">
        <v>227</v>
      </c>
      <c r="BX853" s="2" t="s">
        <v>235</v>
      </c>
      <c r="BY853" s="2" t="s">
        <v>236</v>
      </c>
      <c r="BZ853" s="2" t="s">
        <v>224</v>
      </c>
      <c r="CA853" s="2" t="s">
        <v>1297</v>
      </c>
      <c r="CB853" s="2" t="s">
        <v>2325</v>
      </c>
      <c r="CC853" s="2" t="s">
        <v>239</v>
      </c>
      <c r="CD853" s="2" t="s">
        <v>227</v>
      </c>
      <c r="CE853" s="4"/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>
        <v>60</v>
      </c>
      <c r="DV853" s="4"/>
      <c r="DW853" s="4">
        <v>20</v>
      </c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/>
      <c r="FD853" s="4"/>
      <c r="FE853" s="4">
        <v>140</v>
      </c>
      <c r="FF853" s="4"/>
      <c r="FG853" s="4"/>
      <c r="FH853" s="4"/>
      <c r="FI853" s="4"/>
      <c r="FJ853" s="4"/>
      <c r="FK853" s="4"/>
      <c r="FL853" s="4"/>
      <c r="FM853" s="4"/>
      <c r="FN853" s="4"/>
      <c r="FO853" s="4"/>
      <c r="FP853" s="4"/>
      <c r="FQ853" s="4"/>
      <c r="FR853" s="4"/>
      <c r="FS853" s="4"/>
      <c r="FT853" s="4"/>
      <c r="FU853" s="4"/>
      <c r="FV853" s="4"/>
      <c r="FW853" s="4"/>
      <c r="FX853" s="4"/>
      <c r="FY853" s="4"/>
      <c r="FZ853" s="4"/>
      <c r="GA853" s="4"/>
      <c r="GB853" s="4"/>
      <c r="GC853" s="4"/>
      <c r="GD853" s="4"/>
      <c r="GE853" s="4"/>
      <c r="GF853" s="4">
        <v>1400</v>
      </c>
      <c r="GG853" s="4"/>
      <c r="GH853" s="4"/>
      <c r="GI853" s="4"/>
      <c r="GJ853" s="4"/>
      <c r="GK853" s="4"/>
      <c r="GL853" s="4"/>
      <c r="GM853" s="4"/>
      <c r="GN853" s="4"/>
      <c r="GO853" s="4"/>
      <c r="GP853" s="4"/>
      <c r="GQ853" s="4"/>
      <c r="GR853" s="4"/>
      <c r="GS853" s="4">
        <v>600</v>
      </c>
      <c r="GT853" s="4"/>
      <c r="GU853" s="4"/>
      <c r="GV853" s="4"/>
      <c r="GW853" s="4"/>
      <c r="GX853" s="4"/>
    </row>
    <row r="854">
      <c r="A854" s="2" t="s">
        <v>5084</v>
      </c>
      <c r="B854" s="2" t="s">
        <v>278</v>
      </c>
      <c r="C854" s="2" t="s">
        <v>1962</v>
      </c>
      <c r="D854" s="2" t="s">
        <v>280</v>
      </c>
      <c r="E854" s="2" t="s">
        <v>281</v>
      </c>
      <c r="F854" s="2" t="s">
        <v>5030</v>
      </c>
      <c r="G854" s="2" t="s">
        <v>5030</v>
      </c>
      <c r="H854" s="2" t="s">
        <v>5030</v>
      </c>
      <c r="I854" s="2" t="s">
        <v>5031</v>
      </c>
      <c r="J854" s="2" t="s">
        <v>257</v>
      </c>
      <c r="K854" s="2" t="s">
        <v>5079</v>
      </c>
      <c r="L854" s="3">
        <v>28.68</v>
      </c>
      <c r="M854" s="3">
        <v>30.11</v>
      </c>
      <c r="N854" s="3">
        <v>62.99</v>
      </c>
      <c r="O854" s="2" t="s">
        <v>224</v>
      </c>
      <c r="P854" s="2" t="s">
        <v>225</v>
      </c>
      <c r="Q854" s="2" t="s">
        <v>226</v>
      </c>
      <c r="R854" s="2" t="s">
        <v>227</v>
      </c>
      <c r="S854" s="2" t="s">
        <v>5080</v>
      </c>
      <c r="T854" s="2" t="s">
        <v>2100</v>
      </c>
      <c r="U854" s="2" t="s">
        <v>287</v>
      </c>
      <c r="V854" s="2" t="s">
        <v>301</v>
      </c>
      <c r="W854" s="2" t="s">
        <v>231</v>
      </c>
      <c r="X854" s="2" t="s">
        <v>836</v>
      </c>
      <c r="Y854" s="2" t="s">
        <v>2338</v>
      </c>
      <c r="Z854" s="4">
        <v>55</v>
      </c>
      <c r="AA854" s="4">
        <f>=ROUNDDOWN(2.39130434782609,0)</f>
      </c>
      <c r="AB854" s="5">
        <v>23</v>
      </c>
      <c r="AC854" s="2" t="s">
        <v>752</v>
      </c>
      <c r="AD854" s="4">
        <v>20</v>
      </c>
      <c r="AE854" s="4">
        <v>480</v>
      </c>
      <c r="AF854" s="6">
        <v>74</v>
      </c>
      <c r="AG854" s="6"/>
      <c r="AH854" s="7">
        <v>1</v>
      </c>
      <c r="AI854" s="4"/>
      <c r="AJ854" s="4">
        <f>=ROUNDDOWN({0},0)</f>
      </c>
      <c r="AK854" s="5"/>
      <c r="AL854" s="2" t="s">
        <v>227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227</v>
      </c>
      <c r="AW854" s="8" t="s">
        <v>227</v>
      </c>
      <c r="AX854" s="4" t="s">
        <v>227</v>
      </c>
      <c r="AY854" s="8" t="s">
        <v>227</v>
      </c>
      <c r="AZ854" s="7" t="s">
        <v>227</v>
      </c>
      <c r="BA854" s="7" t="s">
        <v>227</v>
      </c>
      <c r="BB854" s="7"/>
      <c r="BC854" s="4" t="s">
        <v>227</v>
      </c>
      <c r="BD854" s="8" t="s">
        <v>227</v>
      </c>
      <c r="BE854" s="4" t="s">
        <v>227</v>
      </c>
      <c r="BF854" s="8" t="s">
        <v>227</v>
      </c>
      <c r="BG854" s="7" t="s">
        <v>227</v>
      </c>
      <c r="BH854" s="7" t="s">
        <v>227</v>
      </c>
      <c r="BI854" s="7"/>
      <c r="BJ854" s="4">
        <v>23</v>
      </c>
      <c r="BK854" s="8">
        <v>740.08</v>
      </c>
      <c r="BL854" s="2" t="s">
        <v>318</v>
      </c>
      <c r="BM854" s="7"/>
      <c r="BN854" s="7"/>
      <c r="BO854" s="4"/>
      <c r="BP854" s="8"/>
      <c r="BQ854" s="4"/>
      <c r="BR854" s="8"/>
      <c r="BS854" s="7"/>
      <c r="BT854" s="7"/>
      <c r="BU854" s="2" t="s">
        <v>5085</v>
      </c>
      <c r="BV854" s="2" t="s">
        <v>227</v>
      </c>
      <c r="BW854" s="2" t="s">
        <v>227</v>
      </c>
      <c r="BX854" s="2" t="s">
        <v>235</v>
      </c>
      <c r="BY854" s="2" t="s">
        <v>236</v>
      </c>
      <c r="BZ854" s="2" t="s">
        <v>224</v>
      </c>
      <c r="CA854" s="2" t="s">
        <v>1297</v>
      </c>
      <c r="CB854" s="2" t="s">
        <v>5086</v>
      </c>
      <c r="CC854" s="2" t="s">
        <v>239</v>
      </c>
      <c r="CD854" s="2" t="s">
        <v>227</v>
      </c>
      <c r="CE854" s="4">
        <v>55</v>
      </c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>
        <v>20</v>
      </c>
      <c r="DV854" s="4"/>
      <c r="DW854" s="4">
        <v>20</v>
      </c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/>
      <c r="FD854" s="4"/>
      <c r="FE854" s="4">
        <v>40</v>
      </c>
      <c r="FF854" s="4"/>
      <c r="FG854" s="4"/>
      <c r="FH854" s="4"/>
      <c r="FI854" s="4"/>
      <c r="FJ854" s="4"/>
      <c r="FK854" s="4"/>
      <c r="FL854" s="4"/>
      <c r="FM854" s="4"/>
      <c r="FN854" s="4"/>
      <c r="FO854" s="4"/>
      <c r="FP854" s="4"/>
      <c r="FQ854" s="4"/>
      <c r="FR854" s="4"/>
      <c r="FS854" s="4"/>
      <c r="FT854" s="4"/>
      <c r="FU854" s="4"/>
      <c r="FV854" s="4"/>
      <c r="FW854" s="4"/>
      <c r="FX854" s="4"/>
      <c r="FY854" s="4"/>
      <c r="FZ854" s="4"/>
      <c r="GA854" s="4"/>
      <c r="GB854" s="4"/>
      <c r="GC854" s="4"/>
      <c r="GD854" s="4"/>
      <c r="GE854" s="4"/>
      <c r="GF854" s="4">
        <v>280</v>
      </c>
      <c r="GG854" s="4"/>
      <c r="GH854" s="4"/>
      <c r="GI854" s="4"/>
      <c r="GJ854" s="4"/>
      <c r="GK854" s="4"/>
      <c r="GL854" s="4"/>
      <c r="GM854" s="4"/>
      <c r="GN854" s="4"/>
      <c r="GO854" s="4"/>
      <c r="GP854" s="4"/>
      <c r="GQ854" s="4"/>
      <c r="GR854" s="4"/>
      <c r="GS854" s="4">
        <v>120</v>
      </c>
      <c r="GT854" s="4"/>
      <c r="GU854" s="4"/>
      <c r="GV854" s="4"/>
      <c r="GW854" s="4"/>
      <c r="GX854" s="4"/>
    </row>
    <row r="855">
      <c r="A855" s="2" t="s">
        <v>5087</v>
      </c>
      <c r="B855" s="2" t="s">
        <v>278</v>
      </c>
      <c r="C855" s="2" t="s">
        <v>1962</v>
      </c>
      <c r="D855" s="2" t="s">
        <v>280</v>
      </c>
      <c r="E855" s="2" t="s">
        <v>281</v>
      </c>
      <c r="F855" s="2" t="s">
        <v>5030</v>
      </c>
      <c r="G855" s="2" t="s">
        <v>5030</v>
      </c>
      <c r="H855" s="2" t="s">
        <v>5030</v>
      </c>
      <c r="I855" s="2" t="s">
        <v>5031</v>
      </c>
      <c r="J855" s="2" t="s">
        <v>384</v>
      </c>
      <c r="K855" s="2" t="s">
        <v>5079</v>
      </c>
      <c r="L855" s="3">
        <v>28.68</v>
      </c>
      <c r="M855" s="3">
        <v>30.11</v>
      </c>
      <c r="N855" s="3">
        <v>62.99</v>
      </c>
      <c r="O855" s="2" t="s">
        <v>224</v>
      </c>
      <c r="P855" s="2" t="s">
        <v>225</v>
      </c>
      <c r="Q855" s="2" t="s">
        <v>226</v>
      </c>
      <c r="R855" s="2" t="s">
        <v>227</v>
      </c>
      <c r="S855" s="2" t="s">
        <v>5080</v>
      </c>
      <c r="T855" s="2" t="s">
        <v>2100</v>
      </c>
      <c r="U855" s="2" t="s">
        <v>287</v>
      </c>
      <c r="V855" s="2" t="s">
        <v>301</v>
      </c>
      <c r="W855" s="2" t="s">
        <v>231</v>
      </c>
      <c r="X855" s="2" t="s">
        <v>836</v>
      </c>
      <c r="Y855" s="2" t="s">
        <v>2338</v>
      </c>
      <c r="Z855" s="4">
        <v>49</v>
      </c>
      <c r="AA855" s="4">
        <f>=ROUNDDOWN(4.01639344262295,0)</f>
      </c>
      <c r="AB855" s="5">
        <v>12.2</v>
      </c>
      <c r="AC855" s="2" t="s">
        <v>752</v>
      </c>
      <c r="AD855" s="4">
        <v>20</v>
      </c>
      <c r="AE855" s="4">
        <v>280</v>
      </c>
      <c r="AF855" s="6">
        <v>74</v>
      </c>
      <c r="AG855" s="6"/>
      <c r="AH855" s="7">
        <v>1</v>
      </c>
      <c r="AI855" s="4"/>
      <c r="AJ855" s="4">
        <f>=ROUNDDOWN({0},0)</f>
      </c>
      <c r="AK855" s="5"/>
      <c r="AL855" s="2" t="s">
        <v>227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227</v>
      </c>
      <c r="AW855" s="8" t="s">
        <v>227</v>
      </c>
      <c r="AX855" s="4" t="s">
        <v>227</v>
      </c>
      <c r="AY855" s="8" t="s">
        <v>227</v>
      </c>
      <c r="AZ855" s="7" t="s">
        <v>227</v>
      </c>
      <c r="BA855" s="7" t="s">
        <v>227</v>
      </c>
      <c r="BB855" s="7"/>
      <c r="BC855" s="4" t="s">
        <v>227</v>
      </c>
      <c r="BD855" s="8" t="s">
        <v>227</v>
      </c>
      <c r="BE855" s="4" t="s">
        <v>227</v>
      </c>
      <c r="BF855" s="8" t="s">
        <v>227</v>
      </c>
      <c r="BG855" s="7" t="s">
        <v>227</v>
      </c>
      <c r="BH855" s="7" t="s">
        <v>227</v>
      </c>
      <c r="BI855" s="7"/>
      <c r="BJ855" s="4">
        <v>10</v>
      </c>
      <c r="BK855" s="8">
        <v>344.65</v>
      </c>
      <c r="BL855" s="2" t="s">
        <v>1750</v>
      </c>
      <c r="BM855" s="7"/>
      <c r="BN855" s="7"/>
      <c r="BO855" s="4"/>
      <c r="BP855" s="8"/>
      <c r="BQ855" s="4"/>
      <c r="BR855" s="8"/>
      <c r="BS855" s="7"/>
      <c r="BT855" s="7"/>
      <c r="BU855" s="2" t="s">
        <v>5088</v>
      </c>
      <c r="BV855" s="2" t="s">
        <v>227</v>
      </c>
      <c r="BW855" s="2" t="s">
        <v>227</v>
      </c>
      <c r="BX855" s="2" t="s">
        <v>235</v>
      </c>
      <c r="BY855" s="2" t="s">
        <v>236</v>
      </c>
      <c r="BZ855" s="2" t="s">
        <v>224</v>
      </c>
      <c r="CA855" s="2" t="s">
        <v>1297</v>
      </c>
      <c r="CB855" s="2" t="s">
        <v>5089</v>
      </c>
      <c r="CC855" s="2" t="s">
        <v>239</v>
      </c>
      <c r="CD855" s="2" t="s">
        <v>227</v>
      </c>
      <c r="CE855" s="4">
        <v>49</v>
      </c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>
        <v>20</v>
      </c>
      <c r="DV855" s="4"/>
      <c r="DW855" s="4">
        <v>20</v>
      </c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/>
      <c r="FD855" s="4"/>
      <c r="FE855" s="4">
        <v>40</v>
      </c>
      <c r="FF855" s="4"/>
      <c r="FG855" s="4"/>
      <c r="FH855" s="4"/>
      <c r="FI855" s="4"/>
      <c r="FJ855" s="4"/>
      <c r="FK855" s="4"/>
      <c r="FL855" s="4"/>
      <c r="FM855" s="4"/>
      <c r="FN855" s="4"/>
      <c r="FO855" s="4"/>
      <c r="FP855" s="4"/>
      <c r="FQ855" s="4"/>
      <c r="FR855" s="4"/>
      <c r="FS855" s="4"/>
      <c r="FT855" s="4"/>
      <c r="FU855" s="4"/>
      <c r="FV855" s="4"/>
      <c r="FW855" s="4"/>
      <c r="FX855" s="4"/>
      <c r="FY855" s="4"/>
      <c r="FZ855" s="4"/>
      <c r="GA855" s="4"/>
      <c r="GB855" s="4"/>
      <c r="GC855" s="4"/>
      <c r="GD855" s="4"/>
      <c r="GE855" s="4"/>
      <c r="GF855" s="4">
        <v>140</v>
      </c>
      <c r="GG855" s="4"/>
      <c r="GH855" s="4"/>
      <c r="GI855" s="4"/>
      <c r="GJ855" s="4"/>
      <c r="GK855" s="4"/>
      <c r="GL855" s="4"/>
      <c r="GM855" s="4"/>
      <c r="GN855" s="4"/>
      <c r="GO855" s="4"/>
      <c r="GP855" s="4"/>
      <c r="GQ855" s="4"/>
      <c r="GR855" s="4"/>
      <c r="GS855" s="4">
        <v>60</v>
      </c>
      <c r="GT855" s="4"/>
      <c r="GU855" s="4"/>
      <c r="GV855" s="4"/>
      <c r="GW855" s="4"/>
      <c r="GX855" s="4"/>
    </row>
    <row r="856">
      <c r="A856" s="2" t="s">
        <v>5090</v>
      </c>
      <c r="B856" s="2" t="s">
        <v>573</v>
      </c>
      <c r="C856" s="2" t="s">
        <v>360</v>
      </c>
      <c r="D856" s="2" t="s">
        <v>832</v>
      </c>
      <c r="E856" s="2" t="s">
        <v>833</v>
      </c>
      <c r="F856" s="2" t="s">
        <v>5091</v>
      </c>
      <c r="G856" s="2" t="s">
        <v>1301</v>
      </c>
      <c r="H856" s="2" t="s">
        <v>5092</v>
      </c>
      <c r="I856" s="2" t="s">
        <v>5093</v>
      </c>
      <c r="J856" s="2" t="s">
        <v>548</v>
      </c>
      <c r="K856" s="2" t="s">
        <v>5094</v>
      </c>
      <c r="L856" s="3">
        <v>199.5</v>
      </c>
      <c r="M856" s="3">
        <v>209.48</v>
      </c>
      <c r="N856" s="3">
        <v>419</v>
      </c>
      <c r="O856" s="2" t="s">
        <v>224</v>
      </c>
      <c r="P856" s="2" t="s">
        <v>225</v>
      </c>
      <c r="Q856" s="2" t="s">
        <v>226</v>
      </c>
      <c r="R856" s="2" t="s">
        <v>227</v>
      </c>
      <c r="S856" s="2" t="s">
        <v>5095</v>
      </c>
      <c r="T856" s="2" t="s">
        <v>227</v>
      </c>
      <c r="U856" s="2" t="s">
        <v>227</v>
      </c>
      <c r="V856" s="2" t="s">
        <v>230</v>
      </c>
      <c r="W856" s="2" t="s">
        <v>676</v>
      </c>
      <c r="X856" s="2" t="s">
        <v>227</v>
      </c>
      <c r="Y856" s="2" t="s">
        <v>232</v>
      </c>
      <c r="Z856" s="4">
        <v>207</v>
      </c>
      <c r="AA856" s="4">
        <f>=ROUNDDOWN(34.5,0)</f>
      </c>
      <c r="AB856" s="5">
        <v>6</v>
      </c>
      <c r="AC856" s="2" t="s">
        <v>227</v>
      </c>
      <c r="AD856" s="4"/>
      <c r="AE856" s="4"/>
      <c r="AF856" s="6">
        <v>66</v>
      </c>
      <c r="AG856" s="6"/>
      <c r="AH856" s="7">
        <v>1</v>
      </c>
      <c r="AI856" s="4"/>
      <c r="AJ856" s="4">
        <f>=ROUNDDOWN({0},0)</f>
      </c>
      <c r="AK856" s="5"/>
      <c r="AL856" s="2" t="s">
        <v>227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/>
      <c r="AW856" s="8"/>
      <c r="AX856" s="4"/>
      <c r="AY856" s="8"/>
      <c r="AZ856" s="7"/>
      <c r="BA856" s="7"/>
      <c r="BB856" s="7"/>
      <c r="BC856" s="4" t="s">
        <v>227</v>
      </c>
      <c r="BD856" s="8" t="s">
        <v>227</v>
      </c>
      <c r="BE856" s="4" t="s">
        <v>227</v>
      </c>
      <c r="BF856" s="8" t="s">
        <v>227</v>
      </c>
      <c r="BG856" s="7" t="s">
        <v>227</v>
      </c>
      <c r="BH856" s="7" t="s">
        <v>227</v>
      </c>
      <c r="BI856" s="7"/>
      <c r="BJ856" s="4">
        <v>39</v>
      </c>
      <c r="BK856" s="8">
        <v>6770.41</v>
      </c>
      <c r="BL856" s="2" t="s">
        <v>5096</v>
      </c>
      <c r="BM856" s="7"/>
      <c r="BN856" s="7"/>
      <c r="BO856" s="4"/>
      <c r="BP856" s="8"/>
      <c r="BQ856" s="4"/>
      <c r="BR856" s="8"/>
      <c r="BS856" s="7"/>
      <c r="BT856" s="7"/>
      <c r="BU856" s="2" t="s">
        <v>5097</v>
      </c>
      <c r="BV856" s="2" t="s">
        <v>227</v>
      </c>
      <c r="BW856" s="2" t="s">
        <v>227</v>
      </c>
      <c r="BX856" s="2" t="s">
        <v>235</v>
      </c>
      <c r="BY856" s="2" t="s">
        <v>236</v>
      </c>
      <c r="BZ856" s="2" t="s">
        <v>224</v>
      </c>
      <c r="CA856" s="2" t="s">
        <v>237</v>
      </c>
      <c r="CB856" s="2" t="s">
        <v>5098</v>
      </c>
      <c r="CC856" s="2" t="s">
        <v>239</v>
      </c>
      <c r="CD856" s="2" t="s">
        <v>227</v>
      </c>
      <c r="CE856" s="4"/>
      <c r="CF856" s="4">
        <v>207</v>
      </c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/>
      <c r="FD856" s="4"/>
      <c r="FE856" s="4"/>
      <c r="FF856" s="4"/>
      <c r="FG856" s="4"/>
      <c r="FH856" s="4"/>
      <c r="FI856" s="4"/>
      <c r="FJ856" s="4"/>
      <c r="FK856" s="4"/>
      <c r="FL856" s="4"/>
      <c r="FM856" s="4"/>
      <c r="FN856" s="4"/>
      <c r="FO856" s="4"/>
      <c r="FP856" s="4"/>
      <c r="FQ856" s="4"/>
      <c r="FR856" s="4"/>
      <c r="FS856" s="4"/>
      <c r="FT856" s="4"/>
      <c r="FU856" s="4"/>
      <c r="FV856" s="4"/>
      <c r="FW856" s="4"/>
      <c r="FX856" s="4"/>
      <c r="FY856" s="4"/>
      <c r="FZ856" s="4"/>
      <c r="GA856" s="4"/>
      <c r="GB856" s="4"/>
      <c r="GC856" s="4"/>
      <c r="GD856" s="4"/>
      <c r="GE856" s="4"/>
      <c r="GF856" s="4"/>
      <c r="GG856" s="4"/>
      <c r="GH856" s="4"/>
      <c r="GI856" s="4"/>
      <c r="GJ856" s="4"/>
      <c r="GK856" s="4"/>
      <c r="GL856" s="4"/>
      <c r="GM856" s="4"/>
      <c r="GN856" s="4"/>
      <c r="GO856" s="4"/>
      <c r="GP856" s="4"/>
      <c r="GQ856" s="4"/>
      <c r="GR856" s="4"/>
      <c r="GS856" s="4"/>
      <c r="GT856" s="4"/>
      <c r="GU856" s="4"/>
      <c r="GV856" s="4"/>
      <c r="GW856" s="4"/>
      <c r="GX856" s="4"/>
    </row>
    <row r="857">
      <c r="A857" s="2" t="s">
        <v>5099</v>
      </c>
      <c r="B857" s="2" t="s">
        <v>573</v>
      </c>
      <c r="C857" s="2" t="s">
        <v>360</v>
      </c>
      <c r="D857" s="2" t="s">
        <v>832</v>
      </c>
      <c r="E857" s="2" t="s">
        <v>833</v>
      </c>
      <c r="F857" s="2" t="s">
        <v>5091</v>
      </c>
      <c r="G857" s="2" t="s">
        <v>1301</v>
      </c>
      <c r="H857" s="2" t="s">
        <v>5092</v>
      </c>
      <c r="I857" s="2" t="s">
        <v>5093</v>
      </c>
      <c r="J857" s="2" t="s">
        <v>548</v>
      </c>
      <c r="K857" s="2" t="s">
        <v>780</v>
      </c>
      <c r="L857" s="3">
        <v>199.5</v>
      </c>
      <c r="M857" s="3">
        <v>209.48</v>
      </c>
      <c r="N857" s="3">
        <v>419</v>
      </c>
      <c r="O857" s="2" t="s">
        <v>224</v>
      </c>
      <c r="P857" s="2" t="s">
        <v>580</v>
      </c>
      <c r="Q857" s="2" t="s">
        <v>226</v>
      </c>
      <c r="R857" s="2" t="s">
        <v>227</v>
      </c>
      <c r="S857" s="2" t="s">
        <v>5100</v>
      </c>
      <c r="T857" s="2" t="s">
        <v>227</v>
      </c>
      <c r="U857" s="2" t="s">
        <v>227</v>
      </c>
      <c r="V857" s="2" t="s">
        <v>230</v>
      </c>
      <c r="W857" s="2" t="s">
        <v>676</v>
      </c>
      <c r="X857" s="2" t="s">
        <v>227</v>
      </c>
      <c r="Y857" s="2" t="s">
        <v>232</v>
      </c>
      <c r="Z857" s="4">
        <v>110</v>
      </c>
      <c r="AA857" s="4">
        <f>=ROUNDDOWN(110,0)</f>
      </c>
      <c r="AB857" s="5">
        <v>1</v>
      </c>
      <c r="AC857" s="2" t="s">
        <v>227</v>
      </c>
      <c r="AD857" s="4"/>
      <c r="AE857" s="4"/>
      <c r="AF857" s="6">
        <v>66</v>
      </c>
      <c r="AG857" s="6">
        <v>49</v>
      </c>
      <c r="AH857" s="7">
        <v>1</v>
      </c>
      <c r="AI857" s="4"/>
      <c r="AJ857" s="4">
        <f>=ROUNDDOWN({0},0)</f>
      </c>
      <c r="AK857" s="5"/>
      <c r="AL857" s="2" t="s">
        <v>227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/>
      <c r="AW857" s="8"/>
      <c r="AX857" s="4"/>
      <c r="AY857" s="8"/>
      <c r="AZ857" s="7"/>
      <c r="BA857" s="7"/>
      <c r="BB857" s="7"/>
      <c r="BC857" s="4" t="s">
        <v>227</v>
      </c>
      <c r="BD857" s="8" t="s">
        <v>227</v>
      </c>
      <c r="BE857" s="4" t="s">
        <v>227</v>
      </c>
      <c r="BF857" s="8" t="s">
        <v>227</v>
      </c>
      <c r="BG857" s="7" t="s">
        <v>227</v>
      </c>
      <c r="BH857" s="7" t="s">
        <v>227</v>
      </c>
      <c r="BI857" s="7"/>
      <c r="BJ857" s="4">
        <v>2</v>
      </c>
      <c r="BK857" s="8">
        <v>355.66</v>
      </c>
      <c r="BL857" s="2" t="s">
        <v>3256</v>
      </c>
      <c r="BM857" s="7"/>
      <c r="BN857" s="7"/>
      <c r="BO857" s="4"/>
      <c r="BP857" s="8"/>
      <c r="BQ857" s="4"/>
      <c r="BR857" s="8"/>
      <c r="BS857" s="7"/>
      <c r="BT857" s="7"/>
      <c r="BU857" s="2" t="s">
        <v>5101</v>
      </c>
      <c r="BV857" s="2" t="s">
        <v>227</v>
      </c>
      <c r="BW857" s="2" t="s">
        <v>227</v>
      </c>
      <c r="BX857" s="2" t="s">
        <v>235</v>
      </c>
      <c r="BY857" s="2" t="s">
        <v>236</v>
      </c>
      <c r="BZ857" s="2" t="s">
        <v>224</v>
      </c>
      <c r="CA857" s="2" t="s">
        <v>237</v>
      </c>
      <c r="CB857" s="2" t="s">
        <v>5102</v>
      </c>
      <c r="CC857" s="2" t="s">
        <v>239</v>
      </c>
      <c r="CD857" s="2" t="s">
        <v>227</v>
      </c>
      <c r="CE857" s="4"/>
      <c r="CF857" s="4">
        <v>110</v>
      </c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/>
      <c r="FA857" s="4"/>
      <c r="FB857" s="4"/>
      <c r="FC857" s="4"/>
      <c r="FD857" s="4"/>
      <c r="FE857" s="4"/>
      <c r="FF857" s="4"/>
      <c r="FG857" s="4"/>
      <c r="FH857" s="4"/>
      <c r="FI857" s="4"/>
      <c r="FJ857" s="4"/>
      <c r="FK857" s="4"/>
      <c r="FL857" s="4"/>
      <c r="FM857" s="4"/>
      <c r="FN857" s="4"/>
      <c r="FO857" s="4"/>
      <c r="FP857" s="4"/>
      <c r="FQ857" s="4"/>
      <c r="FR857" s="4"/>
      <c r="FS857" s="4"/>
      <c r="FT857" s="4"/>
      <c r="FU857" s="4"/>
      <c r="FV857" s="4"/>
      <c r="FW857" s="4"/>
      <c r="FX857" s="4"/>
      <c r="FY857" s="4"/>
      <c r="FZ857" s="4"/>
      <c r="GA857" s="4"/>
      <c r="GB857" s="4"/>
      <c r="GC857" s="4"/>
      <c r="GD857" s="4"/>
      <c r="GE857" s="4"/>
      <c r="GF857" s="4"/>
      <c r="GG857" s="4"/>
      <c r="GH857" s="4"/>
      <c r="GI857" s="4"/>
      <c r="GJ857" s="4"/>
      <c r="GK857" s="4"/>
      <c r="GL857" s="4"/>
      <c r="GM857" s="4"/>
      <c r="GN857" s="4"/>
      <c r="GO857" s="4"/>
      <c r="GP857" s="4"/>
      <c r="GQ857" s="4"/>
      <c r="GR857" s="4"/>
      <c r="GS857" s="4"/>
      <c r="GT857" s="4"/>
      <c r="GU857" s="4"/>
      <c r="GV857" s="4"/>
      <c r="GW857" s="4"/>
      <c r="GX857" s="4"/>
    </row>
    <row r="858">
      <c r="A858" s="2" t="s">
        <v>5103</v>
      </c>
      <c r="B858" s="2" t="s">
        <v>573</v>
      </c>
      <c r="C858" s="2" t="s">
        <v>360</v>
      </c>
      <c r="D858" s="2" t="s">
        <v>832</v>
      </c>
      <c r="E858" s="2" t="s">
        <v>833</v>
      </c>
      <c r="F858" s="2" t="s">
        <v>5091</v>
      </c>
      <c r="G858" s="2" t="s">
        <v>1301</v>
      </c>
      <c r="H858" s="2" t="s">
        <v>5092</v>
      </c>
      <c r="I858" s="2" t="s">
        <v>5093</v>
      </c>
      <c r="J858" s="2" t="s">
        <v>548</v>
      </c>
      <c r="K858" s="2" t="s">
        <v>5104</v>
      </c>
      <c r="L858" s="3">
        <v>199.5</v>
      </c>
      <c r="M858" s="3">
        <v>209.48</v>
      </c>
      <c r="N858" s="3">
        <v>419</v>
      </c>
      <c r="O858" s="2" t="s">
        <v>224</v>
      </c>
      <c r="P858" s="2" t="s">
        <v>580</v>
      </c>
      <c r="Q858" s="2" t="s">
        <v>226</v>
      </c>
      <c r="R858" s="2" t="s">
        <v>227</v>
      </c>
      <c r="S858" s="2" t="s">
        <v>227</v>
      </c>
      <c r="T858" s="2" t="s">
        <v>227</v>
      </c>
      <c r="U858" s="2" t="s">
        <v>552</v>
      </c>
      <c r="V858" s="2" t="s">
        <v>230</v>
      </c>
      <c r="W858" s="2" t="s">
        <v>676</v>
      </c>
      <c r="X858" s="2" t="s">
        <v>836</v>
      </c>
      <c r="Y858" s="2" t="s">
        <v>5105</v>
      </c>
      <c r="Z858" s="4">
        <v>144</v>
      </c>
      <c r="AA858" s="4">
        <f>=ROUNDDOWN(72,0)</f>
      </c>
      <c r="AB858" s="5">
        <v>2</v>
      </c>
      <c r="AC858" s="2" t="s">
        <v>227</v>
      </c>
      <c r="AD858" s="4"/>
      <c r="AE858" s="4"/>
      <c r="AF858" s="6">
        <v>66</v>
      </c>
      <c r="AG858" s="6">
        <v>49</v>
      </c>
      <c r="AH858" s="7">
        <v>1</v>
      </c>
      <c r="AI858" s="4"/>
      <c r="AJ858" s="4">
        <f>=ROUNDDOWN({0},0)</f>
      </c>
      <c r="AK858" s="5"/>
      <c r="AL858" s="2" t="s">
        <v>227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/>
      <c r="AW858" s="8"/>
      <c r="AX858" s="4"/>
      <c r="AY858" s="8"/>
      <c r="AZ858" s="7"/>
      <c r="BA858" s="7"/>
      <c r="BB858" s="7"/>
      <c r="BC858" s="4" t="s">
        <v>227</v>
      </c>
      <c r="BD858" s="8" t="s">
        <v>227</v>
      </c>
      <c r="BE858" s="4" t="s">
        <v>227</v>
      </c>
      <c r="BF858" s="8" t="s">
        <v>227</v>
      </c>
      <c r="BG858" s="7" t="s">
        <v>227</v>
      </c>
      <c r="BH858" s="7" t="s">
        <v>227</v>
      </c>
      <c r="BI858" s="7"/>
      <c r="BJ858" s="4">
        <v>3</v>
      </c>
      <c r="BK858" s="8">
        <v>497</v>
      </c>
      <c r="BL858" s="2" t="s">
        <v>1130</v>
      </c>
      <c r="BM858" s="7"/>
      <c r="BN858" s="7"/>
      <c r="BO858" s="4"/>
      <c r="BP858" s="8"/>
      <c r="BQ858" s="4"/>
      <c r="BR858" s="8"/>
      <c r="BS858" s="7"/>
      <c r="BT858" s="7"/>
      <c r="BU858" s="2" t="s">
        <v>5106</v>
      </c>
      <c r="BV858" s="2" t="s">
        <v>227</v>
      </c>
      <c r="BW858" s="2" t="s">
        <v>227</v>
      </c>
      <c r="BX858" s="2" t="s">
        <v>235</v>
      </c>
      <c r="BY858" s="2" t="s">
        <v>236</v>
      </c>
      <c r="BZ858" s="2" t="s">
        <v>224</v>
      </c>
      <c r="CA858" s="2" t="s">
        <v>4365</v>
      </c>
      <c r="CB858" s="2" t="s">
        <v>5107</v>
      </c>
      <c r="CC858" s="2" t="s">
        <v>239</v>
      </c>
      <c r="CD858" s="2" t="s">
        <v>227</v>
      </c>
      <c r="CE858" s="4"/>
      <c r="CF858" s="4">
        <v>123</v>
      </c>
      <c r="CG858" s="4"/>
      <c r="CH858" s="4">
        <v>21</v>
      </c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/>
      <c r="FD858" s="4"/>
      <c r="FE858" s="4"/>
      <c r="FF858" s="4"/>
      <c r="FG858" s="4"/>
      <c r="FH858" s="4"/>
      <c r="FI858" s="4"/>
      <c r="FJ858" s="4"/>
      <c r="FK858" s="4"/>
      <c r="FL858" s="4"/>
      <c r="FM858" s="4"/>
      <c r="FN858" s="4"/>
      <c r="FO858" s="4"/>
      <c r="FP858" s="4"/>
      <c r="FQ858" s="4"/>
      <c r="FR858" s="4"/>
      <c r="FS858" s="4"/>
      <c r="FT858" s="4"/>
      <c r="FU858" s="4"/>
      <c r="FV858" s="4"/>
      <c r="FW858" s="4"/>
      <c r="FX858" s="4"/>
      <c r="FY858" s="4"/>
      <c r="FZ858" s="4"/>
      <c r="GA858" s="4"/>
      <c r="GB858" s="4"/>
      <c r="GC858" s="4"/>
      <c r="GD858" s="4"/>
      <c r="GE858" s="4"/>
      <c r="GF858" s="4"/>
      <c r="GG858" s="4"/>
      <c r="GH858" s="4"/>
      <c r="GI858" s="4"/>
      <c r="GJ858" s="4"/>
      <c r="GK858" s="4"/>
      <c r="GL858" s="4"/>
      <c r="GM858" s="4"/>
      <c r="GN858" s="4"/>
      <c r="GO858" s="4"/>
      <c r="GP858" s="4"/>
      <c r="GQ858" s="4"/>
      <c r="GR858" s="4"/>
      <c r="GS858" s="4"/>
      <c r="GT858" s="4"/>
      <c r="GU858" s="4"/>
      <c r="GV858" s="4"/>
      <c r="GW858" s="4"/>
      <c r="GX858" s="4"/>
    </row>
    <row r="859">
      <c r="A859" s="2" t="s">
        <v>5108</v>
      </c>
      <c r="B859" s="2" t="s">
        <v>1001</v>
      </c>
      <c r="C859" s="2" t="s">
        <v>668</v>
      </c>
      <c r="D859" s="2" t="s">
        <v>3884</v>
      </c>
      <c r="E859" s="2" t="s">
        <v>3885</v>
      </c>
      <c r="F859" s="2" t="s">
        <v>5109</v>
      </c>
      <c r="G859" s="2" t="s">
        <v>5109</v>
      </c>
      <c r="H859" s="2" t="s">
        <v>5109</v>
      </c>
      <c r="I859" s="2" t="s">
        <v>5110</v>
      </c>
      <c r="J859" s="2" t="s">
        <v>548</v>
      </c>
      <c r="K859" s="2" t="s">
        <v>536</v>
      </c>
      <c r="L859" s="3">
        <v>89.35</v>
      </c>
      <c r="M859" s="3">
        <v>93.82</v>
      </c>
      <c r="N859" s="3">
        <v>199.99</v>
      </c>
      <c r="O859" s="2" t="s">
        <v>224</v>
      </c>
      <c r="P859" s="2" t="s">
        <v>580</v>
      </c>
      <c r="Q859" s="2" t="s">
        <v>226</v>
      </c>
      <c r="R859" s="2" t="s">
        <v>227</v>
      </c>
      <c r="S859" s="2" t="s">
        <v>227</v>
      </c>
      <c r="T859" s="2" t="s">
        <v>227</v>
      </c>
      <c r="U859" s="2" t="s">
        <v>227</v>
      </c>
      <c r="V859" s="2" t="s">
        <v>230</v>
      </c>
      <c r="W859" s="2" t="s">
        <v>4968</v>
      </c>
      <c r="X859" s="2" t="s">
        <v>227</v>
      </c>
      <c r="Y859" s="2" t="s">
        <v>2553</v>
      </c>
      <c r="Z859" s="4">
        <v>136</v>
      </c>
      <c r="AA859" s="4">
        <f>=ROUNDDOWN(151.111111111111,0)</f>
      </c>
      <c r="AB859" s="5">
        <v>0.9</v>
      </c>
      <c r="AC859" s="2" t="s">
        <v>227</v>
      </c>
      <c r="AD859" s="4"/>
      <c r="AE859" s="4"/>
      <c r="AF859" s="6">
        <v>65</v>
      </c>
      <c r="AG859" s="6"/>
      <c r="AH859" s="7">
        <v>1</v>
      </c>
      <c r="AI859" s="4"/>
      <c r="AJ859" s="4">
        <f>=ROUNDDOWN({0},0)</f>
      </c>
      <c r="AK859" s="5"/>
      <c r="AL859" s="2" t="s">
        <v>227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/>
      <c r="AW859" s="8"/>
      <c r="AX859" s="4"/>
      <c r="AY859" s="8"/>
      <c r="AZ859" s="7"/>
      <c r="BA859" s="7"/>
      <c r="BB859" s="7"/>
      <c r="BC859" s="4"/>
      <c r="BD859" s="8"/>
      <c r="BE859" s="4"/>
      <c r="BF859" s="8"/>
      <c r="BG859" s="7"/>
      <c r="BH859" s="7"/>
      <c r="BI859" s="7"/>
      <c r="BJ859" s="4">
        <v>5</v>
      </c>
      <c r="BK859" s="8">
        <v>462.24</v>
      </c>
      <c r="BL859" s="2" t="s">
        <v>5111</v>
      </c>
      <c r="BM859" s="7"/>
      <c r="BN859" s="7"/>
      <c r="BO859" s="4"/>
      <c r="BP859" s="8"/>
      <c r="BQ859" s="4"/>
      <c r="BR859" s="8"/>
      <c r="BS859" s="7"/>
      <c r="BT859" s="7"/>
      <c r="BU859" s="2" t="s">
        <v>5112</v>
      </c>
      <c r="BV859" s="2" t="s">
        <v>227</v>
      </c>
      <c r="BW859" s="2" t="s">
        <v>227</v>
      </c>
      <c r="BX859" s="2" t="s">
        <v>235</v>
      </c>
      <c r="BY859" s="2" t="s">
        <v>236</v>
      </c>
      <c r="BZ859" s="2" t="s">
        <v>224</v>
      </c>
      <c r="CA859" s="2" t="s">
        <v>5113</v>
      </c>
      <c r="CB859" s="2" t="s">
        <v>1877</v>
      </c>
      <c r="CC859" s="2" t="s">
        <v>239</v>
      </c>
      <c r="CD859" s="2" t="s">
        <v>227</v>
      </c>
      <c r="CE859" s="4">
        <v>2</v>
      </c>
      <c r="CF859" s="4">
        <v>134</v>
      </c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/>
      <c r="FD859" s="4"/>
      <c r="FE859" s="4"/>
      <c r="FF859" s="4"/>
      <c r="FG859" s="4"/>
      <c r="FH859" s="4"/>
      <c r="FI859" s="4"/>
      <c r="FJ859" s="4"/>
      <c r="FK859" s="4"/>
      <c r="FL859" s="4"/>
      <c r="FM859" s="4"/>
      <c r="FN859" s="4"/>
      <c r="FO859" s="4"/>
      <c r="FP859" s="4"/>
      <c r="FQ859" s="4"/>
      <c r="FR859" s="4"/>
      <c r="FS859" s="4"/>
      <c r="FT859" s="4"/>
      <c r="FU859" s="4"/>
      <c r="FV859" s="4"/>
      <c r="FW859" s="4"/>
      <c r="FX859" s="4"/>
      <c r="FY859" s="4"/>
      <c r="FZ859" s="4"/>
      <c r="GA859" s="4"/>
      <c r="GB859" s="4"/>
      <c r="GC859" s="4"/>
      <c r="GD859" s="4"/>
      <c r="GE859" s="4"/>
      <c r="GF859" s="4"/>
      <c r="GG859" s="4"/>
      <c r="GH859" s="4"/>
      <c r="GI859" s="4"/>
      <c r="GJ859" s="4"/>
      <c r="GK859" s="4"/>
      <c r="GL859" s="4"/>
      <c r="GM859" s="4"/>
      <c r="GN859" s="4"/>
      <c r="GO859" s="4"/>
      <c r="GP859" s="4"/>
      <c r="GQ859" s="4"/>
      <c r="GR859" s="4"/>
      <c r="GS859" s="4"/>
      <c r="GT859" s="4"/>
      <c r="GU859" s="4"/>
      <c r="GV859" s="4"/>
      <c r="GW859" s="4"/>
      <c r="GX859" s="4"/>
    </row>
    <row r="860">
      <c r="A860" s="2" t="s">
        <v>5114</v>
      </c>
      <c r="B860" s="2" t="s">
        <v>573</v>
      </c>
      <c r="C860" s="2" t="s">
        <v>360</v>
      </c>
      <c r="D860" s="2" t="s">
        <v>832</v>
      </c>
      <c r="E860" s="2" t="s">
        <v>833</v>
      </c>
      <c r="F860" s="2" t="s">
        <v>5115</v>
      </c>
      <c r="G860" s="2" t="s">
        <v>5116</v>
      </c>
      <c r="H860" s="2" t="s">
        <v>5117</v>
      </c>
      <c r="I860" s="2" t="s">
        <v>1415</v>
      </c>
      <c r="J860" s="2" t="s">
        <v>548</v>
      </c>
      <c r="K860" s="2" t="s">
        <v>1509</v>
      </c>
      <c r="L860" s="3">
        <v>171</v>
      </c>
      <c r="M860" s="3">
        <v>179.55</v>
      </c>
      <c r="N860" s="3">
        <v>359</v>
      </c>
      <c r="O860" s="2" t="s">
        <v>224</v>
      </c>
      <c r="P860" s="2" t="s">
        <v>225</v>
      </c>
      <c r="Q860" s="2" t="s">
        <v>226</v>
      </c>
      <c r="R860" s="2" t="s">
        <v>227</v>
      </c>
      <c r="S860" s="2" t="s">
        <v>5118</v>
      </c>
      <c r="T860" s="2" t="s">
        <v>227</v>
      </c>
      <c r="U860" s="2" t="s">
        <v>227</v>
      </c>
      <c r="V860" s="2" t="s">
        <v>230</v>
      </c>
      <c r="W860" s="2" t="s">
        <v>581</v>
      </c>
      <c r="X860" s="2" t="s">
        <v>227</v>
      </c>
      <c r="Y860" s="2" t="s">
        <v>5119</v>
      </c>
      <c r="Z860" s="4">
        <v>164</v>
      </c>
      <c r="AA860" s="4">
        <f>=ROUNDDOWN(33.469387755102,0)</f>
      </c>
      <c r="AB860" s="5">
        <v>4.9</v>
      </c>
      <c r="AC860" s="2" t="s">
        <v>227</v>
      </c>
      <c r="AD860" s="4"/>
      <c r="AE860" s="4"/>
      <c r="AF860" s="6">
        <v>74</v>
      </c>
      <c r="AG860" s="6"/>
      <c r="AH860" s="7">
        <v>1</v>
      </c>
      <c r="AI860" s="4"/>
      <c r="AJ860" s="4">
        <f>=ROUNDDOWN({0},0)</f>
      </c>
      <c r="AK860" s="5"/>
      <c r="AL860" s="2" t="s">
        <v>227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/>
      <c r="AW860" s="8"/>
      <c r="AX860" s="4"/>
      <c r="AY860" s="8"/>
      <c r="AZ860" s="7"/>
      <c r="BA860" s="7"/>
      <c r="BB860" s="7"/>
      <c r="BC860" s="4"/>
      <c r="BD860" s="8"/>
      <c r="BE860" s="4"/>
      <c r="BF860" s="8"/>
      <c r="BG860" s="7"/>
      <c r="BH860" s="7"/>
      <c r="BI860" s="7"/>
      <c r="BJ860" s="4">
        <v>7</v>
      </c>
      <c r="BK860" s="8">
        <v>1279.6</v>
      </c>
      <c r="BL860" s="2" t="s">
        <v>1860</v>
      </c>
      <c r="BM860" s="7"/>
      <c r="BN860" s="7"/>
      <c r="BO860" s="4"/>
      <c r="BP860" s="8"/>
      <c r="BQ860" s="4"/>
      <c r="BR860" s="8"/>
      <c r="BS860" s="7"/>
      <c r="BT860" s="7"/>
      <c r="BU860" s="2" t="s">
        <v>5120</v>
      </c>
      <c r="BV860" s="2" t="s">
        <v>227</v>
      </c>
      <c r="BW860" s="2" t="s">
        <v>227</v>
      </c>
      <c r="BX860" s="2" t="s">
        <v>235</v>
      </c>
      <c r="BY860" s="2" t="s">
        <v>236</v>
      </c>
      <c r="BZ860" s="2" t="s">
        <v>224</v>
      </c>
      <c r="CA860" s="2" t="s">
        <v>5121</v>
      </c>
      <c r="CB860" s="2" t="s">
        <v>2213</v>
      </c>
      <c r="CC860" s="2" t="s">
        <v>239</v>
      </c>
      <c r="CD860" s="2" t="s">
        <v>227</v>
      </c>
      <c r="CE860" s="4"/>
      <c r="CF860" s="4">
        <v>164</v>
      </c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/>
      <c r="FD860" s="4"/>
      <c r="FE860" s="4"/>
      <c r="FF860" s="4"/>
      <c r="FG860" s="4"/>
      <c r="FH860" s="4"/>
      <c r="FI860" s="4"/>
      <c r="FJ860" s="4"/>
      <c r="FK860" s="4"/>
      <c r="FL860" s="4"/>
      <c r="FM860" s="4"/>
      <c r="FN860" s="4"/>
      <c r="FO860" s="4"/>
      <c r="FP860" s="4"/>
      <c r="FQ860" s="4"/>
      <c r="FR860" s="4"/>
      <c r="FS860" s="4"/>
      <c r="FT860" s="4"/>
      <c r="FU860" s="4"/>
      <c r="FV860" s="4"/>
      <c r="FW860" s="4"/>
      <c r="FX860" s="4"/>
      <c r="FY860" s="4"/>
      <c r="FZ860" s="4"/>
      <c r="GA860" s="4"/>
      <c r="GB860" s="4"/>
      <c r="GC860" s="4"/>
      <c r="GD860" s="4"/>
      <c r="GE860" s="4"/>
      <c r="GF860" s="4"/>
      <c r="GG860" s="4"/>
      <c r="GH860" s="4"/>
      <c r="GI860" s="4"/>
      <c r="GJ860" s="4"/>
      <c r="GK860" s="4"/>
      <c r="GL860" s="4"/>
      <c r="GM860" s="4"/>
      <c r="GN860" s="4"/>
      <c r="GO860" s="4"/>
      <c r="GP860" s="4"/>
      <c r="GQ860" s="4"/>
      <c r="GR860" s="4"/>
      <c r="GS860" s="4"/>
      <c r="GT860" s="4"/>
      <c r="GU860" s="4"/>
      <c r="GV860" s="4"/>
      <c r="GW860" s="4"/>
      <c r="GX860" s="4"/>
    </row>
    <row r="861">
      <c r="A861" s="2" t="s">
        <v>5122</v>
      </c>
      <c r="B861" s="2" t="s">
        <v>697</v>
      </c>
      <c r="C861" s="2" t="s">
        <v>360</v>
      </c>
      <c r="D861" s="2" t="s">
        <v>868</v>
      </c>
      <c r="E861" s="2" t="s">
        <v>869</v>
      </c>
      <c r="F861" s="2" t="s">
        <v>5123</v>
      </c>
      <c r="G861" s="2" t="s">
        <v>5124</v>
      </c>
      <c r="H861" s="2" t="s">
        <v>5124</v>
      </c>
      <c r="I861" s="2" t="s">
        <v>5125</v>
      </c>
      <c r="J861" s="2" t="s">
        <v>2854</v>
      </c>
      <c r="K861" s="2" t="s">
        <v>410</v>
      </c>
      <c r="L861" s="3">
        <v>15.18</v>
      </c>
      <c r="M861" s="3">
        <v>15.94</v>
      </c>
      <c r="N861" s="3">
        <v>32.99</v>
      </c>
      <c r="O861" s="2" t="s">
        <v>224</v>
      </c>
      <c r="P861" s="2" t="s">
        <v>225</v>
      </c>
      <c r="Q861" s="2" t="s">
        <v>226</v>
      </c>
      <c r="R861" s="2" t="s">
        <v>227</v>
      </c>
      <c r="S861" s="2" t="s">
        <v>5126</v>
      </c>
      <c r="T861" s="2" t="s">
        <v>1698</v>
      </c>
      <c r="U861" s="2" t="s">
        <v>227</v>
      </c>
      <c r="V861" s="2" t="s">
        <v>230</v>
      </c>
      <c r="W861" s="2" t="s">
        <v>231</v>
      </c>
      <c r="X861" s="2" t="s">
        <v>227</v>
      </c>
      <c r="Y861" s="2" t="s">
        <v>232</v>
      </c>
      <c r="Z861" s="4">
        <v>825</v>
      </c>
      <c r="AA861" s="4">
        <f>=ROUNDDOWN(8.00970873786408,0)</f>
      </c>
      <c r="AB861" s="5">
        <v>103</v>
      </c>
      <c r="AC861" s="2" t="s">
        <v>1266</v>
      </c>
      <c r="AD861" s="4">
        <v>578</v>
      </c>
      <c r="AE861" s="4">
        <v>7120</v>
      </c>
      <c r="AF861" s="6">
        <v>65</v>
      </c>
      <c r="AG861" s="6"/>
      <c r="AH861" s="7">
        <v>1</v>
      </c>
      <c r="AI861" s="4"/>
      <c r="AJ861" s="4">
        <f>=ROUNDDOWN({0},0)</f>
      </c>
      <c r="AK861" s="5"/>
      <c r="AL861" s="2" t="s">
        <v>227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/>
      <c r="AW861" s="8"/>
      <c r="AX861" s="4"/>
      <c r="AY861" s="8"/>
      <c r="AZ861" s="7"/>
      <c r="BA861" s="7"/>
      <c r="BB861" s="7"/>
      <c r="BC861" s="4" t="s">
        <v>227</v>
      </c>
      <c r="BD861" s="8" t="s">
        <v>227</v>
      </c>
      <c r="BE861" s="4" t="s">
        <v>227</v>
      </c>
      <c r="BF861" s="8" t="s">
        <v>227</v>
      </c>
      <c r="BG861" s="7" t="s">
        <v>227</v>
      </c>
      <c r="BH861" s="7" t="s">
        <v>227</v>
      </c>
      <c r="BI861" s="7"/>
      <c r="BJ861" s="4">
        <v>179</v>
      </c>
      <c r="BK861" s="8">
        <v>2555.48</v>
      </c>
      <c r="BL861" s="2" t="s">
        <v>5127</v>
      </c>
      <c r="BM861" s="7"/>
      <c r="BN861" s="7"/>
      <c r="BO861" s="4"/>
      <c r="BP861" s="8"/>
      <c r="BQ861" s="4"/>
      <c r="BR861" s="8"/>
      <c r="BS861" s="7"/>
      <c r="BT861" s="7"/>
      <c r="BU861" s="2" t="s">
        <v>5128</v>
      </c>
      <c r="BV861" s="2" t="s">
        <v>227</v>
      </c>
      <c r="BW861" s="2" t="s">
        <v>227</v>
      </c>
      <c r="BX861" s="2" t="s">
        <v>235</v>
      </c>
      <c r="BY861" s="2" t="s">
        <v>236</v>
      </c>
      <c r="BZ861" s="2" t="s">
        <v>224</v>
      </c>
      <c r="CA861" s="2" t="s">
        <v>5129</v>
      </c>
      <c r="CB861" s="2" t="s">
        <v>2445</v>
      </c>
      <c r="CC861" s="2" t="s">
        <v>239</v>
      </c>
      <c r="CD861" s="2" t="s">
        <v>227</v>
      </c>
      <c r="CE861" s="4">
        <v>825</v>
      </c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>
        <v>578</v>
      </c>
      <c r="DS861" s="4"/>
      <c r="DT861" s="4"/>
      <c r="DU861" s="4"/>
      <c r="DV861" s="4"/>
      <c r="DW861" s="4">
        <v>1642</v>
      </c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>
        <v>90</v>
      </c>
      <c r="EY861" s="4"/>
      <c r="EZ861" s="4"/>
      <c r="FA861" s="4"/>
      <c r="FB861" s="4"/>
      <c r="FC861" s="4"/>
      <c r="FD861" s="4"/>
      <c r="FE861" s="4"/>
      <c r="FF861" s="4"/>
      <c r="FG861" s="4"/>
      <c r="FH861" s="4">
        <v>1750</v>
      </c>
      <c r="FI861" s="4"/>
      <c r="FJ861" s="4"/>
      <c r="FK861" s="4">
        <v>2430</v>
      </c>
      <c r="FL861" s="4"/>
      <c r="FM861" s="4"/>
      <c r="FN861" s="4"/>
      <c r="FO861" s="4"/>
      <c r="FP861" s="4"/>
      <c r="FQ861" s="4"/>
      <c r="FR861" s="4"/>
      <c r="FS861" s="4"/>
      <c r="FT861" s="4"/>
      <c r="FU861" s="4"/>
      <c r="FV861" s="4"/>
      <c r="FW861" s="4"/>
      <c r="FX861" s="4"/>
      <c r="FY861" s="4"/>
      <c r="FZ861" s="4"/>
      <c r="GA861" s="4"/>
      <c r="GB861" s="4"/>
      <c r="GC861" s="4"/>
      <c r="GD861" s="4"/>
      <c r="GE861" s="4"/>
      <c r="GF861" s="4"/>
      <c r="GG861" s="4"/>
      <c r="GH861" s="4"/>
      <c r="GI861" s="4">
        <v>630</v>
      </c>
      <c r="GJ861" s="4"/>
      <c r="GK861" s="4"/>
      <c r="GL861" s="4"/>
      <c r="GM861" s="4"/>
      <c r="GN861" s="4"/>
      <c r="GO861" s="4"/>
      <c r="GP861" s="4"/>
      <c r="GQ861" s="4"/>
      <c r="GR861" s="4"/>
      <c r="GS861" s="4"/>
      <c r="GT861" s="4"/>
      <c r="GU861" s="4"/>
      <c r="GV861" s="4"/>
      <c r="GW861" s="4"/>
      <c r="GX861" s="4"/>
    </row>
    <row r="862">
      <c r="A862" s="2" t="s">
        <v>5130</v>
      </c>
      <c r="B862" s="2" t="s">
        <v>697</v>
      </c>
      <c r="C862" s="2" t="s">
        <v>360</v>
      </c>
      <c r="D862" s="2" t="s">
        <v>868</v>
      </c>
      <c r="E862" s="2" t="s">
        <v>869</v>
      </c>
      <c r="F862" s="2" t="s">
        <v>5123</v>
      </c>
      <c r="G862" s="2" t="s">
        <v>5124</v>
      </c>
      <c r="H862" s="2" t="s">
        <v>5124</v>
      </c>
      <c r="I862" s="2" t="s">
        <v>5125</v>
      </c>
      <c r="J862" s="2" t="s">
        <v>2854</v>
      </c>
      <c r="K862" s="2" t="s">
        <v>363</v>
      </c>
      <c r="L862" s="3">
        <v>15.18</v>
      </c>
      <c r="M862" s="3">
        <v>15.94</v>
      </c>
      <c r="N862" s="3">
        <v>32.99</v>
      </c>
      <c r="O862" s="2" t="s">
        <v>224</v>
      </c>
      <c r="P862" s="2" t="s">
        <v>225</v>
      </c>
      <c r="Q862" s="2" t="s">
        <v>226</v>
      </c>
      <c r="R862" s="2" t="s">
        <v>227</v>
      </c>
      <c r="S862" s="2" t="s">
        <v>5131</v>
      </c>
      <c r="T862" s="2" t="s">
        <v>1698</v>
      </c>
      <c r="U862" s="2" t="s">
        <v>227</v>
      </c>
      <c r="V862" s="2" t="s">
        <v>230</v>
      </c>
      <c r="W862" s="2" t="s">
        <v>231</v>
      </c>
      <c r="X862" s="2" t="s">
        <v>227</v>
      </c>
      <c r="Y862" s="2" t="s">
        <v>232</v>
      </c>
      <c r="Z862" s="4">
        <v>501</v>
      </c>
      <c r="AA862" s="4">
        <f>=ROUNDDOWN(7.90220820189274,0)</f>
      </c>
      <c r="AB862" s="5">
        <v>63.4</v>
      </c>
      <c r="AC862" s="2" t="s">
        <v>1266</v>
      </c>
      <c r="AD862" s="4">
        <v>360</v>
      </c>
      <c r="AE862" s="4">
        <v>4430</v>
      </c>
      <c r="AF862" s="6">
        <v>65</v>
      </c>
      <c r="AG862" s="6"/>
      <c r="AH862" s="7">
        <v>1</v>
      </c>
      <c r="AI862" s="4"/>
      <c r="AJ862" s="4">
        <f>=ROUNDDOWN({0},0)</f>
      </c>
      <c r="AK862" s="5"/>
      <c r="AL862" s="2" t="s">
        <v>227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/>
      <c r="AW862" s="8"/>
      <c r="AX862" s="4"/>
      <c r="AY862" s="8"/>
      <c r="AZ862" s="7"/>
      <c r="BA862" s="7"/>
      <c r="BB862" s="7"/>
      <c r="BC862" s="4" t="s">
        <v>227</v>
      </c>
      <c r="BD862" s="8" t="s">
        <v>227</v>
      </c>
      <c r="BE862" s="4" t="s">
        <v>227</v>
      </c>
      <c r="BF862" s="8" t="s">
        <v>227</v>
      </c>
      <c r="BG862" s="7" t="s">
        <v>227</v>
      </c>
      <c r="BH862" s="7" t="s">
        <v>227</v>
      </c>
      <c r="BI862" s="7"/>
      <c r="BJ862" s="4">
        <v>105</v>
      </c>
      <c r="BK862" s="8">
        <v>1530.06</v>
      </c>
      <c r="BL862" s="2" t="s">
        <v>5127</v>
      </c>
      <c r="BM862" s="7"/>
      <c r="BN862" s="7"/>
      <c r="BO862" s="4"/>
      <c r="BP862" s="8"/>
      <c r="BQ862" s="4"/>
      <c r="BR862" s="8"/>
      <c r="BS862" s="7"/>
      <c r="BT862" s="7"/>
      <c r="BU862" s="2" t="s">
        <v>5132</v>
      </c>
      <c r="BV862" s="2" t="s">
        <v>227</v>
      </c>
      <c r="BW862" s="2" t="s">
        <v>227</v>
      </c>
      <c r="BX862" s="2" t="s">
        <v>235</v>
      </c>
      <c r="BY862" s="2" t="s">
        <v>236</v>
      </c>
      <c r="BZ862" s="2" t="s">
        <v>224</v>
      </c>
      <c r="CA862" s="2" t="s">
        <v>5129</v>
      </c>
      <c r="CB862" s="2" t="s">
        <v>5133</v>
      </c>
      <c r="CC862" s="2" t="s">
        <v>239</v>
      </c>
      <c r="CD862" s="2" t="s">
        <v>227</v>
      </c>
      <c r="CE862" s="4">
        <v>501</v>
      </c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>
        <v>360</v>
      </c>
      <c r="DS862" s="4"/>
      <c r="DT862" s="4"/>
      <c r="DU862" s="4"/>
      <c r="DV862" s="4"/>
      <c r="DW862" s="4">
        <v>1080</v>
      </c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/>
      <c r="FB862" s="4"/>
      <c r="FC862" s="4"/>
      <c r="FD862" s="4"/>
      <c r="FE862" s="4"/>
      <c r="FF862" s="4"/>
      <c r="FG862" s="4"/>
      <c r="FH862" s="4">
        <v>1090</v>
      </c>
      <c r="FI862" s="4"/>
      <c r="FJ862" s="4"/>
      <c r="FK862" s="4">
        <v>1510</v>
      </c>
      <c r="FL862" s="4"/>
      <c r="FM862" s="4"/>
      <c r="FN862" s="4"/>
      <c r="FO862" s="4"/>
      <c r="FP862" s="4"/>
      <c r="FQ862" s="4"/>
      <c r="FR862" s="4"/>
      <c r="FS862" s="4"/>
      <c r="FT862" s="4"/>
      <c r="FU862" s="4"/>
      <c r="FV862" s="4"/>
      <c r="FW862" s="4"/>
      <c r="FX862" s="4"/>
      <c r="FY862" s="4"/>
      <c r="FZ862" s="4"/>
      <c r="GA862" s="4"/>
      <c r="GB862" s="4"/>
      <c r="GC862" s="4"/>
      <c r="GD862" s="4"/>
      <c r="GE862" s="4"/>
      <c r="GF862" s="4"/>
      <c r="GG862" s="4"/>
      <c r="GH862" s="4"/>
      <c r="GI862" s="4">
        <v>390</v>
      </c>
      <c r="GJ862" s="4"/>
      <c r="GK862" s="4"/>
      <c r="GL862" s="4"/>
      <c r="GM862" s="4"/>
      <c r="GN862" s="4"/>
      <c r="GO862" s="4"/>
      <c r="GP862" s="4"/>
      <c r="GQ862" s="4"/>
      <c r="GR862" s="4"/>
      <c r="GS862" s="4"/>
      <c r="GT862" s="4"/>
      <c r="GU862" s="4"/>
      <c r="GV862" s="4"/>
      <c r="GW862" s="4"/>
      <c r="GX862" s="4"/>
    </row>
    <row r="863">
      <c r="A863" s="2" t="s">
        <v>5134</v>
      </c>
      <c r="B863" s="2" t="s">
        <v>697</v>
      </c>
      <c r="C863" s="2" t="s">
        <v>360</v>
      </c>
      <c r="D863" s="2" t="s">
        <v>868</v>
      </c>
      <c r="E863" s="2" t="s">
        <v>869</v>
      </c>
      <c r="F863" s="2" t="s">
        <v>5123</v>
      </c>
      <c r="G863" s="2" t="s">
        <v>5124</v>
      </c>
      <c r="H863" s="2" t="s">
        <v>5124</v>
      </c>
      <c r="I863" s="2" t="s">
        <v>5125</v>
      </c>
      <c r="J863" s="2" t="s">
        <v>2854</v>
      </c>
      <c r="K863" s="2" t="s">
        <v>657</v>
      </c>
      <c r="L863" s="3">
        <v>15.18</v>
      </c>
      <c r="M863" s="3">
        <v>15.94</v>
      </c>
      <c r="N863" s="3">
        <v>32.99</v>
      </c>
      <c r="O863" s="2" t="s">
        <v>224</v>
      </c>
      <c r="P863" s="2" t="s">
        <v>225</v>
      </c>
      <c r="Q863" s="2" t="s">
        <v>226</v>
      </c>
      <c r="R863" s="2" t="s">
        <v>227</v>
      </c>
      <c r="S863" s="2" t="s">
        <v>5135</v>
      </c>
      <c r="T863" s="2" t="s">
        <v>1698</v>
      </c>
      <c r="U863" s="2" t="s">
        <v>227</v>
      </c>
      <c r="V863" s="2" t="s">
        <v>230</v>
      </c>
      <c r="W863" s="2" t="s">
        <v>231</v>
      </c>
      <c r="X863" s="2" t="s">
        <v>227</v>
      </c>
      <c r="Y863" s="2" t="s">
        <v>232</v>
      </c>
      <c r="Z863" s="4">
        <v>469</v>
      </c>
      <c r="AA863" s="4">
        <f>=ROUNDDOWN(8.89943074003795,0)</f>
      </c>
      <c r="AB863" s="5">
        <v>52.7</v>
      </c>
      <c r="AC863" s="2" t="s">
        <v>1266</v>
      </c>
      <c r="AD863" s="4">
        <v>327</v>
      </c>
      <c r="AE863" s="4">
        <v>4030</v>
      </c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227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/>
      <c r="AW863" s="8"/>
      <c r="AX863" s="4"/>
      <c r="AY863" s="8"/>
      <c r="AZ863" s="7"/>
      <c r="BA863" s="7"/>
      <c r="BB863" s="7"/>
      <c r="BC863" s="4" t="s">
        <v>227</v>
      </c>
      <c r="BD863" s="8" t="s">
        <v>227</v>
      </c>
      <c r="BE863" s="4" t="s">
        <v>227</v>
      </c>
      <c r="BF863" s="8" t="s">
        <v>227</v>
      </c>
      <c r="BG863" s="7" t="s">
        <v>227</v>
      </c>
      <c r="BH863" s="7" t="s">
        <v>227</v>
      </c>
      <c r="BI863" s="7"/>
      <c r="BJ863" s="4">
        <v>88</v>
      </c>
      <c r="BK863" s="8">
        <v>1284.92</v>
      </c>
      <c r="BL863" s="2" t="s">
        <v>1290</v>
      </c>
      <c r="BM863" s="7"/>
      <c r="BN863" s="7"/>
      <c r="BO863" s="4"/>
      <c r="BP863" s="8"/>
      <c r="BQ863" s="4"/>
      <c r="BR863" s="8"/>
      <c r="BS863" s="7"/>
      <c r="BT863" s="7"/>
      <c r="BU863" s="2" t="s">
        <v>5136</v>
      </c>
      <c r="BV863" s="2" t="s">
        <v>227</v>
      </c>
      <c r="BW863" s="2" t="s">
        <v>227</v>
      </c>
      <c r="BX863" s="2" t="s">
        <v>235</v>
      </c>
      <c r="BY863" s="2" t="s">
        <v>236</v>
      </c>
      <c r="BZ863" s="2" t="s">
        <v>224</v>
      </c>
      <c r="CA863" s="2" t="s">
        <v>5129</v>
      </c>
      <c r="CB863" s="2" t="s">
        <v>5137</v>
      </c>
      <c r="CC863" s="2" t="s">
        <v>239</v>
      </c>
      <c r="CD863" s="2" t="s">
        <v>227</v>
      </c>
      <c r="CE863" s="4">
        <v>469</v>
      </c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>
        <v>327</v>
      </c>
      <c r="DS863" s="4"/>
      <c r="DT863" s="4"/>
      <c r="DU863" s="4"/>
      <c r="DV863" s="4"/>
      <c r="DW863" s="4">
        <v>983</v>
      </c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/>
      <c r="FB863" s="4"/>
      <c r="FC863" s="4"/>
      <c r="FD863" s="4"/>
      <c r="FE863" s="4"/>
      <c r="FF863" s="4"/>
      <c r="FG863" s="4"/>
      <c r="FH863" s="4">
        <v>990</v>
      </c>
      <c r="FI863" s="4"/>
      <c r="FJ863" s="4"/>
      <c r="FK863" s="4">
        <v>1370</v>
      </c>
      <c r="FL863" s="4"/>
      <c r="FM863" s="4"/>
      <c r="FN863" s="4"/>
      <c r="FO863" s="4"/>
      <c r="FP863" s="4"/>
      <c r="FQ863" s="4"/>
      <c r="FR863" s="4"/>
      <c r="FS863" s="4"/>
      <c r="FT863" s="4"/>
      <c r="FU863" s="4"/>
      <c r="FV863" s="4"/>
      <c r="FW863" s="4"/>
      <c r="FX863" s="4"/>
      <c r="FY863" s="4"/>
      <c r="FZ863" s="4"/>
      <c r="GA863" s="4"/>
      <c r="GB863" s="4"/>
      <c r="GC863" s="4"/>
      <c r="GD863" s="4"/>
      <c r="GE863" s="4"/>
      <c r="GF863" s="4"/>
      <c r="GG863" s="4"/>
      <c r="GH863" s="4"/>
      <c r="GI863" s="4">
        <v>360</v>
      </c>
      <c r="GJ863" s="4"/>
      <c r="GK863" s="4"/>
      <c r="GL863" s="4"/>
      <c r="GM863" s="4"/>
      <c r="GN863" s="4"/>
      <c r="GO863" s="4"/>
      <c r="GP863" s="4"/>
      <c r="GQ863" s="4"/>
      <c r="GR863" s="4"/>
      <c r="GS863" s="4"/>
      <c r="GT863" s="4"/>
      <c r="GU863" s="4"/>
      <c r="GV863" s="4"/>
      <c r="GW863" s="4"/>
      <c r="GX863" s="4"/>
    </row>
    <row r="864">
      <c r="A864" s="2" t="s">
        <v>5138</v>
      </c>
      <c r="B864" s="2" t="s">
        <v>573</v>
      </c>
      <c r="C864" s="2" t="s">
        <v>360</v>
      </c>
      <c r="D864" s="2" t="s">
        <v>3621</v>
      </c>
      <c r="E864" s="2" t="s">
        <v>5139</v>
      </c>
      <c r="F864" s="2" t="s">
        <v>5123</v>
      </c>
      <c r="G864" s="2" t="s">
        <v>5140</v>
      </c>
      <c r="H864" s="2" t="s">
        <v>5141</v>
      </c>
      <c r="I864" s="2" t="s">
        <v>5142</v>
      </c>
      <c r="J864" s="2" t="s">
        <v>548</v>
      </c>
      <c r="K864" s="2" t="s">
        <v>5143</v>
      </c>
      <c r="L864" s="3">
        <v>126.35</v>
      </c>
      <c r="M864" s="3">
        <v>132.67</v>
      </c>
      <c r="N864" s="3">
        <v>269</v>
      </c>
      <c r="O864" s="2" t="s">
        <v>224</v>
      </c>
      <c r="P864" s="2" t="s">
        <v>225</v>
      </c>
      <c r="Q864" s="2" t="s">
        <v>226</v>
      </c>
      <c r="R864" s="2" t="s">
        <v>227</v>
      </c>
      <c r="S864" s="2" t="s">
        <v>227</v>
      </c>
      <c r="T864" s="2" t="s">
        <v>227</v>
      </c>
      <c r="U864" s="2" t="s">
        <v>552</v>
      </c>
      <c r="V864" s="2" t="s">
        <v>230</v>
      </c>
      <c r="W864" s="2" t="s">
        <v>676</v>
      </c>
      <c r="X864" s="2" t="s">
        <v>836</v>
      </c>
      <c r="Y864" s="2" t="s">
        <v>4817</v>
      </c>
      <c r="Z864" s="4">
        <v>63</v>
      </c>
      <c r="AA864" s="4">
        <f>=ROUNDDOWN(9,0)</f>
      </c>
      <c r="AB864" s="5">
        <v>7</v>
      </c>
      <c r="AC864" s="2" t="s">
        <v>839</v>
      </c>
      <c r="AD864" s="4">
        <v>200</v>
      </c>
      <c r="AE864" s="4">
        <v>200</v>
      </c>
      <c r="AF864" s="6">
        <v>74</v>
      </c>
      <c r="AG864" s="6">
        <v>60</v>
      </c>
      <c r="AH864" s="7">
        <v>1</v>
      </c>
      <c r="AI864" s="4"/>
      <c r="AJ864" s="4">
        <f>=ROUNDDOWN({0},0)</f>
      </c>
      <c r="AK864" s="5"/>
      <c r="AL864" s="2" t="s">
        <v>227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 t="s">
        <v>227</v>
      </c>
      <c r="BD864" s="8" t="s">
        <v>227</v>
      </c>
      <c r="BE864" s="4" t="s">
        <v>227</v>
      </c>
      <c r="BF864" s="8" t="s">
        <v>227</v>
      </c>
      <c r="BG864" s="7" t="s">
        <v>227</v>
      </c>
      <c r="BH864" s="7" t="s">
        <v>227</v>
      </c>
      <c r="BI864" s="7"/>
      <c r="BJ864" s="4">
        <v>25</v>
      </c>
      <c r="BK864" s="8">
        <v>2993.12</v>
      </c>
      <c r="BL864" s="2" t="s">
        <v>5144</v>
      </c>
      <c r="BM864" s="7"/>
      <c r="BN864" s="7"/>
      <c r="BO864" s="4"/>
      <c r="BP864" s="8"/>
      <c r="BQ864" s="4"/>
      <c r="BR864" s="8"/>
      <c r="BS864" s="7"/>
      <c r="BT864" s="7"/>
      <c r="BU864" s="2" t="s">
        <v>5145</v>
      </c>
      <c r="BV864" s="2" t="s">
        <v>227</v>
      </c>
      <c r="BW864" s="2" t="s">
        <v>227</v>
      </c>
      <c r="BX864" s="2" t="s">
        <v>711</v>
      </c>
      <c r="BY864" s="2" t="s">
        <v>236</v>
      </c>
      <c r="BZ864" s="2" t="s">
        <v>224</v>
      </c>
      <c r="CA864" s="2" t="s">
        <v>4817</v>
      </c>
      <c r="CB864" s="2" t="s">
        <v>5146</v>
      </c>
      <c r="CC864" s="2" t="s">
        <v>239</v>
      </c>
      <c r="CD864" s="2" t="s">
        <v>227</v>
      </c>
      <c r="CE864" s="4"/>
      <c r="CF864" s="4">
        <v>63</v>
      </c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>
        <v>200</v>
      </c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/>
      <c r="FB864" s="4"/>
      <c r="FC864" s="4"/>
      <c r="FD864" s="4"/>
      <c r="FE864" s="4"/>
      <c r="FF864" s="4"/>
      <c r="FG864" s="4"/>
      <c r="FH864" s="4"/>
      <c r="FI864" s="4"/>
      <c r="FJ864" s="4"/>
      <c r="FK864" s="4"/>
      <c r="FL864" s="4"/>
      <c r="FM864" s="4"/>
      <c r="FN864" s="4"/>
      <c r="FO864" s="4"/>
      <c r="FP864" s="4"/>
      <c r="FQ864" s="4"/>
      <c r="FR864" s="4"/>
      <c r="FS864" s="4"/>
      <c r="FT864" s="4"/>
      <c r="FU864" s="4"/>
      <c r="FV864" s="4"/>
      <c r="FW864" s="4"/>
      <c r="FX864" s="4"/>
      <c r="FY864" s="4"/>
      <c r="FZ864" s="4"/>
      <c r="GA864" s="4"/>
      <c r="GB864" s="4"/>
      <c r="GC864" s="4"/>
      <c r="GD864" s="4"/>
      <c r="GE864" s="4"/>
      <c r="GF864" s="4"/>
      <c r="GG864" s="4"/>
      <c r="GH864" s="4"/>
      <c r="GI864" s="4"/>
      <c r="GJ864" s="4"/>
      <c r="GK864" s="4"/>
      <c r="GL864" s="4"/>
      <c r="GM864" s="4"/>
      <c r="GN864" s="4"/>
      <c r="GO864" s="4"/>
      <c r="GP864" s="4"/>
      <c r="GQ864" s="4"/>
      <c r="GR864" s="4"/>
      <c r="GS864" s="4"/>
      <c r="GT864" s="4"/>
      <c r="GU864" s="4"/>
      <c r="GV864" s="4"/>
      <c r="GW864" s="4"/>
      <c r="GX864" s="4"/>
    </row>
    <row r="865">
      <c r="A865" s="2" t="s">
        <v>5147</v>
      </c>
      <c r="B865" s="2" t="s">
        <v>697</v>
      </c>
      <c r="C865" s="2" t="s">
        <v>279</v>
      </c>
      <c r="D865" s="2" t="s">
        <v>687</v>
      </c>
      <c r="E865" s="2" t="s">
        <v>688</v>
      </c>
      <c r="F865" s="2" t="s">
        <v>5148</v>
      </c>
      <c r="G865" s="2" t="s">
        <v>5149</v>
      </c>
      <c r="H865" s="2" t="s">
        <v>5149</v>
      </c>
      <c r="I865" s="2" t="s">
        <v>5150</v>
      </c>
      <c r="J865" s="2" t="s">
        <v>682</v>
      </c>
      <c r="K865" s="2" t="s">
        <v>2664</v>
      </c>
      <c r="L865" s="3">
        <v>30</v>
      </c>
      <c r="M865" s="3">
        <v>31.5</v>
      </c>
      <c r="N865" s="3">
        <v>59.99</v>
      </c>
      <c r="O865" s="2" t="s">
        <v>224</v>
      </c>
      <c r="P865" s="2" t="s">
        <v>225</v>
      </c>
      <c r="Q865" s="2" t="s">
        <v>226</v>
      </c>
      <c r="R865" s="2" t="s">
        <v>227</v>
      </c>
      <c r="S865" s="2" t="s">
        <v>5151</v>
      </c>
      <c r="T865" s="2" t="s">
        <v>375</v>
      </c>
      <c r="U865" s="2" t="s">
        <v>674</v>
      </c>
      <c r="V865" s="2" t="s">
        <v>782</v>
      </c>
      <c r="W865" s="2" t="s">
        <v>705</v>
      </c>
      <c r="X865" s="2" t="s">
        <v>227</v>
      </c>
      <c r="Y865" s="2" t="s">
        <v>2471</v>
      </c>
      <c r="Z865" s="4">
        <v>211</v>
      </c>
      <c r="AA865" s="4">
        <f>=ROUNDDOWN(30.1428571428571,0)</f>
      </c>
      <c r="AB865" s="5">
        <v>7</v>
      </c>
      <c r="AC865" s="2" t="s">
        <v>151</v>
      </c>
      <c r="AD865" s="4">
        <v>30</v>
      </c>
      <c r="AE865" s="4">
        <v>245</v>
      </c>
      <c r="AF865" s="6">
        <v>65</v>
      </c>
      <c r="AG865" s="6"/>
      <c r="AH865" s="7">
        <v>1</v>
      </c>
      <c r="AI865" s="4"/>
      <c r="AJ865" s="4">
        <f>=ROUNDDOWN({0},0)</f>
      </c>
      <c r="AK865" s="5"/>
      <c r="AL865" s="2" t="s">
        <v>227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/>
      <c r="AW865" s="8"/>
      <c r="AX865" s="4"/>
      <c r="AY865" s="8"/>
      <c r="AZ865" s="7"/>
      <c r="BA865" s="7"/>
      <c r="BB865" s="7"/>
      <c r="BC865" s="4" t="s">
        <v>227</v>
      </c>
      <c r="BD865" s="8" t="s">
        <v>227</v>
      </c>
      <c r="BE865" s="4" t="s">
        <v>227</v>
      </c>
      <c r="BF865" s="8" t="s">
        <v>227</v>
      </c>
      <c r="BG865" s="7" t="s">
        <v>227</v>
      </c>
      <c r="BH865" s="7" t="s">
        <v>227</v>
      </c>
      <c r="BI865" s="7"/>
      <c r="BJ865" s="4">
        <v>15</v>
      </c>
      <c r="BK865" s="8">
        <v>411.61</v>
      </c>
      <c r="BL865" s="2" t="s">
        <v>2057</v>
      </c>
      <c r="BM865" s="7"/>
      <c r="BN865" s="7"/>
      <c r="BO865" s="4"/>
      <c r="BP865" s="8"/>
      <c r="BQ865" s="4"/>
      <c r="BR865" s="8"/>
      <c r="BS865" s="7"/>
      <c r="BT865" s="7"/>
      <c r="BU865" s="2" t="s">
        <v>5152</v>
      </c>
      <c r="BV865" s="2" t="s">
        <v>227</v>
      </c>
      <c r="BW865" s="2" t="s">
        <v>227</v>
      </c>
      <c r="BX865" s="2" t="s">
        <v>235</v>
      </c>
      <c r="BY865" s="2" t="s">
        <v>236</v>
      </c>
      <c r="BZ865" s="2" t="s">
        <v>224</v>
      </c>
      <c r="CA865" s="2" t="s">
        <v>2936</v>
      </c>
      <c r="CB865" s="2" t="s">
        <v>5153</v>
      </c>
      <c r="CC865" s="2" t="s">
        <v>239</v>
      </c>
      <c r="CD865" s="2" t="s">
        <v>227</v>
      </c>
      <c r="CE865" s="4">
        <v>210</v>
      </c>
      <c r="CF865" s="4"/>
      <c r="CG865" s="4"/>
      <c r="CH865" s="4">
        <v>1</v>
      </c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>
        <v>30</v>
      </c>
      <c r="EN865" s="4"/>
      <c r="EO865" s="4"/>
      <c r="EP865" s="4"/>
      <c r="EQ865" s="4"/>
      <c r="ER865" s="4"/>
      <c r="ES865" s="4">
        <v>85</v>
      </c>
      <c r="ET865" s="4"/>
      <c r="EU865" s="4"/>
      <c r="EV865" s="4"/>
      <c r="EW865" s="4"/>
      <c r="EX865" s="4"/>
      <c r="EY865" s="4"/>
      <c r="EZ865" s="4"/>
      <c r="FA865" s="4"/>
      <c r="FB865" s="4">
        <v>90</v>
      </c>
      <c r="FC865" s="4"/>
      <c r="FD865" s="4"/>
      <c r="FE865" s="4"/>
      <c r="FF865" s="4"/>
      <c r="FG865" s="4"/>
      <c r="FH865" s="4"/>
      <c r="FI865" s="4"/>
      <c r="FJ865" s="4"/>
      <c r="FK865" s="4"/>
      <c r="FL865" s="4"/>
      <c r="FM865" s="4"/>
      <c r="FN865" s="4"/>
      <c r="FO865" s="4"/>
      <c r="FP865" s="4"/>
      <c r="FQ865" s="4"/>
      <c r="FR865" s="4"/>
      <c r="FS865" s="4"/>
      <c r="FT865" s="4"/>
      <c r="FU865" s="4"/>
      <c r="FV865" s="4"/>
      <c r="FW865" s="4"/>
      <c r="FX865" s="4"/>
      <c r="FY865" s="4"/>
      <c r="FZ865" s="4"/>
      <c r="GA865" s="4"/>
      <c r="GB865" s="4"/>
      <c r="GC865" s="4"/>
      <c r="GD865" s="4"/>
      <c r="GE865" s="4"/>
      <c r="GF865" s="4"/>
      <c r="GG865" s="4"/>
      <c r="GH865" s="4"/>
      <c r="GI865" s="4"/>
      <c r="GJ865" s="4"/>
      <c r="GK865" s="4"/>
      <c r="GL865" s="4"/>
      <c r="GM865" s="4"/>
      <c r="GN865" s="4"/>
      <c r="GO865" s="4"/>
      <c r="GP865" s="4"/>
      <c r="GQ865" s="4"/>
      <c r="GR865" s="4"/>
      <c r="GS865" s="4"/>
      <c r="GT865" s="4"/>
      <c r="GU865" s="4"/>
      <c r="GV865" s="4"/>
      <c r="GW865" s="4"/>
      <c r="GX865" s="4">
        <v>40</v>
      </c>
    </row>
    <row r="866">
      <c r="A866" s="2" t="s">
        <v>5154</v>
      </c>
      <c r="B866" s="2" t="s">
        <v>697</v>
      </c>
      <c r="C866" s="2" t="s">
        <v>279</v>
      </c>
      <c r="D866" s="2" t="s">
        <v>687</v>
      </c>
      <c r="E866" s="2" t="s">
        <v>688</v>
      </c>
      <c r="F866" s="2" t="s">
        <v>5148</v>
      </c>
      <c r="G866" s="2" t="s">
        <v>5149</v>
      </c>
      <c r="H866" s="2" t="s">
        <v>5149</v>
      </c>
      <c r="I866" s="2" t="s">
        <v>5150</v>
      </c>
      <c r="J866" s="2" t="s">
        <v>626</v>
      </c>
      <c r="K866" s="2" t="s">
        <v>410</v>
      </c>
      <c r="L866" s="3">
        <v>25</v>
      </c>
      <c r="M866" s="3">
        <v>26.25</v>
      </c>
      <c r="N866" s="3">
        <v>49.99</v>
      </c>
      <c r="O866" s="2" t="s">
        <v>224</v>
      </c>
      <c r="P866" s="2" t="s">
        <v>225</v>
      </c>
      <c r="Q866" s="2" t="s">
        <v>226</v>
      </c>
      <c r="R866" s="2" t="s">
        <v>227</v>
      </c>
      <c r="S866" s="2" t="s">
        <v>5155</v>
      </c>
      <c r="T866" s="2" t="s">
        <v>375</v>
      </c>
      <c r="U866" s="2" t="s">
        <v>674</v>
      </c>
      <c r="V866" s="2" t="s">
        <v>782</v>
      </c>
      <c r="W866" s="2" t="s">
        <v>705</v>
      </c>
      <c r="X866" s="2" t="s">
        <v>227</v>
      </c>
      <c r="Y866" s="2" t="s">
        <v>5156</v>
      </c>
      <c r="Z866" s="4">
        <v>600</v>
      </c>
      <c r="AA866" s="4">
        <f>=ROUNDDOWN(23.0769230769231,0)</f>
      </c>
      <c r="AB866" s="5">
        <v>26</v>
      </c>
      <c r="AC866" s="2" t="s">
        <v>708</v>
      </c>
      <c r="AD866" s="4">
        <v>150</v>
      </c>
      <c r="AE866" s="4">
        <v>1090</v>
      </c>
      <c r="AF866" s="6">
        <v>65</v>
      </c>
      <c r="AG866" s="6">
        <v>48</v>
      </c>
      <c r="AH866" s="7">
        <v>1</v>
      </c>
      <c r="AI866" s="4"/>
      <c r="AJ866" s="4">
        <f>=ROUNDDOWN({0},0)</f>
      </c>
      <c r="AK866" s="5"/>
      <c r="AL866" s="2" t="s">
        <v>227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227</v>
      </c>
      <c r="AW866" s="8" t="s">
        <v>227</v>
      </c>
      <c r="AX866" s="4" t="s">
        <v>227</v>
      </c>
      <c r="AY866" s="8" t="s">
        <v>227</v>
      </c>
      <c r="AZ866" s="7" t="s">
        <v>227</v>
      </c>
      <c r="BA866" s="7" t="s">
        <v>227</v>
      </c>
      <c r="BB866" s="7"/>
      <c r="BC866" s="4" t="s">
        <v>227</v>
      </c>
      <c r="BD866" s="8" t="s">
        <v>227</v>
      </c>
      <c r="BE866" s="4" t="s">
        <v>227</v>
      </c>
      <c r="BF866" s="8" t="s">
        <v>227</v>
      </c>
      <c r="BG866" s="7" t="s">
        <v>227</v>
      </c>
      <c r="BH866" s="7" t="s">
        <v>227</v>
      </c>
      <c r="BI866" s="7"/>
      <c r="BJ866" s="4">
        <v>117</v>
      </c>
      <c r="BK866" s="8">
        <v>2744.45</v>
      </c>
      <c r="BL866" s="2" t="s">
        <v>5157</v>
      </c>
      <c r="BM866" s="7"/>
      <c r="BN866" s="7"/>
      <c r="BO866" s="4"/>
      <c r="BP866" s="8"/>
      <c r="BQ866" s="4"/>
      <c r="BR866" s="8"/>
      <c r="BS866" s="7"/>
      <c r="BT866" s="7"/>
      <c r="BU866" s="2" t="s">
        <v>5158</v>
      </c>
      <c r="BV866" s="2" t="s">
        <v>227</v>
      </c>
      <c r="BW866" s="2" t="s">
        <v>227</v>
      </c>
      <c r="BX866" s="2" t="s">
        <v>235</v>
      </c>
      <c r="BY866" s="2" t="s">
        <v>236</v>
      </c>
      <c r="BZ866" s="2" t="s">
        <v>224</v>
      </c>
      <c r="CA866" s="2" t="s">
        <v>5156</v>
      </c>
      <c r="CB866" s="2" t="s">
        <v>2251</v>
      </c>
      <c r="CC866" s="2" t="s">
        <v>239</v>
      </c>
      <c r="CD866" s="2" t="s">
        <v>227</v>
      </c>
      <c r="CE866" s="4">
        <v>465</v>
      </c>
      <c r="CF866" s="4"/>
      <c r="CG866" s="4"/>
      <c r="CH866" s="4">
        <v>135</v>
      </c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>
        <v>150</v>
      </c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>
        <v>100</v>
      </c>
      <c r="ED866" s="4"/>
      <c r="EE866" s="4"/>
      <c r="EF866" s="4"/>
      <c r="EG866" s="4"/>
      <c r="EH866" s="4"/>
      <c r="EI866" s="4"/>
      <c r="EJ866" s="4"/>
      <c r="EK866" s="4"/>
      <c r="EL866" s="4"/>
      <c r="EM866" s="4">
        <v>190</v>
      </c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/>
      <c r="FB866" s="4">
        <v>400</v>
      </c>
      <c r="FC866" s="4"/>
      <c r="FD866" s="4"/>
      <c r="FE866" s="4"/>
      <c r="FF866" s="4"/>
      <c r="FG866" s="4">
        <v>250</v>
      </c>
      <c r="FH866" s="4"/>
      <c r="FI866" s="4"/>
      <c r="FJ866" s="4"/>
      <c r="FK866" s="4"/>
      <c r="FL866" s="4"/>
      <c r="FM866" s="4"/>
      <c r="FN866" s="4"/>
      <c r="FO866" s="4"/>
      <c r="FP866" s="4"/>
      <c r="FQ866" s="4"/>
      <c r="FR866" s="4"/>
      <c r="FS866" s="4"/>
      <c r="FT866" s="4"/>
      <c r="FU866" s="4"/>
      <c r="FV866" s="4"/>
      <c r="FW866" s="4"/>
      <c r="FX866" s="4"/>
      <c r="FY866" s="4"/>
      <c r="FZ866" s="4"/>
      <c r="GA866" s="4"/>
      <c r="GB866" s="4"/>
      <c r="GC866" s="4"/>
      <c r="GD866" s="4"/>
      <c r="GE866" s="4"/>
      <c r="GF866" s="4"/>
      <c r="GG866" s="4"/>
      <c r="GH866" s="4"/>
      <c r="GI866" s="4"/>
      <c r="GJ866" s="4"/>
      <c r="GK866" s="4"/>
      <c r="GL866" s="4"/>
      <c r="GM866" s="4"/>
      <c r="GN866" s="4"/>
      <c r="GO866" s="4"/>
      <c r="GP866" s="4"/>
      <c r="GQ866" s="4"/>
      <c r="GR866" s="4"/>
      <c r="GS866" s="4"/>
      <c r="GT866" s="4"/>
      <c r="GU866" s="4"/>
      <c r="GV866" s="4"/>
      <c r="GW866" s="4"/>
      <c r="GX866" s="4"/>
    </row>
    <row r="867">
      <c r="A867" s="2" t="s">
        <v>5159</v>
      </c>
      <c r="B867" s="2" t="s">
        <v>697</v>
      </c>
      <c r="C867" s="2" t="s">
        <v>279</v>
      </c>
      <c r="D867" s="2" t="s">
        <v>687</v>
      </c>
      <c r="E867" s="2" t="s">
        <v>688</v>
      </c>
      <c r="F867" s="2" t="s">
        <v>5148</v>
      </c>
      <c r="G867" s="2" t="s">
        <v>5149</v>
      </c>
      <c r="H867" s="2" t="s">
        <v>5149</v>
      </c>
      <c r="I867" s="2" t="s">
        <v>5150</v>
      </c>
      <c r="J867" s="2" t="s">
        <v>682</v>
      </c>
      <c r="K867" s="2" t="s">
        <v>410</v>
      </c>
      <c r="L867" s="3">
        <v>30</v>
      </c>
      <c r="M867" s="3">
        <v>31.5</v>
      </c>
      <c r="N867" s="3">
        <v>59.99</v>
      </c>
      <c r="O867" s="2" t="s">
        <v>224</v>
      </c>
      <c r="P867" s="2" t="s">
        <v>225</v>
      </c>
      <c r="Q867" s="2" t="s">
        <v>226</v>
      </c>
      <c r="R867" s="2" t="s">
        <v>227</v>
      </c>
      <c r="S867" s="2" t="s">
        <v>5155</v>
      </c>
      <c r="T867" s="2" t="s">
        <v>375</v>
      </c>
      <c r="U867" s="2" t="s">
        <v>674</v>
      </c>
      <c r="V867" s="2" t="s">
        <v>782</v>
      </c>
      <c r="W867" s="2" t="s">
        <v>705</v>
      </c>
      <c r="X867" s="2" t="s">
        <v>227</v>
      </c>
      <c r="Y867" s="2" t="s">
        <v>5156</v>
      </c>
      <c r="Z867" s="4">
        <v>323</v>
      </c>
      <c r="AA867" s="4">
        <f>=ROUNDDOWN(24.8461538461538,0)</f>
      </c>
      <c r="AB867" s="5">
        <v>13</v>
      </c>
      <c r="AC867" s="2" t="s">
        <v>708</v>
      </c>
      <c r="AD867" s="4">
        <v>150</v>
      </c>
      <c r="AE867" s="4">
        <v>400</v>
      </c>
      <c r="AF867" s="6">
        <v>65</v>
      </c>
      <c r="AG867" s="6"/>
      <c r="AH867" s="7">
        <v>1</v>
      </c>
      <c r="AI867" s="4"/>
      <c r="AJ867" s="4">
        <f>=ROUNDDOWN({0},0)</f>
      </c>
      <c r="AK867" s="5"/>
      <c r="AL867" s="2" t="s">
        <v>227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227</v>
      </c>
      <c r="AW867" s="8" t="s">
        <v>227</v>
      </c>
      <c r="AX867" s="4" t="s">
        <v>227</v>
      </c>
      <c r="AY867" s="8" t="s">
        <v>227</v>
      </c>
      <c r="AZ867" s="7" t="s">
        <v>227</v>
      </c>
      <c r="BA867" s="7" t="s">
        <v>227</v>
      </c>
      <c r="BB867" s="7"/>
      <c r="BC867" s="4" t="s">
        <v>227</v>
      </c>
      <c r="BD867" s="8" t="s">
        <v>227</v>
      </c>
      <c r="BE867" s="4" t="s">
        <v>227</v>
      </c>
      <c r="BF867" s="8" t="s">
        <v>227</v>
      </c>
      <c r="BG867" s="7" t="s">
        <v>227</v>
      </c>
      <c r="BH867" s="7" t="s">
        <v>227</v>
      </c>
      <c r="BI867" s="7"/>
      <c r="BJ867" s="4">
        <v>36</v>
      </c>
      <c r="BK867" s="8">
        <v>1030.2</v>
      </c>
      <c r="BL867" s="2" t="s">
        <v>5160</v>
      </c>
      <c r="BM867" s="7"/>
      <c r="BN867" s="7"/>
      <c r="BO867" s="4"/>
      <c r="BP867" s="8"/>
      <c r="BQ867" s="4"/>
      <c r="BR867" s="8"/>
      <c r="BS867" s="7"/>
      <c r="BT867" s="7"/>
      <c r="BU867" s="2" t="s">
        <v>5161</v>
      </c>
      <c r="BV867" s="2" t="s">
        <v>227</v>
      </c>
      <c r="BW867" s="2" t="s">
        <v>227</v>
      </c>
      <c r="BX867" s="2" t="s">
        <v>235</v>
      </c>
      <c r="BY867" s="2" t="s">
        <v>236</v>
      </c>
      <c r="BZ867" s="2" t="s">
        <v>224</v>
      </c>
      <c r="CA867" s="2" t="s">
        <v>5156</v>
      </c>
      <c r="CB867" s="2" t="s">
        <v>2112</v>
      </c>
      <c r="CC867" s="2" t="s">
        <v>239</v>
      </c>
      <c r="CD867" s="2" t="s">
        <v>227</v>
      </c>
      <c r="CE867" s="4">
        <v>323</v>
      </c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>
        <v>150</v>
      </c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>
        <v>50</v>
      </c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>
        <v>200</v>
      </c>
      <c r="FC867" s="4"/>
      <c r="FD867" s="4"/>
      <c r="FE867" s="4"/>
      <c r="FF867" s="4"/>
      <c r="FG867" s="4"/>
      <c r="FH867" s="4"/>
      <c r="FI867" s="4"/>
      <c r="FJ867" s="4"/>
      <c r="FK867" s="4"/>
      <c r="FL867" s="4"/>
      <c r="FM867" s="4"/>
      <c r="FN867" s="4"/>
      <c r="FO867" s="4"/>
      <c r="FP867" s="4"/>
      <c r="FQ867" s="4"/>
      <c r="FR867" s="4"/>
      <c r="FS867" s="4"/>
      <c r="FT867" s="4"/>
      <c r="FU867" s="4"/>
      <c r="FV867" s="4"/>
      <c r="FW867" s="4"/>
      <c r="FX867" s="4"/>
      <c r="FY867" s="4"/>
      <c r="FZ867" s="4"/>
      <c r="GA867" s="4"/>
      <c r="GB867" s="4"/>
      <c r="GC867" s="4"/>
      <c r="GD867" s="4"/>
      <c r="GE867" s="4"/>
      <c r="GF867" s="4"/>
      <c r="GG867" s="4"/>
      <c r="GH867" s="4"/>
      <c r="GI867" s="4"/>
      <c r="GJ867" s="4"/>
      <c r="GK867" s="4"/>
      <c r="GL867" s="4"/>
      <c r="GM867" s="4"/>
      <c r="GN867" s="4"/>
      <c r="GO867" s="4"/>
      <c r="GP867" s="4"/>
      <c r="GQ867" s="4"/>
      <c r="GR867" s="4"/>
      <c r="GS867" s="4"/>
      <c r="GT867" s="4"/>
      <c r="GU867" s="4"/>
      <c r="GV867" s="4"/>
      <c r="GW867" s="4"/>
      <c r="GX867" s="4"/>
    </row>
    <row r="868">
      <c r="A868" s="2" t="s">
        <v>5162</v>
      </c>
      <c r="B868" s="2" t="s">
        <v>542</v>
      </c>
      <c r="C868" s="2" t="s">
        <v>668</v>
      </c>
      <c r="D868" s="2" t="s">
        <v>1039</v>
      </c>
      <c r="E868" s="2" t="s">
        <v>1377</v>
      </c>
      <c r="F868" s="2" t="s">
        <v>5163</v>
      </c>
      <c r="G868" s="2" t="s">
        <v>5163</v>
      </c>
      <c r="H868" s="2" t="s">
        <v>5163</v>
      </c>
      <c r="I868" s="2" t="s">
        <v>5164</v>
      </c>
      <c r="J868" s="2" t="s">
        <v>548</v>
      </c>
      <c r="K868" s="2" t="s">
        <v>4063</v>
      </c>
      <c r="L868" s="3">
        <v>52.38</v>
      </c>
      <c r="M868" s="3">
        <v>55</v>
      </c>
      <c r="N868" s="3">
        <v>109.99</v>
      </c>
      <c r="O868" s="2" t="s">
        <v>224</v>
      </c>
      <c r="P868" s="2" t="s">
        <v>580</v>
      </c>
      <c r="Q868" s="2" t="s">
        <v>226</v>
      </c>
      <c r="R868" s="2" t="s">
        <v>227</v>
      </c>
      <c r="S868" s="2" t="s">
        <v>227</v>
      </c>
      <c r="T868" s="2" t="s">
        <v>227</v>
      </c>
      <c r="U868" s="2" t="s">
        <v>552</v>
      </c>
      <c r="V868" s="2" t="s">
        <v>945</v>
      </c>
      <c r="W868" s="2" t="s">
        <v>836</v>
      </c>
      <c r="X868" s="2" t="s">
        <v>676</v>
      </c>
      <c r="Y868" s="2" t="s">
        <v>4822</v>
      </c>
      <c r="Z868" s="4">
        <v>59</v>
      </c>
      <c r="AA868" s="4">
        <f>=ROUNDDOWN(29.5,0)</f>
      </c>
      <c r="AB868" s="5">
        <v>2</v>
      </c>
      <c r="AC868" s="2" t="s">
        <v>227</v>
      </c>
      <c r="AD868" s="4"/>
      <c r="AE868" s="4"/>
      <c r="AF868" s="6">
        <v>63</v>
      </c>
      <c r="AG868" s="6"/>
      <c r="AH868" s="7">
        <v>1</v>
      </c>
      <c r="AI868" s="4"/>
      <c r="AJ868" s="4">
        <f>=ROUNDDOWN({0},0)</f>
      </c>
      <c r="AK868" s="5"/>
      <c r="AL868" s="2" t="s">
        <v>227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/>
      <c r="AW868" s="8"/>
      <c r="AX868" s="4"/>
      <c r="AY868" s="8"/>
      <c r="AZ868" s="7"/>
      <c r="BA868" s="7"/>
      <c r="BB868" s="7"/>
      <c r="BC868" s="4"/>
      <c r="BD868" s="8"/>
      <c r="BE868" s="4"/>
      <c r="BF868" s="8"/>
      <c r="BG868" s="7"/>
      <c r="BH868" s="7"/>
      <c r="BI868" s="7"/>
      <c r="BJ868" s="4">
        <v>12</v>
      </c>
      <c r="BK868" s="8">
        <v>702.16</v>
      </c>
      <c r="BL868" s="2" t="s">
        <v>1155</v>
      </c>
      <c r="BM868" s="7"/>
      <c r="BN868" s="7"/>
      <c r="BO868" s="4"/>
      <c r="BP868" s="8"/>
      <c r="BQ868" s="4"/>
      <c r="BR868" s="8"/>
      <c r="BS868" s="7"/>
      <c r="BT868" s="7"/>
      <c r="BU868" s="2" t="s">
        <v>5165</v>
      </c>
      <c r="BV868" s="2" t="s">
        <v>227</v>
      </c>
      <c r="BW868" s="2" t="s">
        <v>227</v>
      </c>
      <c r="BX868" s="2" t="s">
        <v>235</v>
      </c>
      <c r="BY868" s="2" t="s">
        <v>236</v>
      </c>
      <c r="BZ868" s="2" t="s">
        <v>224</v>
      </c>
      <c r="CA868" s="2" t="s">
        <v>995</v>
      </c>
      <c r="CB868" s="2" t="s">
        <v>3667</v>
      </c>
      <c r="CC868" s="2" t="s">
        <v>239</v>
      </c>
      <c r="CD868" s="2" t="s">
        <v>227</v>
      </c>
      <c r="CE868" s="4"/>
      <c r="CF868" s="4">
        <v>59</v>
      </c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/>
      <c r="FA868" s="4"/>
      <c r="FB868" s="4"/>
      <c r="FC868" s="4"/>
      <c r="FD868" s="4"/>
      <c r="FE868" s="4"/>
      <c r="FF868" s="4"/>
      <c r="FG868" s="4"/>
      <c r="FH868" s="4"/>
      <c r="FI868" s="4"/>
      <c r="FJ868" s="4"/>
      <c r="FK868" s="4"/>
      <c r="FL868" s="4"/>
      <c r="FM868" s="4"/>
      <c r="FN868" s="4"/>
      <c r="FO868" s="4"/>
      <c r="FP868" s="4"/>
      <c r="FQ868" s="4"/>
      <c r="FR868" s="4"/>
      <c r="FS868" s="4"/>
      <c r="FT868" s="4"/>
      <c r="FU868" s="4"/>
      <c r="FV868" s="4"/>
      <c r="FW868" s="4"/>
      <c r="FX868" s="4"/>
      <c r="FY868" s="4"/>
      <c r="FZ868" s="4"/>
      <c r="GA868" s="4"/>
      <c r="GB868" s="4"/>
      <c r="GC868" s="4"/>
      <c r="GD868" s="4"/>
      <c r="GE868" s="4"/>
      <c r="GF868" s="4"/>
      <c r="GG868" s="4"/>
      <c r="GH868" s="4"/>
      <c r="GI868" s="4"/>
      <c r="GJ868" s="4"/>
      <c r="GK868" s="4"/>
      <c r="GL868" s="4"/>
      <c r="GM868" s="4"/>
      <c r="GN868" s="4"/>
      <c r="GO868" s="4"/>
      <c r="GP868" s="4"/>
      <c r="GQ868" s="4"/>
      <c r="GR868" s="4"/>
      <c r="GS868" s="4"/>
      <c r="GT868" s="4"/>
      <c r="GU868" s="4"/>
      <c r="GV868" s="4"/>
      <c r="GW868" s="4"/>
      <c r="GX868" s="4"/>
    </row>
    <row r="869">
      <c r="A869" s="2" t="s">
        <v>5166</v>
      </c>
      <c r="B869" s="2" t="s">
        <v>573</v>
      </c>
      <c r="C869" s="2" t="s">
        <v>1139</v>
      </c>
      <c r="D869" s="2" t="s">
        <v>832</v>
      </c>
      <c r="E869" s="2" t="s">
        <v>5167</v>
      </c>
      <c r="F869" s="2" t="s">
        <v>5168</v>
      </c>
      <c r="G869" s="2" t="s">
        <v>5168</v>
      </c>
      <c r="H869" s="2" t="s">
        <v>5168</v>
      </c>
      <c r="I869" s="2" t="s">
        <v>5169</v>
      </c>
      <c r="J869" s="2" t="s">
        <v>548</v>
      </c>
      <c r="K869" s="2" t="s">
        <v>1477</v>
      </c>
      <c r="L869" s="3">
        <v>118.75</v>
      </c>
      <c r="M869" s="3">
        <v>124.69</v>
      </c>
      <c r="N869" s="3">
        <v>249</v>
      </c>
      <c r="O869" s="2" t="s">
        <v>224</v>
      </c>
      <c r="P869" s="2" t="s">
        <v>225</v>
      </c>
      <c r="Q869" s="2" t="s">
        <v>226</v>
      </c>
      <c r="R869" s="2" t="s">
        <v>227</v>
      </c>
      <c r="S869" s="2" t="s">
        <v>227</v>
      </c>
      <c r="T869" s="2" t="s">
        <v>227</v>
      </c>
      <c r="U869" s="2" t="s">
        <v>552</v>
      </c>
      <c r="V869" s="2" t="s">
        <v>566</v>
      </c>
      <c r="W869" s="2" t="s">
        <v>581</v>
      </c>
      <c r="X869" s="2" t="s">
        <v>231</v>
      </c>
      <c r="Y869" s="2" t="s">
        <v>3017</v>
      </c>
      <c r="Z869" s="4">
        <v>3</v>
      </c>
      <c r="AA869" s="4">
        <f>=ROUNDDOWN(0.0967741935483871,0)</f>
      </c>
      <c r="AB869" s="5">
        <v>31</v>
      </c>
      <c r="AC869" s="2" t="s">
        <v>160</v>
      </c>
      <c r="AD869" s="4">
        <v>280</v>
      </c>
      <c r="AE869" s="4">
        <v>814</v>
      </c>
      <c r="AF869" s="6">
        <v>74</v>
      </c>
      <c r="AG869" s="6"/>
      <c r="AH869" s="7">
        <v>0</v>
      </c>
      <c r="AI869" s="4"/>
      <c r="AJ869" s="4">
        <f>=ROUNDDOWN({0},0)</f>
      </c>
      <c r="AK869" s="5"/>
      <c r="AL869" s="2" t="s">
        <v>227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/>
      <c r="AW869" s="8"/>
      <c r="AX869" s="4"/>
      <c r="AY869" s="8"/>
      <c r="AZ869" s="7"/>
      <c r="BA869" s="7"/>
      <c r="BB869" s="7"/>
      <c r="BC869" s="4"/>
      <c r="BD869" s="8"/>
      <c r="BE869" s="4"/>
      <c r="BF869" s="8"/>
      <c r="BG869" s="7"/>
      <c r="BH869" s="7"/>
      <c r="BI869" s="7"/>
      <c r="BJ869" s="4">
        <v>1</v>
      </c>
      <c r="BK869" s="8">
        <v>147</v>
      </c>
      <c r="BL869" s="2" t="s">
        <v>367</v>
      </c>
      <c r="BM869" s="7"/>
      <c r="BN869" s="7"/>
      <c r="BO869" s="4"/>
      <c r="BP869" s="8"/>
      <c r="BQ869" s="4"/>
      <c r="BR869" s="8"/>
      <c r="BS869" s="7"/>
      <c r="BT869" s="7"/>
      <c r="BU869" s="2" t="s">
        <v>1621</v>
      </c>
      <c r="BV869" s="2" t="s">
        <v>227</v>
      </c>
      <c r="BW869" s="2" t="s">
        <v>227</v>
      </c>
      <c r="BX869" s="2" t="s">
        <v>235</v>
      </c>
      <c r="BY869" s="2" t="s">
        <v>5170</v>
      </c>
      <c r="BZ869" s="2" t="s">
        <v>224</v>
      </c>
      <c r="CA869" s="2" t="s">
        <v>227</v>
      </c>
      <c r="CB869" s="2" t="s">
        <v>227</v>
      </c>
      <c r="CC869" s="2" t="s">
        <v>239</v>
      </c>
      <c r="CD869" s="2" t="s">
        <v>227</v>
      </c>
      <c r="CE869" s="4"/>
      <c r="CF869" s="4">
        <v>3</v>
      </c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>
        <v>280</v>
      </c>
      <c r="EW869" s="4"/>
      <c r="EX869" s="4"/>
      <c r="EY869" s="4"/>
      <c r="EZ869" s="4"/>
      <c r="FA869" s="4"/>
      <c r="FB869" s="4"/>
      <c r="FC869" s="4"/>
      <c r="FD869" s="4"/>
      <c r="FE869" s="4"/>
      <c r="FF869" s="4"/>
      <c r="FG869" s="4"/>
      <c r="FH869" s="4"/>
      <c r="FI869" s="4"/>
      <c r="FJ869" s="4"/>
      <c r="FK869" s="4"/>
      <c r="FL869" s="4"/>
      <c r="FM869" s="4"/>
      <c r="FN869" s="4"/>
      <c r="FO869" s="4">
        <v>420</v>
      </c>
      <c r="FP869" s="4"/>
      <c r="FQ869" s="4"/>
      <c r="FR869" s="4">
        <v>114</v>
      </c>
      <c r="FS869" s="4"/>
      <c r="FT869" s="4"/>
      <c r="FU869" s="4"/>
      <c r="FV869" s="4"/>
      <c r="FW869" s="4"/>
      <c r="FX869" s="4"/>
      <c r="FY869" s="4"/>
      <c r="FZ869" s="4"/>
      <c r="GA869" s="4"/>
      <c r="GB869" s="4"/>
      <c r="GC869" s="4"/>
      <c r="GD869" s="4"/>
      <c r="GE869" s="4"/>
      <c r="GF869" s="4"/>
      <c r="GG869" s="4"/>
      <c r="GH869" s="4"/>
      <c r="GI869" s="4"/>
      <c r="GJ869" s="4"/>
      <c r="GK869" s="4"/>
      <c r="GL869" s="4"/>
      <c r="GM869" s="4"/>
      <c r="GN869" s="4"/>
      <c r="GO869" s="4"/>
      <c r="GP869" s="4"/>
      <c r="GQ869" s="4"/>
      <c r="GR869" s="4"/>
      <c r="GS869" s="4"/>
      <c r="GT869" s="4"/>
      <c r="GU869" s="4"/>
      <c r="GV869" s="4"/>
      <c r="GW869" s="4"/>
      <c r="GX869" s="4"/>
    </row>
    <row r="870">
      <c r="A870" s="2" t="s">
        <v>5171</v>
      </c>
      <c r="B870" s="2" t="s">
        <v>278</v>
      </c>
      <c r="C870" s="2" t="s">
        <v>360</v>
      </c>
      <c r="D870" s="2" t="s">
        <v>280</v>
      </c>
      <c r="E870" s="2" t="s">
        <v>281</v>
      </c>
      <c r="F870" s="2" t="s">
        <v>5172</v>
      </c>
      <c r="G870" s="2" t="s">
        <v>5172</v>
      </c>
      <c r="H870" s="2" t="s">
        <v>5172</v>
      </c>
      <c r="I870" s="2" t="s">
        <v>5173</v>
      </c>
      <c r="J870" s="2" t="s">
        <v>252</v>
      </c>
      <c r="K870" s="2" t="s">
        <v>410</v>
      </c>
      <c r="L870" s="3">
        <v>29.9</v>
      </c>
      <c r="M870" s="3">
        <v>31.4</v>
      </c>
      <c r="N870" s="3">
        <v>64.99</v>
      </c>
      <c r="O870" s="2" t="s">
        <v>224</v>
      </c>
      <c r="P870" s="2" t="s">
        <v>225</v>
      </c>
      <c r="Q870" s="2" t="s">
        <v>226</v>
      </c>
      <c r="R870" s="2" t="s">
        <v>227</v>
      </c>
      <c r="S870" s="2" t="s">
        <v>5174</v>
      </c>
      <c r="T870" s="2" t="s">
        <v>286</v>
      </c>
      <c r="U870" s="2" t="s">
        <v>287</v>
      </c>
      <c r="V870" s="2" t="s">
        <v>230</v>
      </c>
      <c r="W870" s="2" t="s">
        <v>231</v>
      </c>
      <c r="X870" s="2" t="s">
        <v>227</v>
      </c>
      <c r="Y870" s="2" t="s">
        <v>5175</v>
      </c>
      <c r="Z870" s="4">
        <v>110</v>
      </c>
      <c r="AA870" s="4">
        <f>=ROUNDDOWN(13.75,0)</f>
      </c>
      <c r="AB870" s="5">
        <v>8</v>
      </c>
      <c r="AC870" s="2" t="s">
        <v>167</v>
      </c>
      <c r="AD870" s="4">
        <v>186</v>
      </c>
      <c r="AE870" s="4">
        <v>186</v>
      </c>
      <c r="AF870" s="6">
        <v>69</v>
      </c>
      <c r="AG870" s="6"/>
      <c r="AH870" s="7">
        <v>1</v>
      </c>
      <c r="AI870" s="4"/>
      <c r="AJ870" s="4">
        <f>=ROUNDDOWN({0},0)</f>
      </c>
      <c r="AK870" s="5"/>
      <c r="AL870" s="2" t="s">
        <v>227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/>
      <c r="AW870" s="8"/>
      <c r="AX870" s="4"/>
      <c r="AY870" s="8"/>
      <c r="AZ870" s="7"/>
      <c r="BA870" s="7"/>
      <c r="BB870" s="7"/>
      <c r="BC870" s="4" t="s">
        <v>227</v>
      </c>
      <c r="BD870" s="8" t="s">
        <v>227</v>
      </c>
      <c r="BE870" s="4" t="s">
        <v>227</v>
      </c>
      <c r="BF870" s="8" t="s">
        <v>227</v>
      </c>
      <c r="BG870" s="7" t="s">
        <v>227</v>
      </c>
      <c r="BH870" s="7" t="s">
        <v>227</v>
      </c>
      <c r="BI870" s="7"/>
      <c r="BJ870" s="4">
        <v>20</v>
      </c>
      <c r="BK870" s="8">
        <v>665.99</v>
      </c>
      <c r="BL870" s="2" t="s">
        <v>5176</v>
      </c>
      <c r="BM870" s="7"/>
      <c r="BN870" s="7"/>
      <c r="BO870" s="4"/>
      <c r="BP870" s="8"/>
      <c r="BQ870" s="4"/>
      <c r="BR870" s="8"/>
      <c r="BS870" s="7"/>
      <c r="BT870" s="7"/>
      <c r="BU870" s="2" t="s">
        <v>5177</v>
      </c>
      <c r="BV870" s="2" t="s">
        <v>227</v>
      </c>
      <c r="BW870" s="2" t="s">
        <v>227</v>
      </c>
      <c r="BX870" s="2" t="s">
        <v>235</v>
      </c>
      <c r="BY870" s="2" t="s">
        <v>236</v>
      </c>
      <c r="BZ870" s="2" t="s">
        <v>224</v>
      </c>
      <c r="CA870" s="2" t="s">
        <v>3358</v>
      </c>
      <c r="CB870" s="2" t="s">
        <v>5178</v>
      </c>
      <c r="CC870" s="2" t="s">
        <v>239</v>
      </c>
      <c r="CD870" s="2" t="s">
        <v>227</v>
      </c>
      <c r="CE870" s="4">
        <v>110</v>
      </c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/>
      <c r="FB870" s="4"/>
      <c r="FC870" s="4">
        <v>186</v>
      </c>
      <c r="FD870" s="4"/>
      <c r="FE870" s="4"/>
      <c r="FF870" s="4"/>
      <c r="FG870" s="4"/>
      <c r="FH870" s="4"/>
      <c r="FI870" s="4"/>
      <c r="FJ870" s="4"/>
      <c r="FK870" s="4"/>
      <c r="FL870" s="4"/>
      <c r="FM870" s="4"/>
      <c r="FN870" s="4"/>
      <c r="FO870" s="4"/>
      <c r="FP870" s="4"/>
      <c r="FQ870" s="4"/>
      <c r="FR870" s="4"/>
      <c r="FS870" s="4"/>
      <c r="FT870" s="4"/>
      <c r="FU870" s="4"/>
      <c r="FV870" s="4"/>
      <c r="FW870" s="4"/>
      <c r="FX870" s="4"/>
      <c r="FY870" s="4"/>
      <c r="FZ870" s="4"/>
      <c r="GA870" s="4"/>
      <c r="GB870" s="4"/>
      <c r="GC870" s="4"/>
      <c r="GD870" s="4"/>
      <c r="GE870" s="4"/>
      <c r="GF870" s="4"/>
      <c r="GG870" s="4"/>
      <c r="GH870" s="4"/>
      <c r="GI870" s="4"/>
      <c r="GJ870" s="4"/>
      <c r="GK870" s="4"/>
      <c r="GL870" s="4"/>
      <c r="GM870" s="4"/>
      <c r="GN870" s="4"/>
      <c r="GO870" s="4"/>
      <c r="GP870" s="4"/>
      <c r="GQ870" s="4"/>
      <c r="GR870" s="4"/>
      <c r="GS870" s="4"/>
      <c r="GT870" s="4"/>
      <c r="GU870" s="4"/>
      <c r="GV870" s="4"/>
      <c r="GW870" s="4"/>
      <c r="GX870" s="4"/>
    </row>
    <row r="871">
      <c r="A871" s="2" t="s">
        <v>5179</v>
      </c>
      <c r="B871" s="2" t="s">
        <v>278</v>
      </c>
      <c r="C871" s="2" t="s">
        <v>360</v>
      </c>
      <c r="D871" s="2" t="s">
        <v>280</v>
      </c>
      <c r="E871" s="2" t="s">
        <v>281</v>
      </c>
      <c r="F871" s="2" t="s">
        <v>5172</v>
      </c>
      <c r="G871" s="2" t="s">
        <v>5172</v>
      </c>
      <c r="H871" s="2" t="s">
        <v>5172</v>
      </c>
      <c r="I871" s="2" t="s">
        <v>5173</v>
      </c>
      <c r="J871" s="2" t="s">
        <v>257</v>
      </c>
      <c r="K871" s="2" t="s">
        <v>363</v>
      </c>
      <c r="L871" s="3">
        <v>32.2</v>
      </c>
      <c r="M871" s="3">
        <v>33.81</v>
      </c>
      <c r="N871" s="3">
        <v>69.99</v>
      </c>
      <c r="O871" s="2" t="s">
        <v>224</v>
      </c>
      <c r="P871" s="2" t="s">
        <v>225</v>
      </c>
      <c r="Q871" s="2" t="s">
        <v>226</v>
      </c>
      <c r="R871" s="2" t="s">
        <v>227</v>
      </c>
      <c r="S871" s="2" t="s">
        <v>5180</v>
      </c>
      <c r="T871" s="2" t="s">
        <v>286</v>
      </c>
      <c r="U871" s="2" t="s">
        <v>287</v>
      </c>
      <c r="V871" s="2" t="s">
        <v>230</v>
      </c>
      <c r="W871" s="2" t="s">
        <v>231</v>
      </c>
      <c r="X871" s="2" t="s">
        <v>227</v>
      </c>
      <c r="Y871" s="2" t="s">
        <v>5175</v>
      </c>
      <c r="Z871" s="4">
        <v>138</v>
      </c>
      <c r="AA871" s="4">
        <f>=ROUNDDOWN(19.7142857142857,0)</f>
      </c>
      <c r="AB871" s="5">
        <v>7</v>
      </c>
      <c r="AC871" s="2" t="s">
        <v>167</v>
      </c>
      <c r="AD871" s="4">
        <v>130</v>
      </c>
      <c r="AE871" s="4">
        <v>150</v>
      </c>
      <c r="AF871" s="6">
        <v>69</v>
      </c>
      <c r="AG871" s="6"/>
      <c r="AH871" s="7">
        <v>1</v>
      </c>
      <c r="AI871" s="4"/>
      <c r="AJ871" s="4">
        <f>=ROUNDDOWN({0},0)</f>
      </c>
      <c r="AK871" s="5"/>
      <c r="AL871" s="2" t="s">
        <v>227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/>
      <c r="AW871" s="8"/>
      <c r="AX871" s="4"/>
      <c r="AY871" s="8"/>
      <c r="AZ871" s="7"/>
      <c r="BA871" s="7"/>
      <c r="BB871" s="7"/>
      <c r="BC871" s="4" t="s">
        <v>227</v>
      </c>
      <c r="BD871" s="8" t="s">
        <v>227</v>
      </c>
      <c r="BE871" s="4" t="s">
        <v>227</v>
      </c>
      <c r="BF871" s="8" t="s">
        <v>227</v>
      </c>
      <c r="BG871" s="7" t="s">
        <v>227</v>
      </c>
      <c r="BH871" s="7" t="s">
        <v>227</v>
      </c>
      <c r="BI871" s="7"/>
      <c r="BJ871" s="4">
        <v>33</v>
      </c>
      <c r="BK871" s="8">
        <v>1186.91</v>
      </c>
      <c r="BL871" s="2" t="s">
        <v>5181</v>
      </c>
      <c r="BM871" s="7"/>
      <c r="BN871" s="7"/>
      <c r="BO871" s="4"/>
      <c r="BP871" s="8"/>
      <c r="BQ871" s="4"/>
      <c r="BR871" s="8"/>
      <c r="BS871" s="7"/>
      <c r="BT871" s="7"/>
      <c r="BU871" s="2" t="s">
        <v>5182</v>
      </c>
      <c r="BV871" s="2" t="s">
        <v>227</v>
      </c>
      <c r="BW871" s="2" t="s">
        <v>227</v>
      </c>
      <c r="BX871" s="2" t="s">
        <v>235</v>
      </c>
      <c r="BY871" s="2" t="s">
        <v>236</v>
      </c>
      <c r="BZ871" s="2" t="s">
        <v>224</v>
      </c>
      <c r="CA871" s="2" t="s">
        <v>3358</v>
      </c>
      <c r="CB871" s="2" t="s">
        <v>4912</v>
      </c>
      <c r="CC871" s="2" t="s">
        <v>239</v>
      </c>
      <c r="CD871" s="2" t="s">
        <v>227</v>
      </c>
      <c r="CE871" s="4">
        <v>138</v>
      </c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/>
      <c r="FB871" s="4"/>
      <c r="FC871" s="4">
        <v>130</v>
      </c>
      <c r="FD871" s="4"/>
      <c r="FE871" s="4"/>
      <c r="FF871" s="4"/>
      <c r="FG871" s="4"/>
      <c r="FH871" s="4"/>
      <c r="FI871" s="4"/>
      <c r="FJ871" s="4"/>
      <c r="FK871" s="4"/>
      <c r="FL871" s="4"/>
      <c r="FM871" s="4"/>
      <c r="FN871" s="4"/>
      <c r="FO871" s="4"/>
      <c r="FP871" s="4"/>
      <c r="FQ871" s="4"/>
      <c r="FR871" s="4"/>
      <c r="FS871" s="4"/>
      <c r="FT871" s="4"/>
      <c r="FU871" s="4"/>
      <c r="FV871" s="4"/>
      <c r="FW871" s="4"/>
      <c r="FX871" s="4"/>
      <c r="FY871" s="4"/>
      <c r="FZ871" s="4"/>
      <c r="GA871" s="4"/>
      <c r="GB871" s="4"/>
      <c r="GC871" s="4"/>
      <c r="GD871" s="4"/>
      <c r="GE871" s="4"/>
      <c r="GF871" s="4"/>
      <c r="GG871" s="4"/>
      <c r="GH871" s="4"/>
      <c r="GI871" s="4"/>
      <c r="GJ871" s="4"/>
      <c r="GK871" s="4"/>
      <c r="GL871" s="4"/>
      <c r="GM871" s="4"/>
      <c r="GN871" s="4"/>
      <c r="GO871" s="4"/>
      <c r="GP871" s="4"/>
      <c r="GQ871" s="4">
        <v>20</v>
      </c>
      <c r="GR871" s="4"/>
      <c r="GS871" s="4"/>
      <c r="GT871" s="4"/>
      <c r="GU871" s="4"/>
      <c r="GV871" s="4"/>
      <c r="GW871" s="4"/>
      <c r="GX871" s="4"/>
    </row>
    <row r="872">
      <c r="A872" s="2" t="s">
        <v>5183</v>
      </c>
      <c r="B872" s="2" t="s">
        <v>278</v>
      </c>
      <c r="C872" s="2" t="s">
        <v>360</v>
      </c>
      <c r="D872" s="2" t="s">
        <v>280</v>
      </c>
      <c r="E872" s="2" t="s">
        <v>281</v>
      </c>
      <c r="F872" s="2" t="s">
        <v>5172</v>
      </c>
      <c r="G872" s="2" t="s">
        <v>5172</v>
      </c>
      <c r="H872" s="2" t="s">
        <v>5172</v>
      </c>
      <c r="I872" s="2" t="s">
        <v>5173</v>
      </c>
      <c r="J872" s="2" t="s">
        <v>384</v>
      </c>
      <c r="K872" s="2" t="s">
        <v>2068</v>
      </c>
      <c r="L872" s="3">
        <v>32.2</v>
      </c>
      <c r="M872" s="3">
        <v>33.81</v>
      </c>
      <c r="N872" s="3">
        <v>69.99</v>
      </c>
      <c r="O872" s="2" t="s">
        <v>224</v>
      </c>
      <c r="P872" s="2" t="s">
        <v>225</v>
      </c>
      <c r="Q872" s="2" t="s">
        <v>226</v>
      </c>
      <c r="R872" s="2" t="s">
        <v>227</v>
      </c>
      <c r="S872" s="2" t="s">
        <v>5184</v>
      </c>
      <c r="T872" s="2" t="s">
        <v>286</v>
      </c>
      <c r="U872" s="2" t="s">
        <v>287</v>
      </c>
      <c r="V872" s="2" t="s">
        <v>230</v>
      </c>
      <c r="W872" s="2" t="s">
        <v>231</v>
      </c>
      <c r="X872" s="2" t="s">
        <v>227</v>
      </c>
      <c r="Y872" s="2" t="s">
        <v>5175</v>
      </c>
      <c r="Z872" s="4">
        <v>28</v>
      </c>
      <c r="AA872" s="4">
        <f>=ROUNDDOWN(7,0)</f>
      </c>
      <c r="AB872" s="5">
        <v>4</v>
      </c>
      <c r="AC872" s="2" t="s">
        <v>1224</v>
      </c>
      <c r="AD872" s="4">
        <v>30</v>
      </c>
      <c r="AE872" s="4">
        <v>100</v>
      </c>
      <c r="AF872" s="6">
        <v>69</v>
      </c>
      <c r="AG872" s="6"/>
      <c r="AH872" s="7">
        <v>1</v>
      </c>
      <c r="AI872" s="4"/>
      <c r="AJ872" s="4">
        <f>=ROUNDDOWN({0},0)</f>
      </c>
      <c r="AK872" s="5"/>
      <c r="AL872" s="2" t="s">
        <v>227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/>
      <c r="AW872" s="8"/>
      <c r="AX872" s="4"/>
      <c r="AY872" s="8"/>
      <c r="AZ872" s="7"/>
      <c r="BA872" s="7"/>
      <c r="BB872" s="7"/>
      <c r="BC872" s="4" t="s">
        <v>227</v>
      </c>
      <c r="BD872" s="8" t="s">
        <v>227</v>
      </c>
      <c r="BE872" s="4" t="s">
        <v>227</v>
      </c>
      <c r="BF872" s="8" t="s">
        <v>227</v>
      </c>
      <c r="BG872" s="7" t="s">
        <v>227</v>
      </c>
      <c r="BH872" s="7" t="s">
        <v>227</v>
      </c>
      <c r="BI872" s="7"/>
      <c r="BJ872" s="4">
        <v>13</v>
      </c>
      <c r="BK872" s="8">
        <v>461.78</v>
      </c>
      <c r="BL872" s="2" t="s">
        <v>3111</v>
      </c>
      <c r="BM872" s="7"/>
      <c r="BN872" s="7"/>
      <c r="BO872" s="4"/>
      <c r="BP872" s="8"/>
      <c r="BQ872" s="4"/>
      <c r="BR872" s="8"/>
      <c r="BS872" s="7"/>
      <c r="BT872" s="7"/>
      <c r="BU872" s="2" t="s">
        <v>5185</v>
      </c>
      <c r="BV872" s="2" t="s">
        <v>227</v>
      </c>
      <c r="BW872" s="2" t="s">
        <v>227</v>
      </c>
      <c r="BX872" s="2" t="s">
        <v>235</v>
      </c>
      <c r="BY872" s="2" t="s">
        <v>236</v>
      </c>
      <c r="BZ872" s="2" t="s">
        <v>224</v>
      </c>
      <c r="CA872" s="2" t="s">
        <v>3358</v>
      </c>
      <c r="CB872" s="2" t="s">
        <v>5186</v>
      </c>
      <c r="CC872" s="2" t="s">
        <v>239</v>
      </c>
      <c r="CD872" s="2" t="s">
        <v>227</v>
      </c>
      <c r="CE872" s="4">
        <v>28</v>
      </c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>
        <v>30</v>
      </c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/>
      <c r="FB872" s="4"/>
      <c r="FC872" s="4">
        <v>30</v>
      </c>
      <c r="FD872" s="4"/>
      <c r="FE872" s="4"/>
      <c r="FF872" s="4"/>
      <c r="FG872" s="4"/>
      <c r="FH872" s="4"/>
      <c r="FI872" s="4"/>
      <c r="FJ872" s="4"/>
      <c r="FK872" s="4"/>
      <c r="FL872" s="4"/>
      <c r="FM872" s="4"/>
      <c r="FN872" s="4"/>
      <c r="FO872" s="4"/>
      <c r="FP872" s="4"/>
      <c r="FQ872" s="4"/>
      <c r="FR872" s="4"/>
      <c r="FS872" s="4"/>
      <c r="FT872" s="4"/>
      <c r="FU872" s="4"/>
      <c r="FV872" s="4"/>
      <c r="FW872" s="4"/>
      <c r="FX872" s="4"/>
      <c r="FY872" s="4"/>
      <c r="FZ872" s="4"/>
      <c r="GA872" s="4"/>
      <c r="GB872" s="4"/>
      <c r="GC872" s="4"/>
      <c r="GD872" s="4"/>
      <c r="GE872" s="4"/>
      <c r="GF872" s="4"/>
      <c r="GG872" s="4"/>
      <c r="GH872" s="4"/>
      <c r="GI872" s="4"/>
      <c r="GJ872" s="4"/>
      <c r="GK872" s="4"/>
      <c r="GL872" s="4"/>
      <c r="GM872" s="4"/>
      <c r="GN872" s="4"/>
      <c r="GO872" s="4"/>
      <c r="GP872" s="4"/>
      <c r="GQ872" s="4">
        <v>40</v>
      </c>
      <c r="GR872" s="4"/>
      <c r="GS872" s="4"/>
      <c r="GT872" s="4"/>
      <c r="GU872" s="4"/>
      <c r="GV872" s="4"/>
      <c r="GW872" s="4"/>
      <c r="GX872" s="4"/>
    </row>
    <row r="873">
      <c r="A873" s="2" t="s">
        <v>5187</v>
      </c>
      <c r="B873" s="2" t="s">
        <v>278</v>
      </c>
      <c r="C873" s="2" t="s">
        <v>360</v>
      </c>
      <c r="D873" s="2" t="s">
        <v>280</v>
      </c>
      <c r="E873" s="2" t="s">
        <v>281</v>
      </c>
      <c r="F873" s="2" t="s">
        <v>5172</v>
      </c>
      <c r="G873" s="2" t="s">
        <v>5172</v>
      </c>
      <c r="H873" s="2" t="s">
        <v>5172</v>
      </c>
      <c r="I873" s="2" t="s">
        <v>5173</v>
      </c>
      <c r="J873" s="2" t="s">
        <v>222</v>
      </c>
      <c r="K873" s="2" t="s">
        <v>610</v>
      </c>
      <c r="L873" s="3">
        <v>21.6</v>
      </c>
      <c r="M873" s="3">
        <v>22.68</v>
      </c>
      <c r="N873" s="3">
        <v>47.99</v>
      </c>
      <c r="O873" s="2" t="s">
        <v>224</v>
      </c>
      <c r="P873" s="2" t="s">
        <v>225</v>
      </c>
      <c r="Q873" s="2" t="s">
        <v>226</v>
      </c>
      <c r="R873" s="2" t="s">
        <v>227</v>
      </c>
      <c r="S873" s="2" t="s">
        <v>5188</v>
      </c>
      <c r="T873" s="2" t="s">
        <v>286</v>
      </c>
      <c r="U873" s="2" t="s">
        <v>674</v>
      </c>
      <c r="V873" s="2" t="s">
        <v>230</v>
      </c>
      <c r="W873" s="2" t="s">
        <v>231</v>
      </c>
      <c r="X873" s="2" t="s">
        <v>227</v>
      </c>
      <c r="Y873" s="2" t="s">
        <v>5175</v>
      </c>
      <c r="Z873" s="4">
        <v>8</v>
      </c>
      <c r="AA873" s="4">
        <f>=ROUNDDOWN(2.66666666666667,0)</f>
      </c>
      <c r="AB873" s="5">
        <v>3</v>
      </c>
      <c r="AC873" s="2" t="s">
        <v>1224</v>
      </c>
      <c r="AD873" s="4">
        <v>40</v>
      </c>
      <c r="AE873" s="4">
        <v>120</v>
      </c>
      <c r="AF873" s="6">
        <v>69</v>
      </c>
      <c r="AG873" s="6"/>
      <c r="AH873" s="7">
        <v>1</v>
      </c>
      <c r="AI873" s="4"/>
      <c r="AJ873" s="4">
        <f>=ROUNDDOWN({0},0)</f>
      </c>
      <c r="AK873" s="5"/>
      <c r="AL873" s="2" t="s">
        <v>227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227</v>
      </c>
      <c r="AW873" s="8" t="s">
        <v>227</v>
      </c>
      <c r="AX873" s="4" t="s">
        <v>227</v>
      </c>
      <c r="AY873" s="8" t="s">
        <v>227</v>
      </c>
      <c r="AZ873" s="7" t="s">
        <v>227</v>
      </c>
      <c r="BA873" s="7" t="s">
        <v>227</v>
      </c>
      <c r="BB873" s="7"/>
      <c r="BC873" s="4" t="s">
        <v>227</v>
      </c>
      <c r="BD873" s="8" t="s">
        <v>227</v>
      </c>
      <c r="BE873" s="4" t="s">
        <v>227</v>
      </c>
      <c r="BF873" s="8" t="s">
        <v>227</v>
      </c>
      <c r="BG873" s="7" t="s">
        <v>227</v>
      </c>
      <c r="BH873" s="7" t="s">
        <v>227</v>
      </c>
      <c r="BI873" s="7"/>
      <c r="BJ873" s="4">
        <v>17</v>
      </c>
      <c r="BK873" s="8">
        <v>407.95</v>
      </c>
      <c r="BL873" s="2" t="s">
        <v>1290</v>
      </c>
      <c r="BM873" s="7"/>
      <c r="BN873" s="7"/>
      <c r="BO873" s="4"/>
      <c r="BP873" s="8"/>
      <c r="BQ873" s="4"/>
      <c r="BR873" s="8"/>
      <c r="BS873" s="7"/>
      <c r="BT873" s="7"/>
      <c r="BU873" s="2" t="s">
        <v>5189</v>
      </c>
      <c r="BV873" s="2" t="s">
        <v>227</v>
      </c>
      <c r="BW873" s="2" t="s">
        <v>227</v>
      </c>
      <c r="BX873" s="2" t="s">
        <v>235</v>
      </c>
      <c r="BY873" s="2" t="s">
        <v>236</v>
      </c>
      <c r="BZ873" s="2" t="s">
        <v>224</v>
      </c>
      <c r="CA873" s="2" t="s">
        <v>3358</v>
      </c>
      <c r="CB873" s="2" t="s">
        <v>2432</v>
      </c>
      <c r="CC873" s="2" t="s">
        <v>239</v>
      </c>
      <c r="CD873" s="2" t="s">
        <v>227</v>
      </c>
      <c r="CE873" s="4">
        <v>8</v>
      </c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>
        <v>40</v>
      </c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>
        <v>80</v>
      </c>
      <c r="FD873" s="4"/>
      <c r="FE873" s="4"/>
      <c r="FF873" s="4"/>
      <c r="FG873" s="4"/>
      <c r="FH873" s="4"/>
      <c r="FI873" s="4"/>
      <c r="FJ873" s="4"/>
      <c r="FK873" s="4"/>
      <c r="FL873" s="4"/>
      <c r="FM873" s="4"/>
      <c r="FN873" s="4"/>
      <c r="FO873" s="4"/>
      <c r="FP873" s="4"/>
      <c r="FQ873" s="4"/>
      <c r="FR873" s="4"/>
      <c r="FS873" s="4"/>
      <c r="FT873" s="4"/>
      <c r="FU873" s="4"/>
      <c r="FV873" s="4"/>
      <c r="FW873" s="4"/>
      <c r="FX873" s="4"/>
      <c r="FY873" s="4"/>
      <c r="FZ873" s="4"/>
      <c r="GA873" s="4"/>
      <c r="GB873" s="4"/>
      <c r="GC873" s="4"/>
      <c r="GD873" s="4"/>
      <c r="GE873" s="4"/>
      <c r="GF873" s="4"/>
      <c r="GG873" s="4"/>
      <c r="GH873" s="4"/>
      <c r="GI873" s="4"/>
      <c r="GJ873" s="4"/>
      <c r="GK873" s="4"/>
      <c r="GL873" s="4"/>
      <c r="GM873" s="4"/>
      <c r="GN873" s="4"/>
      <c r="GO873" s="4"/>
      <c r="GP873" s="4"/>
      <c r="GQ873" s="4"/>
      <c r="GR873" s="4"/>
      <c r="GS873" s="4"/>
      <c r="GT873" s="4"/>
      <c r="GU873" s="4"/>
      <c r="GV873" s="4"/>
      <c r="GW873" s="4"/>
      <c r="GX873" s="4"/>
    </row>
    <row r="874">
      <c r="A874" s="2" t="s">
        <v>5190</v>
      </c>
      <c r="B874" s="2" t="s">
        <v>278</v>
      </c>
      <c r="C874" s="2" t="s">
        <v>360</v>
      </c>
      <c r="D874" s="2" t="s">
        <v>280</v>
      </c>
      <c r="E874" s="2" t="s">
        <v>281</v>
      </c>
      <c r="F874" s="2" t="s">
        <v>5172</v>
      </c>
      <c r="G874" s="2" t="s">
        <v>5172</v>
      </c>
      <c r="H874" s="2" t="s">
        <v>5172</v>
      </c>
      <c r="I874" s="2" t="s">
        <v>5173</v>
      </c>
      <c r="J874" s="2" t="s">
        <v>384</v>
      </c>
      <c r="K874" s="2" t="s">
        <v>610</v>
      </c>
      <c r="L874" s="3">
        <v>32.2</v>
      </c>
      <c r="M874" s="3">
        <v>33.81</v>
      </c>
      <c r="N874" s="3">
        <v>69.99</v>
      </c>
      <c r="O874" s="2" t="s">
        <v>224</v>
      </c>
      <c r="P874" s="2" t="s">
        <v>225</v>
      </c>
      <c r="Q874" s="2" t="s">
        <v>226</v>
      </c>
      <c r="R874" s="2" t="s">
        <v>227</v>
      </c>
      <c r="S874" s="2" t="s">
        <v>5188</v>
      </c>
      <c r="T874" s="2" t="s">
        <v>286</v>
      </c>
      <c r="U874" s="2" t="s">
        <v>287</v>
      </c>
      <c r="V874" s="2" t="s">
        <v>230</v>
      </c>
      <c r="W874" s="2" t="s">
        <v>231</v>
      </c>
      <c r="X874" s="2" t="s">
        <v>227</v>
      </c>
      <c r="Y874" s="2" t="s">
        <v>5175</v>
      </c>
      <c r="Z874" s="4">
        <v>56</v>
      </c>
      <c r="AA874" s="4">
        <f>=ROUNDDOWN(13.6585365853659,0)</f>
      </c>
      <c r="AB874" s="5">
        <v>4.1</v>
      </c>
      <c r="AC874" s="2" t="s">
        <v>167</v>
      </c>
      <c r="AD874" s="4">
        <v>60</v>
      </c>
      <c r="AE874" s="4">
        <v>60</v>
      </c>
      <c r="AF874" s="6">
        <v>69</v>
      </c>
      <c r="AG874" s="6"/>
      <c r="AH874" s="7">
        <v>1</v>
      </c>
      <c r="AI874" s="4"/>
      <c r="AJ874" s="4">
        <f>=ROUNDDOWN({0},0)</f>
      </c>
      <c r="AK874" s="5"/>
      <c r="AL874" s="2" t="s">
        <v>227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227</v>
      </c>
      <c r="AW874" s="8" t="s">
        <v>227</v>
      </c>
      <c r="AX874" s="4" t="s">
        <v>227</v>
      </c>
      <c r="AY874" s="8" t="s">
        <v>227</v>
      </c>
      <c r="AZ874" s="7" t="s">
        <v>227</v>
      </c>
      <c r="BA874" s="7" t="s">
        <v>227</v>
      </c>
      <c r="BB874" s="7"/>
      <c r="BC874" s="4" t="s">
        <v>227</v>
      </c>
      <c r="BD874" s="8" t="s">
        <v>227</v>
      </c>
      <c r="BE874" s="4" t="s">
        <v>227</v>
      </c>
      <c r="BF874" s="8" t="s">
        <v>227</v>
      </c>
      <c r="BG874" s="7" t="s">
        <v>227</v>
      </c>
      <c r="BH874" s="7" t="s">
        <v>227</v>
      </c>
      <c r="BI874" s="7"/>
      <c r="BJ874" s="4">
        <v>16</v>
      </c>
      <c r="BK874" s="8">
        <v>568.38</v>
      </c>
      <c r="BL874" s="2" t="s">
        <v>1314</v>
      </c>
      <c r="BM874" s="7"/>
      <c r="BN874" s="7"/>
      <c r="BO874" s="4"/>
      <c r="BP874" s="8"/>
      <c r="BQ874" s="4"/>
      <c r="BR874" s="8"/>
      <c r="BS874" s="7"/>
      <c r="BT874" s="7"/>
      <c r="BU874" s="2" t="s">
        <v>5191</v>
      </c>
      <c r="BV874" s="2" t="s">
        <v>227</v>
      </c>
      <c r="BW874" s="2" t="s">
        <v>227</v>
      </c>
      <c r="BX874" s="2" t="s">
        <v>235</v>
      </c>
      <c r="BY874" s="2" t="s">
        <v>236</v>
      </c>
      <c r="BZ874" s="2" t="s">
        <v>224</v>
      </c>
      <c r="CA874" s="2" t="s">
        <v>3358</v>
      </c>
      <c r="CB874" s="2" t="s">
        <v>3359</v>
      </c>
      <c r="CC874" s="2" t="s">
        <v>239</v>
      </c>
      <c r="CD874" s="2" t="s">
        <v>227</v>
      </c>
      <c r="CE874" s="4">
        <v>56</v>
      </c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>
        <v>60</v>
      </c>
      <c r="FD874" s="4"/>
      <c r="FE874" s="4"/>
      <c r="FF874" s="4"/>
      <c r="FG874" s="4"/>
      <c r="FH874" s="4"/>
      <c r="FI874" s="4"/>
      <c r="FJ874" s="4"/>
      <c r="FK874" s="4"/>
      <c r="FL874" s="4"/>
      <c r="FM874" s="4"/>
      <c r="FN874" s="4"/>
      <c r="FO874" s="4"/>
      <c r="FP874" s="4"/>
      <c r="FQ874" s="4"/>
      <c r="FR874" s="4"/>
      <c r="FS874" s="4"/>
      <c r="FT874" s="4"/>
      <c r="FU874" s="4"/>
      <c r="FV874" s="4"/>
      <c r="FW874" s="4"/>
      <c r="FX874" s="4"/>
      <c r="FY874" s="4"/>
      <c r="FZ874" s="4"/>
      <c r="GA874" s="4"/>
      <c r="GB874" s="4"/>
      <c r="GC874" s="4"/>
      <c r="GD874" s="4"/>
      <c r="GE874" s="4"/>
      <c r="GF874" s="4"/>
      <c r="GG874" s="4"/>
      <c r="GH874" s="4"/>
      <c r="GI874" s="4"/>
      <c r="GJ874" s="4"/>
      <c r="GK874" s="4"/>
      <c r="GL874" s="4"/>
      <c r="GM874" s="4"/>
      <c r="GN874" s="4"/>
      <c r="GO874" s="4"/>
      <c r="GP874" s="4"/>
      <c r="GQ874" s="4"/>
      <c r="GR874" s="4"/>
      <c r="GS874" s="4"/>
      <c r="GT874" s="4"/>
      <c r="GU874" s="4"/>
      <c r="GV874" s="4"/>
      <c r="GW874" s="4"/>
      <c r="GX874" s="4"/>
    </row>
    <row r="875">
      <c r="A875" s="2" t="s">
        <v>5192</v>
      </c>
      <c r="B875" s="2" t="s">
        <v>278</v>
      </c>
      <c r="C875" s="2" t="s">
        <v>360</v>
      </c>
      <c r="D875" s="2" t="s">
        <v>280</v>
      </c>
      <c r="E875" s="2" t="s">
        <v>281</v>
      </c>
      <c r="F875" s="2" t="s">
        <v>5172</v>
      </c>
      <c r="G875" s="2" t="s">
        <v>5172</v>
      </c>
      <c r="H875" s="2" t="s">
        <v>5172</v>
      </c>
      <c r="I875" s="2" t="s">
        <v>5173</v>
      </c>
      <c r="J875" s="2" t="s">
        <v>222</v>
      </c>
      <c r="K875" s="2" t="s">
        <v>264</v>
      </c>
      <c r="L875" s="3">
        <v>21.6</v>
      </c>
      <c r="M875" s="3">
        <v>22.68</v>
      </c>
      <c r="N875" s="3">
        <v>47.99</v>
      </c>
      <c r="O875" s="2" t="s">
        <v>224</v>
      </c>
      <c r="P875" s="2" t="s">
        <v>225</v>
      </c>
      <c r="Q875" s="2" t="s">
        <v>226</v>
      </c>
      <c r="R875" s="2" t="s">
        <v>227</v>
      </c>
      <c r="S875" s="2" t="s">
        <v>5193</v>
      </c>
      <c r="T875" s="2" t="s">
        <v>286</v>
      </c>
      <c r="U875" s="2" t="s">
        <v>674</v>
      </c>
      <c r="V875" s="2" t="s">
        <v>230</v>
      </c>
      <c r="W875" s="2" t="s">
        <v>231</v>
      </c>
      <c r="X875" s="2" t="s">
        <v>227</v>
      </c>
      <c r="Y875" s="2" t="s">
        <v>5175</v>
      </c>
      <c r="Z875" s="4">
        <v>37</v>
      </c>
      <c r="AA875" s="4">
        <f>=ROUNDDOWN(4.51219512195122,0)</f>
      </c>
      <c r="AB875" s="5">
        <v>8.2</v>
      </c>
      <c r="AC875" s="2" t="s">
        <v>1224</v>
      </c>
      <c r="AD875" s="4">
        <v>50</v>
      </c>
      <c r="AE875" s="4">
        <v>180</v>
      </c>
      <c r="AF875" s="6">
        <v>69</v>
      </c>
      <c r="AG875" s="6"/>
      <c r="AH875" s="7">
        <v>1</v>
      </c>
      <c r="AI875" s="4"/>
      <c r="AJ875" s="4">
        <f>=ROUNDDOWN({0},0)</f>
      </c>
      <c r="AK875" s="5"/>
      <c r="AL875" s="2" t="s">
        <v>227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227</v>
      </c>
      <c r="AW875" s="8" t="s">
        <v>227</v>
      </c>
      <c r="AX875" s="4" t="s">
        <v>227</v>
      </c>
      <c r="AY875" s="8" t="s">
        <v>227</v>
      </c>
      <c r="AZ875" s="7" t="s">
        <v>227</v>
      </c>
      <c r="BA875" s="7" t="s">
        <v>227</v>
      </c>
      <c r="BB875" s="7"/>
      <c r="BC875" s="4" t="s">
        <v>227</v>
      </c>
      <c r="BD875" s="8" t="s">
        <v>227</v>
      </c>
      <c r="BE875" s="4" t="s">
        <v>227</v>
      </c>
      <c r="BF875" s="8" t="s">
        <v>227</v>
      </c>
      <c r="BG875" s="7" t="s">
        <v>227</v>
      </c>
      <c r="BH875" s="7" t="s">
        <v>227</v>
      </c>
      <c r="BI875" s="7"/>
      <c r="BJ875" s="4">
        <v>41</v>
      </c>
      <c r="BK875" s="8">
        <v>1002.11</v>
      </c>
      <c r="BL875" s="2" t="s">
        <v>5194</v>
      </c>
      <c r="BM875" s="7"/>
      <c r="BN875" s="7"/>
      <c r="BO875" s="4"/>
      <c r="BP875" s="8"/>
      <c r="BQ875" s="4"/>
      <c r="BR875" s="8"/>
      <c r="BS875" s="7"/>
      <c r="BT875" s="7"/>
      <c r="BU875" s="2" t="s">
        <v>5195</v>
      </c>
      <c r="BV875" s="2" t="s">
        <v>227</v>
      </c>
      <c r="BW875" s="2" t="s">
        <v>227</v>
      </c>
      <c r="BX875" s="2" t="s">
        <v>235</v>
      </c>
      <c r="BY875" s="2" t="s">
        <v>236</v>
      </c>
      <c r="BZ875" s="2" t="s">
        <v>224</v>
      </c>
      <c r="CA875" s="2" t="s">
        <v>3358</v>
      </c>
      <c r="CB875" s="2" t="s">
        <v>1137</v>
      </c>
      <c r="CC875" s="2" t="s">
        <v>239</v>
      </c>
      <c r="CD875" s="2" t="s">
        <v>227</v>
      </c>
      <c r="CE875" s="4">
        <v>37</v>
      </c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>
        <v>50</v>
      </c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>
        <v>50</v>
      </c>
      <c r="FD875" s="4"/>
      <c r="FE875" s="4"/>
      <c r="FF875" s="4"/>
      <c r="FG875" s="4"/>
      <c r="FH875" s="4"/>
      <c r="FI875" s="4"/>
      <c r="FJ875" s="4"/>
      <c r="FK875" s="4"/>
      <c r="FL875" s="4"/>
      <c r="FM875" s="4"/>
      <c r="FN875" s="4"/>
      <c r="FO875" s="4"/>
      <c r="FP875" s="4"/>
      <c r="FQ875" s="4"/>
      <c r="FR875" s="4"/>
      <c r="FS875" s="4"/>
      <c r="FT875" s="4"/>
      <c r="FU875" s="4"/>
      <c r="FV875" s="4"/>
      <c r="FW875" s="4"/>
      <c r="FX875" s="4"/>
      <c r="FY875" s="4"/>
      <c r="FZ875" s="4"/>
      <c r="GA875" s="4"/>
      <c r="GB875" s="4"/>
      <c r="GC875" s="4"/>
      <c r="GD875" s="4"/>
      <c r="GE875" s="4"/>
      <c r="GF875" s="4"/>
      <c r="GG875" s="4"/>
      <c r="GH875" s="4"/>
      <c r="GI875" s="4"/>
      <c r="GJ875" s="4"/>
      <c r="GK875" s="4"/>
      <c r="GL875" s="4"/>
      <c r="GM875" s="4"/>
      <c r="GN875" s="4"/>
      <c r="GO875" s="4"/>
      <c r="GP875" s="4"/>
      <c r="GQ875" s="4">
        <v>80</v>
      </c>
      <c r="GR875" s="4"/>
      <c r="GS875" s="4"/>
      <c r="GT875" s="4"/>
      <c r="GU875" s="4"/>
      <c r="GV875" s="4"/>
      <c r="GW875" s="4"/>
      <c r="GX875" s="4"/>
    </row>
    <row r="876">
      <c r="A876" s="2" t="s">
        <v>5196</v>
      </c>
      <c r="B876" s="2" t="s">
        <v>278</v>
      </c>
      <c r="C876" s="2" t="s">
        <v>360</v>
      </c>
      <c r="D876" s="2" t="s">
        <v>280</v>
      </c>
      <c r="E876" s="2" t="s">
        <v>281</v>
      </c>
      <c r="F876" s="2" t="s">
        <v>5172</v>
      </c>
      <c r="G876" s="2" t="s">
        <v>5172</v>
      </c>
      <c r="H876" s="2" t="s">
        <v>5172</v>
      </c>
      <c r="I876" s="2" t="s">
        <v>5173</v>
      </c>
      <c r="J876" s="2" t="s">
        <v>384</v>
      </c>
      <c r="K876" s="2" t="s">
        <v>264</v>
      </c>
      <c r="L876" s="3">
        <v>32.2</v>
      </c>
      <c r="M876" s="3">
        <v>33.81</v>
      </c>
      <c r="N876" s="3">
        <v>69.99</v>
      </c>
      <c r="O876" s="2" t="s">
        <v>224</v>
      </c>
      <c r="P876" s="2" t="s">
        <v>225</v>
      </c>
      <c r="Q876" s="2" t="s">
        <v>226</v>
      </c>
      <c r="R876" s="2" t="s">
        <v>227</v>
      </c>
      <c r="S876" s="2" t="s">
        <v>5193</v>
      </c>
      <c r="T876" s="2" t="s">
        <v>286</v>
      </c>
      <c r="U876" s="2" t="s">
        <v>287</v>
      </c>
      <c r="V876" s="2" t="s">
        <v>230</v>
      </c>
      <c r="W876" s="2" t="s">
        <v>231</v>
      </c>
      <c r="X876" s="2" t="s">
        <v>227</v>
      </c>
      <c r="Y876" s="2" t="s">
        <v>5175</v>
      </c>
      <c r="Z876" s="4">
        <v>60</v>
      </c>
      <c r="AA876" s="4">
        <f>=ROUNDDOWN(10,0)</f>
      </c>
      <c r="AB876" s="5">
        <v>6</v>
      </c>
      <c r="AC876" s="2" t="s">
        <v>1224</v>
      </c>
      <c r="AD876" s="4">
        <v>40</v>
      </c>
      <c r="AE876" s="4">
        <v>90</v>
      </c>
      <c r="AF876" s="6">
        <v>69</v>
      </c>
      <c r="AG876" s="6"/>
      <c r="AH876" s="7">
        <v>1</v>
      </c>
      <c r="AI876" s="4"/>
      <c r="AJ876" s="4">
        <f>=ROUNDDOWN({0},0)</f>
      </c>
      <c r="AK876" s="5"/>
      <c r="AL876" s="2" t="s">
        <v>227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227</v>
      </c>
      <c r="AW876" s="8" t="s">
        <v>227</v>
      </c>
      <c r="AX876" s="4" t="s">
        <v>227</v>
      </c>
      <c r="AY876" s="8" t="s">
        <v>227</v>
      </c>
      <c r="AZ876" s="7" t="s">
        <v>227</v>
      </c>
      <c r="BA876" s="7" t="s">
        <v>227</v>
      </c>
      <c r="BB876" s="7"/>
      <c r="BC876" s="4" t="s">
        <v>227</v>
      </c>
      <c r="BD876" s="8" t="s">
        <v>227</v>
      </c>
      <c r="BE876" s="4" t="s">
        <v>227</v>
      </c>
      <c r="BF876" s="8" t="s">
        <v>227</v>
      </c>
      <c r="BG876" s="7" t="s">
        <v>227</v>
      </c>
      <c r="BH876" s="7" t="s">
        <v>227</v>
      </c>
      <c r="BI876" s="7"/>
      <c r="BJ876" s="4">
        <v>33</v>
      </c>
      <c r="BK876" s="8">
        <v>1198.45</v>
      </c>
      <c r="BL876" s="2" t="s">
        <v>5127</v>
      </c>
      <c r="BM876" s="7"/>
      <c r="BN876" s="7"/>
      <c r="BO876" s="4"/>
      <c r="BP876" s="8"/>
      <c r="BQ876" s="4"/>
      <c r="BR876" s="8"/>
      <c r="BS876" s="7"/>
      <c r="BT876" s="7"/>
      <c r="BU876" s="2" t="s">
        <v>5197</v>
      </c>
      <c r="BV876" s="2" t="s">
        <v>227</v>
      </c>
      <c r="BW876" s="2" t="s">
        <v>227</v>
      </c>
      <c r="BX876" s="2" t="s">
        <v>235</v>
      </c>
      <c r="BY876" s="2" t="s">
        <v>236</v>
      </c>
      <c r="BZ876" s="2" t="s">
        <v>224</v>
      </c>
      <c r="CA876" s="2" t="s">
        <v>3358</v>
      </c>
      <c r="CB876" s="2" t="s">
        <v>3972</v>
      </c>
      <c r="CC876" s="2" t="s">
        <v>239</v>
      </c>
      <c r="CD876" s="2" t="s">
        <v>227</v>
      </c>
      <c r="CE876" s="4">
        <v>60</v>
      </c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>
        <v>40</v>
      </c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/>
      <c r="FA876" s="4"/>
      <c r="FB876" s="4"/>
      <c r="FC876" s="4">
        <v>30</v>
      </c>
      <c r="FD876" s="4"/>
      <c r="FE876" s="4"/>
      <c r="FF876" s="4"/>
      <c r="FG876" s="4"/>
      <c r="FH876" s="4"/>
      <c r="FI876" s="4"/>
      <c r="FJ876" s="4"/>
      <c r="FK876" s="4"/>
      <c r="FL876" s="4"/>
      <c r="FM876" s="4"/>
      <c r="FN876" s="4"/>
      <c r="FO876" s="4"/>
      <c r="FP876" s="4"/>
      <c r="FQ876" s="4"/>
      <c r="FR876" s="4"/>
      <c r="FS876" s="4"/>
      <c r="FT876" s="4"/>
      <c r="FU876" s="4"/>
      <c r="FV876" s="4"/>
      <c r="FW876" s="4"/>
      <c r="FX876" s="4"/>
      <c r="FY876" s="4"/>
      <c r="FZ876" s="4"/>
      <c r="GA876" s="4"/>
      <c r="GB876" s="4"/>
      <c r="GC876" s="4"/>
      <c r="GD876" s="4"/>
      <c r="GE876" s="4"/>
      <c r="GF876" s="4"/>
      <c r="GG876" s="4"/>
      <c r="GH876" s="4"/>
      <c r="GI876" s="4"/>
      <c r="GJ876" s="4"/>
      <c r="GK876" s="4"/>
      <c r="GL876" s="4"/>
      <c r="GM876" s="4"/>
      <c r="GN876" s="4"/>
      <c r="GO876" s="4"/>
      <c r="GP876" s="4"/>
      <c r="GQ876" s="4">
        <v>20</v>
      </c>
      <c r="GR876" s="4"/>
      <c r="GS876" s="4"/>
      <c r="GT876" s="4"/>
      <c r="GU876" s="4"/>
      <c r="GV876" s="4"/>
      <c r="GW876" s="4"/>
      <c r="GX876" s="4"/>
    </row>
    <row r="877">
      <c r="A877" s="2" t="s">
        <v>5198</v>
      </c>
      <c r="B877" s="2" t="s">
        <v>667</v>
      </c>
      <c r="C877" s="2" t="s">
        <v>360</v>
      </c>
      <c r="D877" s="2" t="s">
        <v>687</v>
      </c>
      <c r="E877" s="2" t="s">
        <v>699</v>
      </c>
      <c r="F877" s="2" t="s">
        <v>5199</v>
      </c>
      <c r="G877" s="2" t="s">
        <v>5200</v>
      </c>
      <c r="H877" s="2" t="s">
        <v>5201</v>
      </c>
      <c r="I877" s="2" t="s">
        <v>5202</v>
      </c>
      <c r="J877" s="2" t="s">
        <v>384</v>
      </c>
      <c r="K877" s="2" t="s">
        <v>521</v>
      </c>
      <c r="L877" s="3">
        <v>85</v>
      </c>
      <c r="M877" s="3">
        <v>89.24</v>
      </c>
      <c r="N877" s="3">
        <v>169.99</v>
      </c>
      <c r="O877" s="2" t="s">
        <v>224</v>
      </c>
      <c r="P877" s="2" t="s">
        <v>225</v>
      </c>
      <c r="Q877" s="2" t="s">
        <v>226</v>
      </c>
      <c r="R877" s="2" t="s">
        <v>227</v>
      </c>
      <c r="S877" s="2" t="s">
        <v>5203</v>
      </c>
      <c r="T877" s="2" t="s">
        <v>286</v>
      </c>
      <c r="U877" s="2" t="s">
        <v>1069</v>
      </c>
      <c r="V877" s="2" t="s">
        <v>1045</v>
      </c>
      <c r="W877" s="2" t="s">
        <v>1045</v>
      </c>
      <c r="X877" s="2" t="s">
        <v>5204</v>
      </c>
      <c r="Y877" s="2" t="s">
        <v>232</v>
      </c>
      <c r="Z877" s="4">
        <v>125</v>
      </c>
      <c r="AA877" s="4">
        <f>=ROUNDDOWN(25,0)</f>
      </c>
      <c r="AB877" s="5">
        <v>5</v>
      </c>
      <c r="AC877" s="2" t="s">
        <v>190</v>
      </c>
      <c r="AD877" s="4">
        <v>100</v>
      </c>
      <c r="AE877" s="4">
        <v>100</v>
      </c>
      <c r="AF877" s="6">
        <v>65</v>
      </c>
      <c r="AG877" s="6"/>
      <c r="AH877" s="7">
        <v>1</v>
      </c>
      <c r="AI877" s="4"/>
      <c r="AJ877" s="4">
        <f>=ROUNDDOWN({0},0)</f>
      </c>
      <c r="AK877" s="5"/>
      <c r="AL877" s="2" t="s">
        <v>227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/>
      <c r="AW877" s="8"/>
      <c r="AX877" s="4"/>
      <c r="AY877" s="8"/>
      <c r="AZ877" s="7"/>
      <c r="BA877" s="7"/>
      <c r="BB877" s="7"/>
      <c r="BC877" s="4"/>
      <c r="BD877" s="8"/>
      <c r="BE877" s="4"/>
      <c r="BF877" s="8"/>
      <c r="BG877" s="7"/>
      <c r="BH877" s="7"/>
      <c r="BI877" s="7"/>
      <c r="BJ877" s="4">
        <v>29</v>
      </c>
      <c r="BK877" s="8">
        <v>2532.78</v>
      </c>
      <c r="BL877" s="2" t="s">
        <v>5205</v>
      </c>
      <c r="BM877" s="7"/>
      <c r="BN877" s="7"/>
      <c r="BO877" s="4"/>
      <c r="BP877" s="8"/>
      <c r="BQ877" s="4"/>
      <c r="BR877" s="8"/>
      <c r="BS877" s="7"/>
      <c r="BT877" s="7"/>
      <c r="BU877" s="2" t="s">
        <v>5206</v>
      </c>
      <c r="BV877" s="2" t="s">
        <v>227</v>
      </c>
      <c r="BW877" s="2" t="s">
        <v>227</v>
      </c>
      <c r="BX877" s="2" t="s">
        <v>235</v>
      </c>
      <c r="BY877" s="2" t="s">
        <v>236</v>
      </c>
      <c r="BZ877" s="2" t="s">
        <v>224</v>
      </c>
      <c r="CA877" s="2" t="s">
        <v>237</v>
      </c>
      <c r="CB877" s="2" t="s">
        <v>742</v>
      </c>
      <c r="CC877" s="2" t="s">
        <v>239</v>
      </c>
      <c r="CD877" s="2" t="s">
        <v>227</v>
      </c>
      <c r="CE877" s="4">
        <v>125</v>
      </c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/>
      <c r="FA877" s="4"/>
      <c r="FB877" s="4"/>
      <c r="FC877" s="4"/>
      <c r="FD877" s="4"/>
      <c r="FE877" s="4"/>
      <c r="FF877" s="4"/>
      <c r="FG877" s="4"/>
      <c r="FH877" s="4"/>
      <c r="FI877" s="4"/>
      <c r="FJ877" s="4"/>
      <c r="FK877" s="4"/>
      <c r="FL877" s="4"/>
      <c r="FM877" s="4"/>
      <c r="FN877" s="4"/>
      <c r="FO877" s="4"/>
      <c r="FP877" s="4"/>
      <c r="FQ877" s="4"/>
      <c r="FR877" s="4"/>
      <c r="FS877" s="4"/>
      <c r="FT877" s="4"/>
      <c r="FU877" s="4"/>
      <c r="FV877" s="4"/>
      <c r="FW877" s="4"/>
      <c r="FX877" s="4"/>
      <c r="FY877" s="4"/>
      <c r="FZ877" s="4">
        <v>100</v>
      </c>
      <c r="GA877" s="4"/>
      <c r="GB877" s="4"/>
      <c r="GC877" s="4"/>
      <c r="GD877" s="4"/>
      <c r="GE877" s="4"/>
      <c r="GF877" s="4"/>
      <c r="GG877" s="4"/>
      <c r="GH877" s="4"/>
      <c r="GI877" s="4"/>
      <c r="GJ877" s="4"/>
      <c r="GK877" s="4"/>
      <c r="GL877" s="4"/>
      <c r="GM877" s="4"/>
      <c r="GN877" s="4"/>
      <c r="GO877" s="4"/>
      <c r="GP877" s="4"/>
      <c r="GQ877" s="4"/>
      <c r="GR877" s="4"/>
      <c r="GS877" s="4"/>
      <c r="GT877" s="4"/>
      <c r="GU877" s="4"/>
      <c r="GV877" s="4"/>
      <c r="GW877" s="4"/>
      <c r="GX877" s="4"/>
    </row>
    <row r="878">
      <c r="A878" s="2" t="s">
        <v>5207</v>
      </c>
      <c r="B878" s="2" t="s">
        <v>542</v>
      </c>
      <c r="C878" s="2" t="s">
        <v>360</v>
      </c>
      <c r="D878" s="2" t="s">
        <v>1052</v>
      </c>
      <c r="E878" s="2" t="s">
        <v>545</v>
      </c>
      <c r="F878" s="2" t="s">
        <v>5208</v>
      </c>
      <c r="G878" s="2" t="s">
        <v>5208</v>
      </c>
      <c r="H878" s="2" t="s">
        <v>5208</v>
      </c>
      <c r="I878" s="2" t="s">
        <v>5209</v>
      </c>
      <c r="J878" s="2" t="s">
        <v>548</v>
      </c>
      <c r="K878" s="2" t="s">
        <v>5210</v>
      </c>
      <c r="L878" s="3">
        <v>14</v>
      </c>
      <c r="M878" s="3">
        <v>14.7</v>
      </c>
      <c r="N878" s="3">
        <v>34.99</v>
      </c>
      <c r="O878" s="2" t="s">
        <v>224</v>
      </c>
      <c r="P878" s="2" t="s">
        <v>580</v>
      </c>
      <c r="Q878" s="2" t="s">
        <v>226</v>
      </c>
      <c r="R878" s="2" t="s">
        <v>227</v>
      </c>
      <c r="S878" s="2" t="s">
        <v>227</v>
      </c>
      <c r="T878" s="2" t="s">
        <v>227</v>
      </c>
      <c r="U878" s="2" t="s">
        <v>552</v>
      </c>
      <c r="V878" s="2" t="s">
        <v>1153</v>
      </c>
      <c r="W878" s="2" t="s">
        <v>231</v>
      </c>
      <c r="X878" s="2" t="s">
        <v>836</v>
      </c>
      <c r="Y878" s="2" t="s">
        <v>1161</v>
      </c>
      <c r="Z878" s="4">
        <v>128</v>
      </c>
      <c r="AA878" s="4">
        <f>=ROUNDDOWN(160,0)</f>
      </c>
      <c r="AB878" s="5">
        <v>0.8</v>
      </c>
      <c r="AC878" s="2" t="s">
        <v>227</v>
      </c>
      <c r="AD878" s="4"/>
      <c r="AE878" s="4"/>
      <c r="AF878" s="6">
        <v>63</v>
      </c>
      <c r="AG878" s="6"/>
      <c r="AH878" s="7">
        <v>1</v>
      </c>
      <c r="AI878" s="4"/>
      <c r="AJ878" s="4">
        <f>=ROUNDDOWN({0},0)</f>
      </c>
      <c r="AK878" s="5"/>
      <c r="AL878" s="2" t="s">
        <v>227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/>
      <c r="AW878" s="8"/>
      <c r="AX878" s="4"/>
      <c r="AY878" s="8"/>
      <c r="AZ878" s="7"/>
      <c r="BA878" s="7"/>
      <c r="BB878" s="7"/>
      <c r="BC878" s="4" t="s">
        <v>227</v>
      </c>
      <c r="BD878" s="8" t="s">
        <v>227</v>
      </c>
      <c r="BE878" s="4" t="s">
        <v>227</v>
      </c>
      <c r="BF878" s="8" t="s">
        <v>227</v>
      </c>
      <c r="BG878" s="7" t="s">
        <v>227</v>
      </c>
      <c r="BH878" s="7" t="s">
        <v>227</v>
      </c>
      <c r="BI878" s="7"/>
      <c r="BJ878" s="4">
        <v>1</v>
      </c>
      <c r="BK878" s="8">
        <v>16.46</v>
      </c>
      <c r="BL878" s="2" t="s">
        <v>1739</v>
      </c>
      <c r="BM878" s="7"/>
      <c r="BN878" s="7"/>
      <c r="BO878" s="4"/>
      <c r="BP878" s="8"/>
      <c r="BQ878" s="4"/>
      <c r="BR878" s="8"/>
      <c r="BS878" s="7"/>
      <c r="BT878" s="7"/>
      <c r="BU878" s="2" t="s">
        <v>5211</v>
      </c>
      <c r="BV878" s="2" t="s">
        <v>227</v>
      </c>
      <c r="BW878" s="2" t="s">
        <v>227</v>
      </c>
      <c r="BX878" s="2" t="s">
        <v>235</v>
      </c>
      <c r="BY878" s="2" t="s">
        <v>236</v>
      </c>
      <c r="BZ878" s="2" t="s">
        <v>224</v>
      </c>
      <c r="CA878" s="2" t="s">
        <v>1157</v>
      </c>
      <c r="CB878" s="2" t="s">
        <v>227</v>
      </c>
      <c r="CC878" s="2" t="s">
        <v>239</v>
      </c>
      <c r="CD878" s="2" t="s">
        <v>227</v>
      </c>
      <c r="CE878" s="4"/>
      <c r="CF878" s="4">
        <v>128</v>
      </c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/>
      <c r="FF878" s="4"/>
      <c r="FG878" s="4"/>
      <c r="FH878" s="4"/>
      <c r="FI878" s="4"/>
      <c r="FJ878" s="4"/>
      <c r="FK878" s="4"/>
      <c r="FL878" s="4"/>
      <c r="FM878" s="4"/>
      <c r="FN878" s="4"/>
      <c r="FO878" s="4"/>
      <c r="FP878" s="4"/>
      <c r="FQ878" s="4"/>
      <c r="FR878" s="4"/>
      <c r="FS878" s="4"/>
      <c r="FT878" s="4"/>
      <c r="FU878" s="4"/>
      <c r="FV878" s="4"/>
      <c r="FW878" s="4"/>
      <c r="FX878" s="4"/>
      <c r="FY878" s="4"/>
      <c r="FZ878" s="4"/>
      <c r="GA878" s="4"/>
      <c r="GB878" s="4"/>
      <c r="GC878" s="4"/>
      <c r="GD878" s="4"/>
      <c r="GE878" s="4"/>
      <c r="GF878" s="4"/>
      <c r="GG878" s="4"/>
      <c r="GH878" s="4"/>
      <c r="GI878" s="4"/>
      <c r="GJ878" s="4"/>
      <c r="GK878" s="4"/>
      <c r="GL878" s="4"/>
      <c r="GM878" s="4"/>
      <c r="GN878" s="4"/>
      <c r="GO878" s="4"/>
      <c r="GP878" s="4"/>
      <c r="GQ878" s="4"/>
      <c r="GR878" s="4"/>
      <c r="GS878" s="4"/>
      <c r="GT878" s="4"/>
      <c r="GU878" s="4"/>
      <c r="GV878" s="4"/>
      <c r="GW878" s="4"/>
      <c r="GX878" s="4"/>
    </row>
    <row r="879">
      <c r="A879" s="2" t="s">
        <v>5212</v>
      </c>
      <c r="B879" s="2" t="s">
        <v>542</v>
      </c>
      <c r="C879" s="2" t="s">
        <v>360</v>
      </c>
      <c r="D879" s="2" t="s">
        <v>1052</v>
      </c>
      <c r="E879" s="2" t="s">
        <v>545</v>
      </c>
      <c r="F879" s="2" t="s">
        <v>5208</v>
      </c>
      <c r="G879" s="2" t="s">
        <v>5208</v>
      </c>
      <c r="H879" s="2" t="s">
        <v>5208</v>
      </c>
      <c r="I879" s="2" t="s">
        <v>5213</v>
      </c>
      <c r="J879" s="2" t="s">
        <v>548</v>
      </c>
      <c r="K879" s="2" t="s">
        <v>5214</v>
      </c>
      <c r="L879" s="3">
        <v>14</v>
      </c>
      <c r="M879" s="3">
        <v>14.7</v>
      </c>
      <c r="N879" s="3">
        <v>34.99</v>
      </c>
      <c r="O879" s="2" t="s">
        <v>224</v>
      </c>
      <c r="P879" s="2" t="s">
        <v>580</v>
      </c>
      <c r="Q879" s="2" t="s">
        <v>226</v>
      </c>
      <c r="R879" s="2" t="s">
        <v>227</v>
      </c>
      <c r="S879" s="2" t="s">
        <v>227</v>
      </c>
      <c r="T879" s="2" t="s">
        <v>227</v>
      </c>
      <c r="U879" s="2" t="s">
        <v>552</v>
      </c>
      <c r="V879" s="2" t="s">
        <v>1153</v>
      </c>
      <c r="W879" s="2" t="s">
        <v>231</v>
      </c>
      <c r="X879" s="2" t="s">
        <v>581</v>
      </c>
      <c r="Y879" s="2" t="s">
        <v>1161</v>
      </c>
      <c r="Z879" s="4">
        <v>90</v>
      </c>
      <c r="AA879" s="4">
        <f>=ROUNDDOWN(100,0)</f>
      </c>
      <c r="AB879" s="5">
        <v>0.9</v>
      </c>
      <c r="AC879" s="2" t="s">
        <v>227</v>
      </c>
      <c r="AD879" s="4"/>
      <c r="AE879" s="4"/>
      <c r="AF879" s="6">
        <v>63</v>
      </c>
      <c r="AG879" s="6"/>
      <c r="AH879" s="7">
        <v>1</v>
      </c>
      <c r="AI879" s="4"/>
      <c r="AJ879" s="4">
        <f>=ROUNDDOWN({0},0)</f>
      </c>
      <c r="AK879" s="5"/>
      <c r="AL879" s="2" t="s">
        <v>227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/>
      <c r="AW879" s="8"/>
      <c r="AX879" s="4"/>
      <c r="AY879" s="8"/>
      <c r="AZ879" s="7"/>
      <c r="BA879" s="7"/>
      <c r="BB879" s="7"/>
      <c r="BC879" s="4" t="s">
        <v>227</v>
      </c>
      <c r="BD879" s="8" t="s">
        <v>227</v>
      </c>
      <c r="BE879" s="4" t="s">
        <v>227</v>
      </c>
      <c r="BF879" s="8" t="s">
        <v>227</v>
      </c>
      <c r="BG879" s="7" t="s">
        <v>227</v>
      </c>
      <c r="BH879" s="7" t="s">
        <v>227</v>
      </c>
      <c r="BI879" s="7"/>
      <c r="BJ879" s="4">
        <v>2</v>
      </c>
      <c r="BK879" s="8">
        <v>31.9</v>
      </c>
      <c r="BL879" s="2" t="s">
        <v>1563</v>
      </c>
      <c r="BM879" s="7"/>
      <c r="BN879" s="7"/>
      <c r="BO879" s="4"/>
      <c r="BP879" s="8"/>
      <c r="BQ879" s="4"/>
      <c r="BR879" s="8"/>
      <c r="BS879" s="7"/>
      <c r="BT879" s="7"/>
      <c r="BU879" s="2" t="s">
        <v>5215</v>
      </c>
      <c r="BV879" s="2" t="s">
        <v>227</v>
      </c>
      <c r="BW879" s="2" t="s">
        <v>227</v>
      </c>
      <c r="BX879" s="2" t="s">
        <v>235</v>
      </c>
      <c r="BY879" s="2" t="s">
        <v>236</v>
      </c>
      <c r="BZ879" s="2" t="s">
        <v>224</v>
      </c>
      <c r="CA879" s="2" t="s">
        <v>1157</v>
      </c>
      <c r="CB879" s="2" t="s">
        <v>227</v>
      </c>
      <c r="CC879" s="2" t="s">
        <v>239</v>
      </c>
      <c r="CD879" s="2" t="s">
        <v>227</v>
      </c>
      <c r="CE879" s="4"/>
      <c r="CF879" s="4">
        <v>90</v>
      </c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/>
      <c r="FB879" s="4"/>
      <c r="FC879" s="4"/>
      <c r="FD879" s="4"/>
      <c r="FE879" s="4"/>
      <c r="FF879" s="4"/>
      <c r="FG879" s="4"/>
      <c r="FH879" s="4"/>
      <c r="FI879" s="4"/>
      <c r="FJ879" s="4"/>
      <c r="FK879" s="4"/>
      <c r="FL879" s="4"/>
      <c r="FM879" s="4"/>
      <c r="FN879" s="4"/>
      <c r="FO879" s="4"/>
      <c r="FP879" s="4"/>
      <c r="FQ879" s="4"/>
      <c r="FR879" s="4"/>
      <c r="FS879" s="4"/>
      <c r="FT879" s="4"/>
      <c r="FU879" s="4"/>
      <c r="FV879" s="4"/>
      <c r="FW879" s="4"/>
      <c r="FX879" s="4"/>
      <c r="FY879" s="4"/>
      <c r="FZ879" s="4"/>
      <c r="GA879" s="4"/>
      <c r="GB879" s="4"/>
      <c r="GC879" s="4"/>
      <c r="GD879" s="4"/>
      <c r="GE879" s="4"/>
      <c r="GF879" s="4"/>
      <c r="GG879" s="4"/>
      <c r="GH879" s="4"/>
      <c r="GI879" s="4"/>
      <c r="GJ879" s="4"/>
      <c r="GK879" s="4"/>
      <c r="GL879" s="4"/>
      <c r="GM879" s="4"/>
      <c r="GN879" s="4"/>
      <c r="GO879" s="4"/>
      <c r="GP879" s="4"/>
      <c r="GQ879" s="4"/>
      <c r="GR879" s="4"/>
      <c r="GS879" s="4"/>
      <c r="GT879" s="4"/>
      <c r="GU879" s="4"/>
      <c r="GV879" s="4"/>
      <c r="GW879" s="4"/>
      <c r="GX879" s="4"/>
    </row>
    <row r="880">
      <c r="A880" s="2" t="s">
        <v>5216</v>
      </c>
      <c r="B880" s="2" t="s">
        <v>542</v>
      </c>
      <c r="C880" s="2" t="s">
        <v>360</v>
      </c>
      <c r="D880" s="2" t="s">
        <v>1052</v>
      </c>
      <c r="E880" s="2" t="s">
        <v>545</v>
      </c>
      <c r="F880" s="2" t="s">
        <v>5208</v>
      </c>
      <c r="G880" s="2" t="s">
        <v>5208</v>
      </c>
      <c r="H880" s="2" t="s">
        <v>5208</v>
      </c>
      <c r="I880" s="2" t="s">
        <v>5217</v>
      </c>
      <c r="J880" s="2" t="s">
        <v>548</v>
      </c>
      <c r="K880" s="2" t="s">
        <v>5218</v>
      </c>
      <c r="L880" s="3">
        <v>14</v>
      </c>
      <c r="M880" s="3">
        <v>14.7</v>
      </c>
      <c r="N880" s="3">
        <v>34.99</v>
      </c>
      <c r="O880" s="2" t="s">
        <v>224</v>
      </c>
      <c r="P880" s="2" t="s">
        <v>580</v>
      </c>
      <c r="Q880" s="2" t="s">
        <v>226</v>
      </c>
      <c r="R880" s="2" t="s">
        <v>227</v>
      </c>
      <c r="S880" s="2" t="s">
        <v>227</v>
      </c>
      <c r="T880" s="2" t="s">
        <v>227</v>
      </c>
      <c r="U880" s="2" t="s">
        <v>552</v>
      </c>
      <c r="V880" s="2" t="s">
        <v>1153</v>
      </c>
      <c r="W880" s="2" t="s">
        <v>231</v>
      </c>
      <c r="X880" s="2" t="s">
        <v>581</v>
      </c>
      <c r="Y880" s="2" t="s">
        <v>1161</v>
      </c>
      <c r="Z880" s="4">
        <v>86</v>
      </c>
      <c r="AA880" s="4">
        <f>=ROUNDDOWN(107.5,0)</f>
      </c>
      <c r="AB880" s="5">
        <v>0.8</v>
      </c>
      <c r="AC880" s="2" t="s">
        <v>227</v>
      </c>
      <c r="AD880" s="4"/>
      <c r="AE880" s="4"/>
      <c r="AF880" s="6">
        <v>63</v>
      </c>
      <c r="AG880" s="6"/>
      <c r="AH880" s="7">
        <v>1</v>
      </c>
      <c r="AI880" s="4"/>
      <c r="AJ880" s="4">
        <f>=ROUNDDOWN({0},0)</f>
      </c>
      <c r="AK880" s="5"/>
      <c r="AL880" s="2" t="s">
        <v>227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/>
      <c r="AW880" s="8"/>
      <c r="AX880" s="4"/>
      <c r="AY880" s="8"/>
      <c r="AZ880" s="7"/>
      <c r="BA880" s="7"/>
      <c r="BB880" s="7"/>
      <c r="BC880" s="4" t="s">
        <v>227</v>
      </c>
      <c r="BD880" s="8" t="s">
        <v>227</v>
      </c>
      <c r="BE880" s="4" t="s">
        <v>227</v>
      </c>
      <c r="BF880" s="8" t="s">
        <v>227</v>
      </c>
      <c r="BG880" s="7" t="s">
        <v>227</v>
      </c>
      <c r="BH880" s="7" t="s">
        <v>227</v>
      </c>
      <c r="BI880" s="7"/>
      <c r="BJ880" s="4">
        <v>2</v>
      </c>
      <c r="BK880" s="8">
        <v>32.92</v>
      </c>
      <c r="BL880" s="2" t="s">
        <v>367</v>
      </c>
      <c r="BM880" s="7"/>
      <c r="BN880" s="7"/>
      <c r="BO880" s="4"/>
      <c r="BP880" s="8"/>
      <c r="BQ880" s="4"/>
      <c r="BR880" s="8"/>
      <c r="BS880" s="7"/>
      <c r="BT880" s="7"/>
      <c r="BU880" s="2" t="s">
        <v>5219</v>
      </c>
      <c r="BV880" s="2" t="s">
        <v>227</v>
      </c>
      <c r="BW880" s="2" t="s">
        <v>227</v>
      </c>
      <c r="BX880" s="2" t="s">
        <v>235</v>
      </c>
      <c r="BY880" s="2" t="s">
        <v>236</v>
      </c>
      <c r="BZ880" s="2" t="s">
        <v>224</v>
      </c>
      <c r="CA880" s="2" t="s">
        <v>1157</v>
      </c>
      <c r="CB880" s="2" t="s">
        <v>227</v>
      </c>
      <c r="CC880" s="2" t="s">
        <v>239</v>
      </c>
      <c r="CD880" s="2" t="s">
        <v>227</v>
      </c>
      <c r="CE880" s="4"/>
      <c r="CF880" s="4">
        <v>86</v>
      </c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/>
      <c r="FA880" s="4"/>
      <c r="FB880" s="4"/>
      <c r="FC880" s="4"/>
      <c r="FD880" s="4"/>
      <c r="FE880" s="4"/>
      <c r="FF880" s="4"/>
      <c r="FG880" s="4"/>
      <c r="FH880" s="4"/>
      <c r="FI880" s="4"/>
      <c r="FJ880" s="4"/>
      <c r="FK880" s="4"/>
      <c r="FL880" s="4"/>
      <c r="FM880" s="4"/>
      <c r="FN880" s="4"/>
      <c r="FO880" s="4"/>
      <c r="FP880" s="4"/>
      <c r="FQ880" s="4"/>
      <c r="FR880" s="4"/>
      <c r="FS880" s="4"/>
      <c r="FT880" s="4"/>
      <c r="FU880" s="4"/>
      <c r="FV880" s="4"/>
      <c r="FW880" s="4"/>
      <c r="FX880" s="4"/>
      <c r="FY880" s="4"/>
      <c r="FZ880" s="4"/>
      <c r="GA880" s="4"/>
      <c r="GB880" s="4"/>
      <c r="GC880" s="4"/>
      <c r="GD880" s="4"/>
      <c r="GE880" s="4"/>
      <c r="GF880" s="4"/>
      <c r="GG880" s="4"/>
      <c r="GH880" s="4"/>
      <c r="GI880" s="4"/>
      <c r="GJ880" s="4"/>
      <c r="GK880" s="4"/>
      <c r="GL880" s="4"/>
      <c r="GM880" s="4"/>
      <c r="GN880" s="4"/>
      <c r="GO880" s="4"/>
      <c r="GP880" s="4"/>
      <c r="GQ880" s="4"/>
      <c r="GR880" s="4"/>
      <c r="GS880" s="4"/>
      <c r="GT880" s="4"/>
      <c r="GU880" s="4"/>
      <c r="GV880" s="4"/>
      <c r="GW880" s="4"/>
      <c r="GX880" s="4"/>
    </row>
    <row r="881">
      <c r="A881" s="2" t="s">
        <v>5220</v>
      </c>
      <c r="B881" s="2" t="s">
        <v>542</v>
      </c>
      <c r="C881" s="2" t="s">
        <v>360</v>
      </c>
      <c r="D881" s="2" t="s">
        <v>1052</v>
      </c>
      <c r="E881" s="2" t="s">
        <v>545</v>
      </c>
      <c r="F881" s="2" t="s">
        <v>5208</v>
      </c>
      <c r="G881" s="2" t="s">
        <v>5208</v>
      </c>
      <c r="H881" s="2" t="s">
        <v>5208</v>
      </c>
      <c r="I881" s="2" t="s">
        <v>5221</v>
      </c>
      <c r="J881" s="2" t="s">
        <v>548</v>
      </c>
      <c r="K881" s="2" t="s">
        <v>5222</v>
      </c>
      <c r="L881" s="3">
        <v>14</v>
      </c>
      <c r="M881" s="3">
        <v>14.7</v>
      </c>
      <c r="N881" s="3">
        <v>34.99</v>
      </c>
      <c r="O881" s="2" t="s">
        <v>224</v>
      </c>
      <c r="P881" s="2" t="s">
        <v>580</v>
      </c>
      <c r="Q881" s="2" t="s">
        <v>226</v>
      </c>
      <c r="R881" s="2" t="s">
        <v>227</v>
      </c>
      <c r="S881" s="2" t="s">
        <v>227</v>
      </c>
      <c r="T881" s="2" t="s">
        <v>227</v>
      </c>
      <c r="U881" s="2" t="s">
        <v>552</v>
      </c>
      <c r="V881" s="2" t="s">
        <v>1153</v>
      </c>
      <c r="W881" s="2" t="s">
        <v>231</v>
      </c>
      <c r="X881" s="2" t="s">
        <v>581</v>
      </c>
      <c r="Y881" s="2" t="s">
        <v>1161</v>
      </c>
      <c r="Z881" s="4">
        <v>80</v>
      </c>
      <c r="AA881" s="4">
        <f>=ROUNDDOWN(80,0)</f>
      </c>
      <c r="AB881" s="5">
        <v>1</v>
      </c>
      <c r="AC881" s="2" t="s">
        <v>227</v>
      </c>
      <c r="AD881" s="4"/>
      <c r="AE881" s="4"/>
      <c r="AF881" s="6">
        <v>63</v>
      </c>
      <c r="AG881" s="6"/>
      <c r="AH881" s="7">
        <v>1</v>
      </c>
      <c r="AI881" s="4"/>
      <c r="AJ881" s="4">
        <f>=ROUNDDOWN({0},0)</f>
      </c>
      <c r="AK881" s="5"/>
      <c r="AL881" s="2" t="s">
        <v>227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/>
      <c r="AW881" s="8"/>
      <c r="AX881" s="4"/>
      <c r="AY881" s="8"/>
      <c r="AZ881" s="7"/>
      <c r="BA881" s="7"/>
      <c r="BB881" s="7"/>
      <c r="BC881" s="4" t="s">
        <v>227</v>
      </c>
      <c r="BD881" s="8" t="s">
        <v>227</v>
      </c>
      <c r="BE881" s="4" t="s">
        <v>227</v>
      </c>
      <c r="BF881" s="8" t="s">
        <v>227</v>
      </c>
      <c r="BG881" s="7" t="s">
        <v>227</v>
      </c>
      <c r="BH881" s="7" t="s">
        <v>227</v>
      </c>
      <c r="BI881" s="7"/>
      <c r="BJ881" s="4">
        <v>5</v>
      </c>
      <c r="BK881" s="8">
        <v>86.77</v>
      </c>
      <c r="BL881" s="2" t="s">
        <v>1339</v>
      </c>
      <c r="BM881" s="7"/>
      <c r="BN881" s="7"/>
      <c r="BO881" s="4"/>
      <c r="BP881" s="8"/>
      <c r="BQ881" s="4"/>
      <c r="BR881" s="8"/>
      <c r="BS881" s="7"/>
      <c r="BT881" s="7"/>
      <c r="BU881" s="2" t="s">
        <v>5223</v>
      </c>
      <c r="BV881" s="2" t="s">
        <v>227</v>
      </c>
      <c r="BW881" s="2" t="s">
        <v>227</v>
      </c>
      <c r="BX881" s="2" t="s">
        <v>235</v>
      </c>
      <c r="BY881" s="2" t="s">
        <v>236</v>
      </c>
      <c r="BZ881" s="2" t="s">
        <v>224</v>
      </c>
      <c r="CA881" s="2" t="s">
        <v>1157</v>
      </c>
      <c r="CB881" s="2" t="s">
        <v>227</v>
      </c>
      <c r="CC881" s="2" t="s">
        <v>239</v>
      </c>
      <c r="CD881" s="2" t="s">
        <v>227</v>
      </c>
      <c r="CE881" s="4"/>
      <c r="CF881" s="4">
        <v>80</v>
      </c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/>
      <c r="FD881" s="4"/>
      <c r="FE881" s="4"/>
      <c r="FF881" s="4"/>
      <c r="FG881" s="4"/>
      <c r="FH881" s="4"/>
      <c r="FI881" s="4"/>
      <c r="FJ881" s="4"/>
      <c r="FK881" s="4"/>
      <c r="FL881" s="4"/>
      <c r="FM881" s="4"/>
      <c r="FN881" s="4"/>
      <c r="FO881" s="4"/>
      <c r="FP881" s="4"/>
      <c r="FQ881" s="4"/>
      <c r="FR881" s="4"/>
      <c r="FS881" s="4"/>
      <c r="FT881" s="4"/>
      <c r="FU881" s="4"/>
      <c r="FV881" s="4"/>
      <c r="FW881" s="4"/>
      <c r="FX881" s="4"/>
      <c r="FY881" s="4"/>
      <c r="FZ881" s="4"/>
      <c r="GA881" s="4"/>
      <c r="GB881" s="4"/>
      <c r="GC881" s="4"/>
      <c r="GD881" s="4"/>
      <c r="GE881" s="4"/>
      <c r="GF881" s="4"/>
      <c r="GG881" s="4"/>
      <c r="GH881" s="4"/>
      <c r="GI881" s="4"/>
      <c r="GJ881" s="4"/>
      <c r="GK881" s="4"/>
      <c r="GL881" s="4"/>
      <c r="GM881" s="4"/>
      <c r="GN881" s="4"/>
      <c r="GO881" s="4"/>
      <c r="GP881" s="4"/>
      <c r="GQ881" s="4"/>
      <c r="GR881" s="4"/>
      <c r="GS881" s="4"/>
      <c r="GT881" s="4"/>
      <c r="GU881" s="4"/>
      <c r="GV881" s="4"/>
      <c r="GW881" s="4"/>
      <c r="GX881" s="4"/>
    </row>
    <row r="882">
      <c r="A882" s="2" t="s">
        <v>5224</v>
      </c>
      <c r="B882" s="2" t="s">
        <v>542</v>
      </c>
      <c r="C882" s="2" t="s">
        <v>360</v>
      </c>
      <c r="D882" s="2" t="s">
        <v>1052</v>
      </c>
      <c r="E882" s="2" t="s">
        <v>545</v>
      </c>
      <c r="F882" s="2" t="s">
        <v>5208</v>
      </c>
      <c r="G882" s="2" t="s">
        <v>5208</v>
      </c>
      <c r="H882" s="2" t="s">
        <v>5208</v>
      </c>
      <c r="I882" s="2" t="s">
        <v>5225</v>
      </c>
      <c r="J882" s="2" t="s">
        <v>548</v>
      </c>
      <c r="K882" s="2" t="s">
        <v>5226</v>
      </c>
      <c r="L882" s="3">
        <v>14</v>
      </c>
      <c r="M882" s="3">
        <v>14.7</v>
      </c>
      <c r="N882" s="3">
        <v>34.99</v>
      </c>
      <c r="O882" s="2" t="s">
        <v>224</v>
      </c>
      <c r="P882" s="2" t="s">
        <v>580</v>
      </c>
      <c r="Q882" s="2" t="s">
        <v>226</v>
      </c>
      <c r="R882" s="2" t="s">
        <v>227</v>
      </c>
      <c r="S882" s="2" t="s">
        <v>227</v>
      </c>
      <c r="T882" s="2" t="s">
        <v>227</v>
      </c>
      <c r="U882" s="2" t="s">
        <v>552</v>
      </c>
      <c r="V882" s="2" t="s">
        <v>1153</v>
      </c>
      <c r="W882" s="2" t="s">
        <v>231</v>
      </c>
      <c r="X882" s="2" t="s">
        <v>581</v>
      </c>
      <c r="Y882" s="2" t="s">
        <v>1161</v>
      </c>
      <c r="Z882" s="4">
        <v>104</v>
      </c>
      <c r="AA882" s="4">
        <f>=ROUNDDOWN(104,0)</f>
      </c>
      <c r="AB882" s="5">
        <v>1</v>
      </c>
      <c r="AC882" s="2" t="s">
        <v>227</v>
      </c>
      <c r="AD882" s="4"/>
      <c r="AE882" s="4"/>
      <c r="AF882" s="6">
        <v>63</v>
      </c>
      <c r="AG882" s="6"/>
      <c r="AH882" s="7">
        <v>1</v>
      </c>
      <c r="AI882" s="4"/>
      <c r="AJ882" s="4">
        <f>=ROUNDDOWN({0},0)</f>
      </c>
      <c r="AK882" s="5"/>
      <c r="AL882" s="2" t="s">
        <v>227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/>
      <c r="AW882" s="8"/>
      <c r="AX882" s="4"/>
      <c r="AY882" s="8"/>
      <c r="AZ882" s="7"/>
      <c r="BA882" s="7"/>
      <c r="BB882" s="7"/>
      <c r="BC882" s="4" t="s">
        <v>227</v>
      </c>
      <c r="BD882" s="8" t="s">
        <v>227</v>
      </c>
      <c r="BE882" s="4" t="s">
        <v>227</v>
      </c>
      <c r="BF882" s="8" t="s">
        <v>227</v>
      </c>
      <c r="BG882" s="7" t="s">
        <v>227</v>
      </c>
      <c r="BH882" s="7" t="s">
        <v>227</v>
      </c>
      <c r="BI882" s="7"/>
      <c r="BJ882" s="4">
        <v>4</v>
      </c>
      <c r="BK882" s="8">
        <v>65.63</v>
      </c>
      <c r="BL882" s="2" t="s">
        <v>5227</v>
      </c>
      <c r="BM882" s="7"/>
      <c r="BN882" s="7"/>
      <c r="BO882" s="4"/>
      <c r="BP882" s="8"/>
      <c r="BQ882" s="4"/>
      <c r="BR882" s="8"/>
      <c r="BS882" s="7"/>
      <c r="BT882" s="7"/>
      <c r="BU882" s="2" t="s">
        <v>5228</v>
      </c>
      <c r="BV882" s="2" t="s">
        <v>227</v>
      </c>
      <c r="BW882" s="2" t="s">
        <v>227</v>
      </c>
      <c r="BX882" s="2" t="s">
        <v>235</v>
      </c>
      <c r="BY882" s="2" t="s">
        <v>236</v>
      </c>
      <c r="BZ882" s="2" t="s">
        <v>224</v>
      </c>
      <c r="CA882" s="2" t="s">
        <v>1157</v>
      </c>
      <c r="CB882" s="2" t="s">
        <v>227</v>
      </c>
      <c r="CC882" s="2" t="s">
        <v>239</v>
      </c>
      <c r="CD882" s="2" t="s">
        <v>227</v>
      </c>
      <c r="CE882" s="4"/>
      <c r="CF882" s="4">
        <v>104</v>
      </c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/>
      <c r="FA882" s="4"/>
      <c r="FB882" s="4"/>
      <c r="FC882" s="4"/>
      <c r="FD882" s="4"/>
      <c r="FE882" s="4"/>
      <c r="FF882" s="4"/>
      <c r="FG882" s="4"/>
      <c r="FH882" s="4"/>
      <c r="FI882" s="4"/>
      <c r="FJ882" s="4"/>
      <c r="FK882" s="4"/>
      <c r="FL882" s="4"/>
      <c r="FM882" s="4"/>
      <c r="FN882" s="4"/>
      <c r="FO882" s="4"/>
      <c r="FP882" s="4"/>
      <c r="FQ882" s="4"/>
      <c r="FR882" s="4"/>
      <c r="FS882" s="4"/>
      <c r="FT882" s="4"/>
      <c r="FU882" s="4"/>
      <c r="FV882" s="4"/>
      <c r="FW882" s="4"/>
      <c r="FX882" s="4"/>
      <c r="FY882" s="4"/>
      <c r="FZ882" s="4"/>
      <c r="GA882" s="4"/>
      <c r="GB882" s="4"/>
      <c r="GC882" s="4"/>
      <c r="GD882" s="4"/>
      <c r="GE882" s="4"/>
      <c r="GF882" s="4"/>
      <c r="GG882" s="4"/>
      <c r="GH882" s="4"/>
      <c r="GI882" s="4"/>
      <c r="GJ882" s="4"/>
      <c r="GK882" s="4"/>
      <c r="GL882" s="4"/>
      <c r="GM882" s="4"/>
      <c r="GN882" s="4"/>
      <c r="GO882" s="4"/>
      <c r="GP882" s="4"/>
      <c r="GQ882" s="4"/>
      <c r="GR882" s="4"/>
      <c r="GS882" s="4"/>
      <c r="GT882" s="4"/>
      <c r="GU882" s="4"/>
      <c r="GV882" s="4"/>
      <c r="GW882" s="4"/>
      <c r="GX882" s="4"/>
    </row>
    <row r="883">
      <c r="A883" s="2" t="s">
        <v>5229</v>
      </c>
      <c r="B883" s="2" t="s">
        <v>542</v>
      </c>
      <c r="C883" s="2" t="s">
        <v>360</v>
      </c>
      <c r="D883" s="2" t="s">
        <v>1052</v>
      </c>
      <c r="E883" s="2" t="s">
        <v>545</v>
      </c>
      <c r="F883" s="2" t="s">
        <v>5208</v>
      </c>
      <c r="G883" s="2" t="s">
        <v>5208</v>
      </c>
      <c r="H883" s="2" t="s">
        <v>5208</v>
      </c>
      <c r="I883" s="2" t="s">
        <v>5230</v>
      </c>
      <c r="J883" s="2" t="s">
        <v>548</v>
      </c>
      <c r="K883" s="2" t="s">
        <v>5231</v>
      </c>
      <c r="L883" s="3">
        <v>14</v>
      </c>
      <c r="M883" s="3">
        <v>14.7</v>
      </c>
      <c r="N883" s="3">
        <v>34.99</v>
      </c>
      <c r="O883" s="2" t="s">
        <v>224</v>
      </c>
      <c r="P883" s="2" t="s">
        <v>225</v>
      </c>
      <c r="Q883" s="2" t="s">
        <v>226</v>
      </c>
      <c r="R883" s="2" t="s">
        <v>227</v>
      </c>
      <c r="S883" s="2" t="s">
        <v>227</v>
      </c>
      <c r="T883" s="2" t="s">
        <v>227</v>
      </c>
      <c r="U883" s="2" t="s">
        <v>552</v>
      </c>
      <c r="V883" s="2" t="s">
        <v>1153</v>
      </c>
      <c r="W883" s="2" t="s">
        <v>231</v>
      </c>
      <c r="X883" s="2" t="s">
        <v>1008</v>
      </c>
      <c r="Y883" s="2" t="s">
        <v>1161</v>
      </c>
      <c r="Z883" s="4">
        <v>42</v>
      </c>
      <c r="AA883" s="4">
        <f>=ROUNDDOWN(7,0)</f>
      </c>
      <c r="AB883" s="5">
        <v>6</v>
      </c>
      <c r="AC883" s="2" t="s">
        <v>164</v>
      </c>
      <c r="AD883" s="4">
        <v>100</v>
      </c>
      <c r="AE883" s="4">
        <v>100</v>
      </c>
      <c r="AF883" s="6">
        <v>63</v>
      </c>
      <c r="AG883" s="6">
        <v>46</v>
      </c>
      <c r="AH883" s="7">
        <v>1</v>
      </c>
      <c r="AI883" s="4"/>
      <c r="AJ883" s="4">
        <f>=ROUNDDOWN({0},0)</f>
      </c>
      <c r="AK883" s="5"/>
      <c r="AL883" s="2" t="s">
        <v>227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/>
      <c r="AW883" s="8"/>
      <c r="AX883" s="4"/>
      <c r="AY883" s="8"/>
      <c r="AZ883" s="7"/>
      <c r="BA883" s="7"/>
      <c r="BB883" s="7"/>
      <c r="BC883" s="4" t="s">
        <v>227</v>
      </c>
      <c r="BD883" s="8" t="s">
        <v>227</v>
      </c>
      <c r="BE883" s="4" t="s">
        <v>227</v>
      </c>
      <c r="BF883" s="8" t="s">
        <v>227</v>
      </c>
      <c r="BG883" s="7" t="s">
        <v>227</v>
      </c>
      <c r="BH883" s="7" t="s">
        <v>227</v>
      </c>
      <c r="BI883" s="7"/>
      <c r="BJ883" s="4">
        <v>4</v>
      </c>
      <c r="BK883" s="8">
        <v>65.46</v>
      </c>
      <c r="BL883" s="2" t="s">
        <v>5232</v>
      </c>
      <c r="BM883" s="7"/>
      <c r="BN883" s="7"/>
      <c r="BO883" s="4"/>
      <c r="BP883" s="8"/>
      <c r="BQ883" s="4"/>
      <c r="BR883" s="8"/>
      <c r="BS883" s="7"/>
      <c r="BT883" s="7"/>
      <c r="BU883" s="2" t="s">
        <v>5233</v>
      </c>
      <c r="BV883" s="2" t="s">
        <v>227</v>
      </c>
      <c r="BW883" s="2" t="s">
        <v>227</v>
      </c>
      <c r="BX883" s="2" t="s">
        <v>235</v>
      </c>
      <c r="BY883" s="2" t="s">
        <v>236</v>
      </c>
      <c r="BZ883" s="2" t="s">
        <v>224</v>
      </c>
      <c r="CA883" s="2" t="s">
        <v>1157</v>
      </c>
      <c r="CB883" s="2" t="s">
        <v>1699</v>
      </c>
      <c r="CC883" s="2" t="s">
        <v>239</v>
      </c>
      <c r="CD883" s="2" t="s">
        <v>227</v>
      </c>
      <c r="CE883" s="4"/>
      <c r="CF883" s="4">
        <v>42</v>
      </c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>
        <v>100</v>
      </c>
      <c r="FA883" s="4"/>
      <c r="FB883" s="4"/>
      <c r="FC883" s="4"/>
      <c r="FD883" s="4"/>
      <c r="FE883" s="4"/>
      <c r="FF883" s="4"/>
      <c r="FG883" s="4"/>
      <c r="FH883" s="4"/>
      <c r="FI883" s="4"/>
      <c r="FJ883" s="4"/>
      <c r="FK883" s="4"/>
      <c r="FL883" s="4"/>
      <c r="FM883" s="4"/>
      <c r="FN883" s="4"/>
      <c r="FO883" s="4"/>
      <c r="FP883" s="4"/>
      <c r="FQ883" s="4"/>
      <c r="FR883" s="4"/>
      <c r="FS883" s="4"/>
      <c r="FT883" s="4"/>
      <c r="FU883" s="4"/>
      <c r="FV883" s="4"/>
      <c r="FW883" s="4"/>
      <c r="FX883" s="4"/>
      <c r="FY883" s="4"/>
      <c r="FZ883" s="4"/>
      <c r="GA883" s="4"/>
      <c r="GB883" s="4"/>
      <c r="GC883" s="4"/>
      <c r="GD883" s="4"/>
      <c r="GE883" s="4"/>
      <c r="GF883" s="4"/>
      <c r="GG883" s="4"/>
      <c r="GH883" s="4"/>
      <c r="GI883" s="4"/>
      <c r="GJ883" s="4"/>
      <c r="GK883" s="4"/>
      <c r="GL883" s="4"/>
      <c r="GM883" s="4"/>
      <c r="GN883" s="4"/>
      <c r="GO883" s="4"/>
      <c r="GP883" s="4"/>
      <c r="GQ883" s="4"/>
      <c r="GR883" s="4"/>
      <c r="GS883" s="4"/>
      <c r="GT883" s="4"/>
      <c r="GU883" s="4"/>
      <c r="GV883" s="4"/>
      <c r="GW883" s="4"/>
      <c r="GX883" s="4"/>
    </row>
    <row r="884">
      <c r="A884" s="2" t="s">
        <v>5234</v>
      </c>
      <c r="B884" s="2" t="s">
        <v>618</v>
      </c>
      <c r="C884" s="2" t="s">
        <v>1299</v>
      </c>
      <c r="D884" s="2" t="s">
        <v>687</v>
      </c>
      <c r="E884" s="2" t="s">
        <v>688</v>
      </c>
      <c r="F884" s="2" t="s">
        <v>5235</v>
      </c>
      <c r="G884" s="2" t="s">
        <v>5092</v>
      </c>
      <c r="H884" s="2" t="s">
        <v>5236</v>
      </c>
      <c r="I884" s="2" t="s">
        <v>5237</v>
      </c>
      <c r="J884" s="2" t="s">
        <v>1304</v>
      </c>
      <c r="K884" s="2" t="s">
        <v>5238</v>
      </c>
      <c r="L884" s="3">
        <v>28.57</v>
      </c>
      <c r="M884" s="3">
        <v>30</v>
      </c>
      <c r="N884" s="3">
        <v>59.99</v>
      </c>
      <c r="O884" s="2" t="s">
        <v>224</v>
      </c>
      <c r="P884" s="2" t="s">
        <v>580</v>
      </c>
      <c r="Q884" s="2" t="s">
        <v>226</v>
      </c>
      <c r="R884" s="2" t="s">
        <v>227</v>
      </c>
      <c r="S884" s="2" t="s">
        <v>5239</v>
      </c>
      <c r="T884" s="2" t="s">
        <v>375</v>
      </c>
      <c r="U884" s="2" t="s">
        <v>1044</v>
      </c>
      <c r="V884" s="2" t="s">
        <v>782</v>
      </c>
      <c r="W884" s="2" t="s">
        <v>836</v>
      </c>
      <c r="X884" s="2" t="s">
        <v>4439</v>
      </c>
      <c r="Y884" s="2" t="s">
        <v>5240</v>
      </c>
      <c r="Z884" s="4">
        <v>440</v>
      </c>
      <c r="AA884" s="4">
        <f>=ROUNDDOWN(191.304347826087,0)</f>
      </c>
      <c r="AB884" s="5">
        <v>2.3</v>
      </c>
      <c r="AC884" s="2" t="s">
        <v>227</v>
      </c>
      <c r="AD884" s="4"/>
      <c r="AE884" s="4"/>
      <c r="AF884" s="6">
        <v>64</v>
      </c>
      <c r="AG884" s="6"/>
      <c r="AH884" s="7">
        <v>1</v>
      </c>
      <c r="AI884" s="4"/>
      <c r="AJ884" s="4">
        <f>=ROUNDDOWN({0},0)</f>
      </c>
      <c r="AK884" s="5"/>
      <c r="AL884" s="2" t="s">
        <v>227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227</v>
      </c>
      <c r="AW884" s="8" t="s">
        <v>227</v>
      </c>
      <c r="AX884" s="4" t="s">
        <v>227</v>
      </c>
      <c r="AY884" s="8" t="s">
        <v>227</v>
      </c>
      <c r="AZ884" s="7" t="s">
        <v>227</v>
      </c>
      <c r="BA884" s="7" t="s">
        <v>227</v>
      </c>
      <c r="BB884" s="7"/>
      <c r="BC884" s="4" t="s">
        <v>227</v>
      </c>
      <c r="BD884" s="8" t="s">
        <v>227</v>
      </c>
      <c r="BE884" s="4" t="s">
        <v>227</v>
      </c>
      <c r="BF884" s="8" t="s">
        <v>227</v>
      </c>
      <c r="BG884" s="7" t="s">
        <v>227</v>
      </c>
      <c r="BH884" s="7" t="s">
        <v>227</v>
      </c>
      <c r="BI884" s="7"/>
      <c r="BJ884" s="4">
        <v>34</v>
      </c>
      <c r="BK884" s="8">
        <v>1082.39</v>
      </c>
      <c r="BL884" s="2" t="s">
        <v>5241</v>
      </c>
      <c r="BM884" s="7"/>
      <c r="BN884" s="7"/>
      <c r="BO884" s="4"/>
      <c r="BP884" s="8"/>
      <c r="BQ884" s="4"/>
      <c r="BR884" s="8"/>
      <c r="BS884" s="7"/>
      <c r="BT884" s="7"/>
      <c r="BU884" s="2" t="s">
        <v>5242</v>
      </c>
      <c r="BV884" s="2" t="s">
        <v>227</v>
      </c>
      <c r="BW884" s="2" t="s">
        <v>227</v>
      </c>
      <c r="BX884" s="2" t="s">
        <v>235</v>
      </c>
      <c r="BY884" s="2" t="s">
        <v>236</v>
      </c>
      <c r="BZ884" s="2" t="s">
        <v>224</v>
      </c>
      <c r="CA884" s="2" t="s">
        <v>5243</v>
      </c>
      <c r="CB884" s="2" t="s">
        <v>5244</v>
      </c>
      <c r="CC884" s="2" t="s">
        <v>239</v>
      </c>
      <c r="CD884" s="2" t="s">
        <v>227</v>
      </c>
      <c r="CE884" s="4">
        <v>440</v>
      </c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/>
      <c r="FG884" s="4"/>
      <c r="FH884" s="4"/>
      <c r="FI884" s="4"/>
      <c r="FJ884" s="4"/>
      <c r="FK884" s="4"/>
      <c r="FL884" s="4"/>
      <c r="FM884" s="4"/>
      <c r="FN884" s="4"/>
      <c r="FO884" s="4"/>
      <c r="FP884" s="4"/>
      <c r="FQ884" s="4"/>
      <c r="FR884" s="4"/>
      <c r="FS884" s="4"/>
      <c r="FT884" s="4"/>
      <c r="FU884" s="4"/>
      <c r="FV884" s="4"/>
      <c r="FW884" s="4"/>
      <c r="FX884" s="4"/>
      <c r="FY884" s="4"/>
      <c r="FZ884" s="4"/>
      <c r="GA884" s="4"/>
      <c r="GB884" s="4"/>
      <c r="GC884" s="4"/>
      <c r="GD884" s="4"/>
      <c r="GE884" s="4"/>
      <c r="GF884" s="4"/>
      <c r="GG884" s="4"/>
      <c r="GH884" s="4"/>
      <c r="GI884" s="4"/>
      <c r="GJ884" s="4"/>
      <c r="GK884" s="4"/>
      <c r="GL884" s="4"/>
      <c r="GM884" s="4"/>
      <c r="GN884" s="4"/>
      <c r="GO884" s="4"/>
      <c r="GP884" s="4"/>
      <c r="GQ884" s="4"/>
      <c r="GR884" s="4"/>
      <c r="GS884" s="4"/>
      <c r="GT884" s="4"/>
      <c r="GU884" s="4"/>
      <c r="GV884" s="4"/>
      <c r="GW884" s="4"/>
      <c r="GX884" s="4"/>
    </row>
    <row r="885">
      <c r="A885" s="2" t="s">
        <v>5245</v>
      </c>
      <c r="B885" s="2" t="s">
        <v>618</v>
      </c>
      <c r="C885" s="2" t="s">
        <v>1299</v>
      </c>
      <c r="D885" s="2" t="s">
        <v>687</v>
      </c>
      <c r="E885" s="2" t="s">
        <v>688</v>
      </c>
      <c r="F885" s="2" t="s">
        <v>5235</v>
      </c>
      <c r="G885" s="2" t="s">
        <v>5092</v>
      </c>
      <c r="H885" s="2" t="s">
        <v>5236</v>
      </c>
      <c r="I885" s="2" t="s">
        <v>5237</v>
      </c>
      <c r="J885" s="2" t="s">
        <v>682</v>
      </c>
      <c r="K885" s="2" t="s">
        <v>5238</v>
      </c>
      <c r="L885" s="3">
        <v>38.09</v>
      </c>
      <c r="M885" s="3">
        <v>39.99</v>
      </c>
      <c r="N885" s="3">
        <v>79.99</v>
      </c>
      <c r="O885" s="2" t="s">
        <v>224</v>
      </c>
      <c r="P885" s="2" t="s">
        <v>580</v>
      </c>
      <c r="Q885" s="2" t="s">
        <v>226</v>
      </c>
      <c r="R885" s="2" t="s">
        <v>227</v>
      </c>
      <c r="S885" s="2" t="s">
        <v>5239</v>
      </c>
      <c r="T885" s="2" t="s">
        <v>375</v>
      </c>
      <c r="U885" s="2" t="s">
        <v>674</v>
      </c>
      <c r="V885" s="2" t="s">
        <v>782</v>
      </c>
      <c r="W885" s="2" t="s">
        <v>836</v>
      </c>
      <c r="X885" s="2" t="s">
        <v>4439</v>
      </c>
      <c r="Y885" s="2" t="s">
        <v>5246</v>
      </c>
      <c r="Z885" s="4">
        <v>197</v>
      </c>
      <c r="AA885" s="4">
        <f>=ROUNDDOWN(103.684210526316,0)</f>
      </c>
      <c r="AB885" s="5">
        <v>1.9</v>
      </c>
      <c r="AC885" s="2" t="s">
        <v>227</v>
      </c>
      <c r="AD885" s="4"/>
      <c r="AE885" s="4"/>
      <c r="AF885" s="6">
        <v>64</v>
      </c>
      <c r="AG885" s="6"/>
      <c r="AH885" s="7">
        <v>1</v>
      </c>
      <c r="AI885" s="4"/>
      <c r="AJ885" s="4">
        <f>=ROUNDDOWN({0},0)</f>
      </c>
      <c r="AK885" s="5"/>
      <c r="AL885" s="2" t="s">
        <v>227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227</v>
      </c>
      <c r="AW885" s="8" t="s">
        <v>227</v>
      </c>
      <c r="AX885" s="4" t="s">
        <v>227</v>
      </c>
      <c r="AY885" s="8" t="s">
        <v>227</v>
      </c>
      <c r="AZ885" s="7" t="s">
        <v>227</v>
      </c>
      <c r="BA885" s="7" t="s">
        <v>227</v>
      </c>
      <c r="BB885" s="7"/>
      <c r="BC885" s="4" t="s">
        <v>227</v>
      </c>
      <c r="BD885" s="8" t="s">
        <v>227</v>
      </c>
      <c r="BE885" s="4" t="s">
        <v>227</v>
      </c>
      <c r="BF885" s="8" t="s">
        <v>227</v>
      </c>
      <c r="BG885" s="7" t="s">
        <v>227</v>
      </c>
      <c r="BH885" s="7" t="s">
        <v>227</v>
      </c>
      <c r="BI885" s="7"/>
      <c r="BJ885" s="4">
        <v>16</v>
      </c>
      <c r="BK885" s="8">
        <v>781.25</v>
      </c>
      <c r="BL885" s="2" t="s">
        <v>5247</v>
      </c>
      <c r="BM885" s="7"/>
      <c r="BN885" s="7"/>
      <c r="BO885" s="4"/>
      <c r="BP885" s="8"/>
      <c r="BQ885" s="4"/>
      <c r="BR885" s="8"/>
      <c r="BS885" s="7"/>
      <c r="BT885" s="7"/>
      <c r="BU885" s="2" t="s">
        <v>5248</v>
      </c>
      <c r="BV885" s="2" t="s">
        <v>227</v>
      </c>
      <c r="BW885" s="2" t="s">
        <v>227</v>
      </c>
      <c r="BX885" s="2" t="s">
        <v>235</v>
      </c>
      <c r="BY885" s="2" t="s">
        <v>236</v>
      </c>
      <c r="BZ885" s="2" t="s">
        <v>224</v>
      </c>
      <c r="CA885" s="2" t="s">
        <v>5249</v>
      </c>
      <c r="CB885" s="2" t="s">
        <v>5250</v>
      </c>
      <c r="CC885" s="2" t="s">
        <v>239</v>
      </c>
      <c r="CD885" s="2" t="s">
        <v>227</v>
      </c>
      <c r="CE885" s="4">
        <v>197</v>
      </c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/>
      <c r="FB885" s="4"/>
      <c r="FC885" s="4"/>
      <c r="FD885" s="4"/>
      <c r="FE885" s="4"/>
      <c r="FF885" s="4"/>
      <c r="FG885" s="4"/>
      <c r="FH885" s="4"/>
      <c r="FI885" s="4"/>
      <c r="FJ885" s="4"/>
      <c r="FK885" s="4"/>
      <c r="FL885" s="4"/>
      <c r="FM885" s="4"/>
      <c r="FN885" s="4"/>
      <c r="FO885" s="4"/>
      <c r="FP885" s="4"/>
      <c r="FQ885" s="4"/>
      <c r="FR885" s="4"/>
      <c r="FS885" s="4"/>
      <c r="FT885" s="4"/>
      <c r="FU885" s="4"/>
      <c r="FV885" s="4"/>
      <c r="FW885" s="4"/>
      <c r="FX885" s="4"/>
      <c r="FY885" s="4"/>
      <c r="FZ885" s="4"/>
      <c r="GA885" s="4"/>
      <c r="GB885" s="4"/>
      <c r="GC885" s="4"/>
      <c r="GD885" s="4"/>
      <c r="GE885" s="4"/>
      <c r="GF885" s="4"/>
      <c r="GG885" s="4"/>
      <c r="GH885" s="4"/>
      <c r="GI885" s="4"/>
      <c r="GJ885" s="4"/>
      <c r="GK885" s="4"/>
      <c r="GL885" s="4"/>
      <c r="GM885" s="4"/>
      <c r="GN885" s="4"/>
      <c r="GO885" s="4"/>
      <c r="GP885" s="4"/>
      <c r="GQ885" s="4"/>
      <c r="GR885" s="4"/>
      <c r="GS885" s="4"/>
      <c r="GT885" s="4"/>
      <c r="GU885" s="4"/>
      <c r="GV885" s="4"/>
      <c r="GW885" s="4"/>
      <c r="GX885" s="4"/>
    </row>
    <row r="886">
      <c r="A886" s="2" t="s">
        <v>5251</v>
      </c>
      <c r="B886" s="2" t="s">
        <v>514</v>
      </c>
      <c r="C886" s="2" t="s">
        <v>1962</v>
      </c>
      <c r="D886" s="2" t="s">
        <v>516</v>
      </c>
      <c r="E886" s="2" t="s">
        <v>517</v>
      </c>
      <c r="F886" s="2" t="s">
        <v>5252</v>
      </c>
      <c r="G886" s="2" t="s">
        <v>5252</v>
      </c>
      <c r="H886" s="2" t="s">
        <v>5252</v>
      </c>
      <c r="I886" s="2" t="s">
        <v>5253</v>
      </c>
      <c r="J886" s="2" t="s">
        <v>593</v>
      </c>
      <c r="K886" s="2" t="s">
        <v>410</v>
      </c>
      <c r="L886" s="3">
        <v>38</v>
      </c>
      <c r="M886" s="3">
        <v>39.9</v>
      </c>
      <c r="N886" s="3">
        <v>79.99</v>
      </c>
      <c r="O886" s="2" t="s">
        <v>224</v>
      </c>
      <c r="P886" s="2" t="s">
        <v>485</v>
      </c>
      <c r="Q886" s="2" t="s">
        <v>226</v>
      </c>
      <c r="R886" s="2" t="s">
        <v>227</v>
      </c>
      <c r="S886" s="2" t="s">
        <v>5254</v>
      </c>
      <c r="T886" s="2" t="s">
        <v>286</v>
      </c>
      <c r="U886" s="2" t="s">
        <v>594</v>
      </c>
      <c r="V886" s="2" t="s">
        <v>230</v>
      </c>
      <c r="W886" s="2" t="s">
        <v>581</v>
      </c>
      <c r="X886" s="2" t="s">
        <v>227</v>
      </c>
      <c r="Y886" s="2" t="s">
        <v>4466</v>
      </c>
      <c r="Z886" s="4">
        <v>541</v>
      </c>
      <c r="AA886" s="4">
        <f>=ROUNDDOWN(60.1111111111111,0)</f>
      </c>
      <c r="AB886" s="5">
        <v>9</v>
      </c>
      <c r="AC886" s="2" t="s">
        <v>227</v>
      </c>
      <c r="AD886" s="4"/>
      <c r="AE886" s="4"/>
      <c r="AF886" s="6">
        <v>67</v>
      </c>
      <c r="AG886" s="6"/>
      <c r="AH886" s="7">
        <v>1</v>
      </c>
      <c r="AI886" s="4"/>
      <c r="AJ886" s="4">
        <f>=ROUNDDOWN({0},0)</f>
      </c>
      <c r="AK886" s="5"/>
      <c r="AL886" s="2" t="s">
        <v>227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 t="s">
        <v>227</v>
      </c>
      <c r="BD886" s="8" t="s">
        <v>227</v>
      </c>
      <c r="BE886" s="4" t="s">
        <v>227</v>
      </c>
      <c r="BF886" s="8" t="s">
        <v>227</v>
      </c>
      <c r="BG886" s="7" t="s">
        <v>227</v>
      </c>
      <c r="BH886" s="7" t="s">
        <v>227</v>
      </c>
      <c r="BI886" s="7"/>
      <c r="BJ886" s="4">
        <v>10</v>
      </c>
      <c r="BK886" s="8">
        <v>418.66</v>
      </c>
      <c r="BL886" s="2" t="s">
        <v>5255</v>
      </c>
      <c r="BM886" s="7"/>
      <c r="BN886" s="7"/>
      <c r="BO886" s="4"/>
      <c r="BP886" s="8"/>
      <c r="BQ886" s="4"/>
      <c r="BR886" s="8"/>
      <c r="BS886" s="7"/>
      <c r="BT886" s="7"/>
      <c r="BU886" s="2" t="s">
        <v>5256</v>
      </c>
      <c r="BV886" s="2" t="s">
        <v>227</v>
      </c>
      <c r="BW886" s="2" t="s">
        <v>227</v>
      </c>
      <c r="BX886" s="2" t="s">
        <v>235</v>
      </c>
      <c r="BY886" s="2" t="s">
        <v>236</v>
      </c>
      <c r="BZ886" s="2" t="s">
        <v>224</v>
      </c>
      <c r="CA886" s="2" t="s">
        <v>4466</v>
      </c>
      <c r="CB886" s="2" t="s">
        <v>3190</v>
      </c>
      <c r="CC886" s="2" t="s">
        <v>239</v>
      </c>
      <c r="CD886" s="2" t="s">
        <v>227</v>
      </c>
      <c r="CE886" s="4">
        <v>541</v>
      </c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/>
      <c r="FA886" s="4"/>
      <c r="FB886" s="4"/>
      <c r="FC886" s="4"/>
      <c r="FD886" s="4"/>
      <c r="FE886" s="4"/>
      <c r="FF886" s="4"/>
      <c r="FG886" s="4"/>
      <c r="FH886" s="4"/>
      <c r="FI886" s="4"/>
      <c r="FJ886" s="4"/>
      <c r="FK886" s="4"/>
      <c r="FL886" s="4"/>
      <c r="FM886" s="4"/>
      <c r="FN886" s="4"/>
      <c r="FO886" s="4"/>
      <c r="FP886" s="4"/>
      <c r="FQ886" s="4"/>
      <c r="FR886" s="4"/>
      <c r="FS886" s="4"/>
      <c r="FT886" s="4"/>
      <c r="FU886" s="4"/>
      <c r="FV886" s="4"/>
      <c r="FW886" s="4"/>
      <c r="FX886" s="4"/>
      <c r="FY886" s="4"/>
      <c r="FZ886" s="4"/>
      <c r="GA886" s="4"/>
      <c r="GB886" s="4"/>
      <c r="GC886" s="4"/>
      <c r="GD886" s="4"/>
      <c r="GE886" s="4"/>
      <c r="GF886" s="4"/>
      <c r="GG886" s="4"/>
      <c r="GH886" s="4"/>
      <c r="GI886" s="4"/>
      <c r="GJ886" s="4"/>
      <c r="GK886" s="4"/>
      <c r="GL886" s="4"/>
      <c r="GM886" s="4"/>
      <c r="GN886" s="4"/>
      <c r="GO886" s="4"/>
      <c r="GP886" s="4"/>
      <c r="GQ886" s="4"/>
      <c r="GR886" s="4"/>
      <c r="GS886" s="4"/>
      <c r="GT886" s="4"/>
      <c r="GU886" s="4"/>
      <c r="GV886" s="4"/>
      <c r="GW886" s="4"/>
      <c r="GX886" s="4"/>
    </row>
    <row r="887">
      <c r="A887" s="2" t="s">
        <v>5257</v>
      </c>
      <c r="B887" s="2" t="s">
        <v>514</v>
      </c>
      <c r="C887" s="2" t="s">
        <v>1962</v>
      </c>
      <c r="D887" s="2" t="s">
        <v>516</v>
      </c>
      <c r="E887" s="2" t="s">
        <v>517</v>
      </c>
      <c r="F887" s="2" t="s">
        <v>5252</v>
      </c>
      <c r="G887" s="2" t="s">
        <v>5252</v>
      </c>
      <c r="H887" s="2" t="s">
        <v>5252</v>
      </c>
      <c r="I887" s="2" t="s">
        <v>5253</v>
      </c>
      <c r="J887" s="2" t="s">
        <v>593</v>
      </c>
      <c r="K887" s="2" t="s">
        <v>363</v>
      </c>
      <c r="L887" s="3">
        <v>38</v>
      </c>
      <c r="M887" s="3">
        <v>39.9</v>
      </c>
      <c r="N887" s="3">
        <v>79.99</v>
      </c>
      <c r="O887" s="2" t="s">
        <v>224</v>
      </c>
      <c r="P887" s="2" t="s">
        <v>485</v>
      </c>
      <c r="Q887" s="2" t="s">
        <v>226</v>
      </c>
      <c r="R887" s="2" t="s">
        <v>227</v>
      </c>
      <c r="S887" s="2" t="s">
        <v>5258</v>
      </c>
      <c r="T887" s="2" t="s">
        <v>286</v>
      </c>
      <c r="U887" s="2" t="s">
        <v>594</v>
      </c>
      <c r="V887" s="2" t="s">
        <v>230</v>
      </c>
      <c r="W887" s="2" t="s">
        <v>581</v>
      </c>
      <c r="X887" s="2" t="s">
        <v>227</v>
      </c>
      <c r="Y887" s="2" t="s">
        <v>4466</v>
      </c>
      <c r="Z887" s="4">
        <v>736</v>
      </c>
      <c r="AA887" s="4">
        <f>=ROUNDDOWN(92,0)</f>
      </c>
      <c r="AB887" s="5">
        <v>8</v>
      </c>
      <c r="AC887" s="2" t="s">
        <v>227</v>
      </c>
      <c r="AD887" s="4"/>
      <c r="AE887" s="4"/>
      <c r="AF887" s="6">
        <v>67</v>
      </c>
      <c r="AG887" s="6"/>
      <c r="AH887" s="7">
        <v>1</v>
      </c>
      <c r="AI887" s="4"/>
      <c r="AJ887" s="4">
        <f>=ROUNDDOWN({0},0)</f>
      </c>
      <c r="AK887" s="5"/>
      <c r="AL887" s="2" t="s">
        <v>227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 t="s">
        <v>227</v>
      </c>
      <c r="BD887" s="8" t="s">
        <v>227</v>
      </c>
      <c r="BE887" s="4" t="s">
        <v>227</v>
      </c>
      <c r="BF887" s="8" t="s">
        <v>227</v>
      </c>
      <c r="BG887" s="7" t="s">
        <v>227</v>
      </c>
      <c r="BH887" s="7" t="s">
        <v>227</v>
      </c>
      <c r="BI887" s="7"/>
      <c r="BJ887" s="4">
        <v>21</v>
      </c>
      <c r="BK887" s="8">
        <v>892.44</v>
      </c>
      <c r="BL887" s="2" t="s">
        <v>5259</v>
      </c>
      <c r="BM887" s="7"/>
      <c r="BN887" s="7"/>
      <c r="BO887" s="4"/>
      <c r="BP887" s="8"/>
      <c r="BQ887" s="4"/>
      <c r="BR887" s="8"/>
      <c r="BS887" s="7"/>
      <c r="BT887" s="7"/>
      <c r="BU887" s="2" t="s">
        <v>5260</v>
      </c>
      <c r="BV887" s="2" t="s">
        <v>227</v>
      </c>
      <c r="BW887" s="2" t="s">
        <v>227</v>
      </c>
      <c r="BX887" s="2" t="s">
        <v>235</v>
      </c>
      <c r="BY887" s="2" t="s">
        <v>236</v>
      </c>
      <c r="BZ887" s="2" t="s">
        <v>224</v>
      </c>
      <c r="CA887" s="2" t="s">
        <v>4466</v>
      </c>
      <c r="CB887" s="2" t="s">
        <v>5261</v>
      </c>
      <c r="CC887" s="2" t="s">
        <v>239</v>
      </c>
      <c r="CD887" s="2" t="s">
        <v>227</v>
      </c>
      <c r="CE887" s="4">
        <v>736</v>
      </c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/>
      <c r="FD887" s="4"/>
      <c r="FE887" s="4"/>
      <c r="FF887" s="4"/>
      <c r="FG887" s="4"/>
      <c r="FH887" s="4"/>
      <c r="FI887" s="4"/>
      <c r="FJ887" s="4"/>
      <c r="FK887" s="4"/>
      <c r="FL887" s="4"/>
      <c r="FM887" s="4"/>
      <c r="FN887" s="4"/>
      <c r="FO887" s="4"/>
      <c r="FP887" s="4"/>
      <c r="FQ887" s="4"/>
      <c r="FR887" s="4"/>
      <c r="FS887" s="4"/>
      <c r="FT887" s="4"/>
      <c r="FU887" s="4"/>
      <c r="FV887" s="4"/>
      <c r="FW887" s="4"/>
      <c r="FX887" s="4"/>
      <c r="FY887" s="4"/>
      <c r="FZ887" s="4"/>
      <c r="GA887" s="4"/>
      <c r="GB887" s="4"/>
      <c r="GC887" s="4"/>
      <c r="GD887" s="4"/>
      <c r="GE887" s="4"/>
      <c r="GF887" s="4"/>
      <c r="GG887" s="4"/>
      <c r="GH887" s="4"/>
      <c r="GI887" s="4"/>
      <c r="GJ887" s="4"/>
      <c r="GK887" s="4"/>
      <c r="GL887" s="4"/>
      <c r="GM887" s="4"/>
      <c r="GN887" s="4"/>
      <c r="GO887" s="4"/>
      <c r="GP887" s="4"/>
      <c r="GQ887" s="4"/>
      <c r="GR887" s="4"/>
      <c r="GS887" s="4"/>
      <c r="GT887" s="4"/>
      <c r="GU887" s="4"/>
      <c r="GV887" s="4"/>
      <c r="GW887" s="4"/>
      <c r="GX887" s="4"/>
    </row>
    <row r="888">
      <c r="A888" s="2" t="s">
        <v>5262</v>
      </c>
      <c r="B888" s="2" t="s">
        <v>514</v>
      </c>
      <c r="C888" s="2" t="s">
        <v>1962</v>
      </c>
      <c r="D888" s="2" t="s">
        <v>516</v>
      </c>
      <c r="E888" s="2" t="s">
        <v>517</v>
      </c>
      <c r="F888" s="2" t="s">
        <v>5252</v>
      </c>
      <c r="G888" s="2" t="s">
        <v>5252</v>
      </c>
      <c r="H888" s="2" t="s">
        <v>5252</v>
      </c>
      <c r="I888" s="2" t="s">
        <v>5253</v>
      </c>
      <c r="J888" s="2" t="s">
        <v>593</v>
      </c>
      <c r="K888" s="2" t="s">
        <v>657</v>
      </c>
      <c r="L888" s="3">
        <v>38</v>
      </c>
      <c r="M888" s="3">
        <v>39.9</v>
      </c>
      <c r="N888" s="3">
        <v>79.99</v>
      </c>
      <c r="O888" s="2" t="s">
        <v>224</v>
      </c>
      <c r="P888" s="2" t="s">
        <v>225</v>
      </c>
      <c r="Q888" s="2" t="s">
        <v>226</v>
      </c>
      <c r="R888" s="2" t="s">
        <v>227</v>
      </c>
      <c r="S888" s="2" t="s">
        <v>5263</v>
      </c>
      <c r="T888" s="2" t="s">
        <v>286</v>
      </c>
      <c r="U888" s="2" t="s">
        <v>594</v>
      </c>
      <c r="V888" s="2" t="s">
        <v>230</v>
      </c>
      <c r="W888" s="2" t="s">
        <v>581</v>
      </c>
      <c r="X888" s="2" t="s">
        <v>227</v>
      </c>
      <c r="Y888" s="2" t="s">
        <v>5264</v>
      </c>
      <c r="Z888" s="4">
        <v>550</v>
      </c>
      <c r="AA888" s="4">
        <f>=ROUNDDOWN(68.75,0)</f>
      </c>
      <c r="AB888" s="5">
        <v>8</v>
      </c>
      <c r="AC888" s="2" t="s">
        <v>227</v>
      </c>
      <c r="AD888" s="4"/>
      <c r="AE888" s="4"/>
      <c r="AF888" s="6">
        <v>67</v>
      </c>
      <c r="AG888" s="6"/>
      <c r="AH888" s="7">
        <v>1</v>
      </c>
      <c r="AI888" s="4"/>
      <c r="AJ888" s="4">
        <f>=ROUNDDOWN({0},0)</f>
      </c>
      <c r="AK888" s="5"/>
      <c r="AL888" s="2" t="s">
        <v>227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/>
      <c r="AW888" s="8"/>
      <c r="AX888" s="4"/>
      <c r="AY888" s="8"/>
      <c r="AZ888" s="7"/>
      <c r="BA888" s="7"/>
      <c r="BB888" s="7"/>
      <c r="BC888" s="4" t="s">
        <v>227</v>
      </c>
      <c r="BD888" s="8" t="s">
        <v>227</v>
      </c>
      <c r="BE888" s="4" t="s">
        <v>227</v>
      </c>
      <c r="BF888" s="8" t="s">
        <v>227</v>
      </c>
      <c r="BG888" s="7" t="s">
        <v>227</v>
      </c>
      <c r="BH888" s="7" t="s">
        <v>227</v>
      </c>
      <c r="BI888" s="7"/>
      <c r="BJ888" s="4">
        <v>18</v>
      </c>
      <c r="BK888" s="8">
        <v>763.38</v>
      </c>
      <c r="BL888" s="2" t="s">
        <v>5265</v>
      </c>
      <c r="BM888" s="7"/>
      <c r="BN888" s="7"/>
      <c r="BO888" s="4"/>
      <c r="BP888" s="8"/>
      <c r="BQ888" s="4"/>
      <c r="BR888" s="8"/>
      <c r="BS888" s="7"/>
      <c r="BT888" s="7"/>
      <c r="BU888" s="2" t="s">
        <v>1621</v>
      </c>
      <c r="BV888" s="2" t="s">
        <v>227</v>
      </c>
      <c r="BW888" s="2" t="s">
        <v>227</v>
      </c>
      <c r="BX888" s="2" t="s">
        <v>1621</v>
      </c>
      <c r="BY888" s="2" t="s">
        <v>5266</v>
      </c>
      <c r="BZ888" s="2" t="s">
        <v>224</v>
      </c>
      <c r="CA888" s="2" t="s">
        <v>227</v>
      </c>
      <c r="CB888" s="2" t="s">
        <v>227</v>
      </c>
      <c r="CC888" s="2" t="s">
        <v>239</v>
      </c>
      <c r="CD888" s="2" t="s">
        <v>227</v>
      </c>
      <c r="CE888" s="4">
        <v>550</v>
      </c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/>
      <c r="FG888" s="4"/>
      <c r="FH888" s="4"/>
      <c r="FI888" s="4"/>
      <c r="FJ888" s="4"/>
      <c r="FK888" s="4"/>
      <c r="FL888" s="4"/>
      <c r="FM888" s="4"/>
      <c r="FN888" s="4"/>
      <c r="FO888" s="4"/>
      <c r="FP888" s="4"/>
      <c r="FQ888" s="4"/>
      <c r="FR888" s="4"/>
      <c r="FS888" s="4"/>
      <c r="FT888" s="4"/>
      <c r="FU888" s="4"/>
      <c r="FV888" s="4"/>
      <c r="FW888" s="4"/>
      <c r="FX888" s="4"/>
      <c r="FY888" s="4"/>
      <c r="FZ888" s="4"/>
      <c r="GA888" s="4"/>
      <c r="GB888" s="4"/>
      <c r="GC888" s="4"/>
      <c r="GD888" s="4"/>
      <c r="GE888" s="4"/>
      <c r="GF888" s="4"/>
      <c r="GG888" s="4"/>
      <c r="GH888" s="4"/>
      <c r="GI888" s="4"/>
      <c r="GJ888" s="4"/>
      <c r="GK888" s="4"/>
      <c r="GL888" s="4"/>
      <c r="GM888" s="4"/>
      <c r="GN888" s="4"/>
      <c r="GO888" s="4"/>
      <c r="GP888" s="4"/>
      <c r="GQ888" s="4"/>
      <c r="GR888" s="4"/>
      <c r="GS888" s="4"/>
      <c r="GT888" s="4"/>
      <c r="GU888" s="4"/>
      <c r="GV888" s="4"/>
      <c r="GW888" s="4"/>
      <c r="GX888" s="4"/>
    </row>
    <row r="889">
      <c r="A889" s="2" t="s">
        <v>5267</v>
      </c>
      <c r="B889" s="2" t="s">
        <v>697</v>
      </c>
      <c r="C889" s="2" t="s">
        <v>1981</v>
      </c>
      <c r="D889" s="2" t="s">
        <v>1982</v>
      </c>
      <c r="E889" s="2" t="s">
        <v>1983</v>
      </c>
      <c r="F889" s="2" t="s">
        <v>5268</v>
      </c>
      <c r="G889" s="2" t="s">
        <v>5268</v>
      </c>
      <c r="H889" s="2" t="s">
        <v>5268</v>
      </c>
      <c r="I889" s="2" t="s">
        <v>1449</v>
      </c>
      <c r="J889" s="2" t="s">
        <v>247</v>
      </c>
      <c r="K889" s="2" t="s">
        <v>1780</v>
      </c>
      <c r="L889" s="3">
        <v>50.08</v>
      </c>
      <c r="M889" s="3">
        <v>52.58</v>
      </c>
      <c r="N889" s="3">
        <v>106.99</v>
      </c>
      <c r="O889" s="2" t="s">
        <v>224</v>
      </c>
      <c r="P889" s="2" t="s">
        <v>225</v>
      </c>
      <c r="Q889" s="2" t="s">
        <v>226</v>
      </c>
      <c r="R889" s="2" t="s">
        <v>227</v>
      </c>
      <c r="S889" s="2" t="s">
        <v>227</v>
      </c>
      <c r="T889" s="2" t="s">
        <v>1698</v>
      </c>
      <c r="U889" s="2" t="s">
        <v>552</v>
      </c>
      <c r="V889" s="2" t="s">
        <v>230</v>
      </c>
      <c r="W889" s="2" t="s">
        <v>231</v>
      </c>
      <c r="X889" s="2" t="s">
        <v>227</v>
      </c>
      <c r="Y889" s="2" t="s">
        <v>5269</v>
      </c>
      <c r="Z889" s="4">
        <v>154</v>
      </c>
      <c r="AA889" s="4">
        <f>=ROUNDDOWN(15.4,0)</f>
      </c>
      <c r="AB889" s="5">
        <v>10</v>
      </c>
      <c r="AC889" s="2" t="s">
        <v>732</v>
      </c>
      <c r="AD889" s="4">
        <v>170</v>
      </c>
      <c r="AE889" s="4">
        <v>170</v>
      </c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227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/>
      <c r="AW889" s="8"/>
      <c r="AX889" s="4"/>
      <c r="AY889" s="8"/>
      <c r="AZ889" s="7"/>
      <c r="BA889" s="7"/>
      <c r="BB889" s="7"/>
      <c r="BC889" s="4" t="s">
        <v>227</v>
      </c>
      <c r="BD889" s="8" t="s">
        <v>227</v>
      </c>
      <c r="BE889" s="4" t="s">
        <v>227</v>
      </c>
      <c r="BF889" s="8" t="s">
        <v>227</v>
      </c>
      <c r="BG889" s="7" t="s">
        <v>227</v>
      </c>
      <c r="BH889" s="7" t="s">
        <v>227</v>
      </c>
      <c r="BI889" s="7"/>
      <c r="BJ889" s="4">
        <v>5</v>
      </c>
      <c r="BK889" s="8">
        <v>271.75</v>
      </c>
      <c r="BL889" s="2" t="s">
        <v>4684</v>
      </c>
      <c r="BM889" s="7"/>
      <c r="BN889" s="7"/>
      <c r="BO889" s="4"/>
      <c r="BP889" s="8"/>
      <c r="BQ889" s="4"/>
      <c r="BR889" s="8"/>
      <c r="BS889" s="7"/>
      <c r="BT889" s="7"/>
      <c r="BU889" s="2" t="s">
        <v>5270</v>
      </c>
      <c r="BV889" s="2" t="s">
        <v>227</v>
      </c>
      <c r="BW889" s="2" t="s">
        <v>227</v>
      </c>
      <c r="BX889" s="2" t="s">
        <v>235</v>
      </c>
      <c r="BY889" s="2" t="s">
        <v>236</v>
      </c>
      <c r="BZ889" s="2" t="s">
        <v>224</v>
      </c>
      <c r="CA889" s="2" t="s">
        <v>930</v>
      </c>
      <c r="CB889" s="2" t="s">
        <v>5271</v>
      </c>
      <c r="CC889" s="2" t="s">
        <v>239</v>
      </c>
      <c r="CD889" s="2" t="s">
        <v>227</v>
      </c>
      <c r="CE889" s="4">
        <v>154</v>
      </c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>
        <v>170</v>
      </c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/>
      <c r="FA889" s="4"/>
      <c r="FB889" s="4"/>
      <c r="FC889" s="4"/>
      <c r="FD889" s="4"/>
      <c r="FE889" s="4"/>
      <c r="FF889" s="4"/>
      <c r="FG889" s="4"/>
      <c r="FH889" s="4"/>
      <c r="FI889" s="4"/>
      <c r="FJ889" s="4"/>
      <c r="FK889" s="4"/>
      <c r="FL889" s="4"/>
      <c r="FM889" s="4"/>
      <c r="FN889" s="4"/>
      <c r="FO889" s="4"/>
      <c r="FP889" s="4"/>
      <c r="FQ889" s="4"/>
      <c r="FR889" s="4"/>
      <c r="FS889" s="4"/>
      <c r="FT889" s="4"/>
      <c r="FU889" s="4"/>
      <c r="FV889" s="4"/>
      <c r="FW889" s="4"/>
      <c r="FX889" s="4"/>
      <c r="FY889" s="4"/>
      <c r="FZ889" s="4"/>
      <c r="GA889" s="4"/>
      <c r="GB889" s="4"/>
      <c r="GC889" s="4"/>
      <c r="GD889" s="4"/>
      <c r="GE889" s="4"/>
      <c r="GF889" s="4"/>
      <c r="GG889" s="4"/>
      <c r="GH889" s="4"/>
      <c r="GI889" s="4"/>
      <c r="GJ889" s="4"/>
      <c r="GK889" s="4"/>
      <c r="GL889" s="4"/>
      <c r="GM889" s="4"/>
      <c r="GN889" s="4"/>
      <c r="GO889" s="4"/>
      <c r="GP889" s="4"/>
      <c r="GQ889" s="4"/>
      <c r="GR889" s="4"/>
      <c r="GS889" s="4"/>
      <c r="GT889" s="4"/>
      <c r="GU889" s="4"/>
      <c r="GV889" s="4"/>
      <c r="GW889" s="4"/>
      <c r="GX889" s="4"/>
    </row>
    <row r="890">
      <c r="A890" s="2" t="s">
        <v>5272</v>
      </c>
      <c r="B890" s="2" t="s">
        <v>697</v>
      </c>
      <c r="C890" s="2" t="s">
        <v>1981</v>
      </c>
      <c r="D890" s="2" t="s">
        <v>1982</v>
      </c>
      <c r="E890" s="2" t="s">
        <v>1983</v>
      </c>
      <c r="F890" s="2" t="s">
        <v>5268</v>
      </c>
      <c r="G890" s="2" t="s">
        <v>5268</v>
      </c>
      <c r="H890" s="2" t="s">
        <v>5268</v>
      </c>
      <c r="I890" s="2" t="s">
        <v>1449</v>
      </c>
      <c r="J890" s="2" t="s">
        <v>247</v>
      </c>
      <c r="K890" s="2" t="s">
        <v>2068</v>
      </c>
      <c r="L890" s="3">
        <v>50.08</v>
      </c>
      <c r="M890" s="3">
        <v>52.58</v>
      </c>
      <c r="N890" s="3">
        <v>106.99</v>
      </c>
      <c r="O890" s="2" t="s">
        <v>224</v>
      </c>
      <c r="P890" s="2" t="s">
        <v>225</v>
      </c>
      <c r="Q890" s="2" t="s">
        <v>226</v>
      </c>
      <c r="R890" s="2" t="s">
        <v>227</v>
      </c>
      <c r="S890" s="2" t="s">
        <v>227</v>
      </c>
      <c r="T890" s="2" t="s">
        <v>1698</v>
      </c>
      <c r="U890" s="2" t="s">
        <v>552</v>
      </c>
      <c r="V890" s="2" t="s">
        <v>230</v>
      </c>
      <c r="W890" s="2" t="s">
        <v>231</v>
      </c>
      <c r="X890" s="2" t="s">
        <v>227</v>
      </c>
      <c r="Y890" s="2" t="s">
        <v>3096</v>
      </c>
      <c r="Z890" s="4">
        <v>196</v>
      </c>
      <c r="AA890" s="4">
        <f>=ROUNDDOWN(19.6,0)</f>
      </c>
      <c r="AB890" s="5">
        <v>10</v>
      </c>
      <c r="AC890" s="2" t="s">
        <v>732</v>
      </c>
      <c r="AD890" s="4">
        <v>170</v>
      </c>
      <c r="AE890" s="4">
        <v>170</v>
      </c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227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/>
      <c r="AW890" s="8"/>
      <c r="AX890" s="4"/>
      <c r="AY890" s="8"/>
      <c r="AZ890" s="7"/>
      <c r="BA890" s="7"/>
      <c r="BB890" s="7"/>
      <c r="BC890" s="4" t="s">
        <v>227</v>
      </c>
      <c r="BD890" s="8" t="s">
        <v>227</v>
      </c>
      <c r="BE890" s="4" t="s">
        <v>227</v>
      </c>
      <c r="BF890" s="8" t="s">
        <v>227</v>
      </c>
      <c r="BG890" s="7" t="s">
        <v>227</v>
      </c>
      <c r="BH890" s="7" t="s">
        <v>227</v>
      </c>
      <c r="BI890" s="7"/>
      <c r="BJ890" s="4">
        <v>7</v>
      </c>
      <c r="BK890" s="8">
        <v>383.47</v>
      </c>
      <c r="BL890" s="2" t="s">
        <v>5273</v>
      </c>
      <c r="BM890" s="7"/>
      <c r="BN890" s="7"/>
      <c r="BO890" s="4"/>
      <c r="BP890" s="8"/>
      <c r="BQ890" s="4"/>
      <c r="BR890" s="8"/>
      <c r="BS890" s="7"/>
      <c r="BT890" s="7"/>
      <c r="BU890" s="2" t="s">
        <v>5274</v>
      </c>
      <c r="BV890" s="2" t="s">
        <v>227</v>
      </c>
      <c r="BW890" s="2" t="s">
        <v>227</v>
      </c>
      <c r="BX890" s="2" t="s">
        <v>235</v>
      </c>
      <c r="BY890" s="2" t="s">
        <v>236</v>
      </c>
      <c r="BZ890" s="2" t="s">
        <v>224</v>
      </c>
      <c r="CA890" s="2" t="s">
        <v>3096</v>
      </c>
      <c r="CB890" s="2" t="s">
        <v>5051</v>
      </c>
      <c r="CC890" s="2" t="s">
        <v>239</v>
      </c>
      <c r="CD890" s="2" t="s">
        <v>227</v>
      </c>
      <c r="CE890" s="4">
        <v>196</v>
      </c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>
        <v>170</v>
      </c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/>
      <c r="FF890" s="4"/>
      <c r="FG890" s="4"/>
      <c r="FH890" s="4"/>
      <c r="FI890" s="4"/>
      <c r="FJ890" s="4"/>
      <c r="FK890" s="4"/>
      <c r="FL890" s="4"/>
      <c r="FM890" s="4"/>
      <c r="FN890" s="4"/>
      <c r="FO890" s="4"/>
      <c r="FP890" s="4"/>
      <c r="FQ890" s="4"/>
      <c r="FR890" s="4"/>
      <c r="FS890" s="4"/>
      <c r="FT890" s="4"/>
      <c r="FU890" s="4"/>
      <c r="FV890" s="4"/>
      <c r="FW890" s="4"/>
      <c r="FX890" s="4"/>
      <c r="FY890" s="4"/>
      <c r="FZ890" s="4"/>
      <c r="GA890" s="4"/>
      <c r="GB890" s="4"/>
      <c r="GC890" s="4"/>
      <c r="GD890" s="4"/>
      <c r="GE890" s="4"/>
      <c r="GF890" s="4"/>
      <c r="GG890" s="4"/>
      <c r="GH890" s="4"/>
      <c r="GI890" s="4"/>
      <c r="GJ890" s="4"/>
      <c r="GK890" s="4"/>
      <c r="GL890" s="4"/>
      <c r="GM890" s="4"/>
      <c r="GN890" s="4"/>
      <c r="GO890" s="4"/>
      <c r="GP890" s="4"/>
      <c r="GQ890" s="4"/>
      <c r="GR890" s="4"/>
      <c r="GS890" s="4"/>
      <c r="GT890" s="4"/>
      <c r="GU890" s="4"/>
      <c r="GV890" s="4"/>
      <c r="GW890" s="4"/>
      <c r="GX890" s="4"/>
    </row>
    <row r="891">
      <c r="A891" s="2" t="s">
        <v>5275</v>
      </c>
      <c r="B891" s="2" t="s">
        <v>278</v>
      </c>
      <c r="C891" s="2" t="s">
        <v>619</v>
      </c>
      <c r="D891" s="2" t="s">
        <v>280</v>
      </c>
      <c r="E891" s="2" t="s">
        <v>281</v>
      </c>
      <c r="F891" s="2" t="s">
        <v>5276</v>
      </c>
      <c r="G891" s="2" t="s">
        <v>5276</v>
      </c>
      <c r="H891" s="2" t="s">
        <v>5276</v>
      </c>
      <c r="I891" s="2" t="s">
        <v>5277</v>
      </c>
      <c r="J891" s="2" t="s">
        <v>247</v>
      </c>
      <c r="K891" s="2" t="s">
        <v>5278</v>
      </c>
      <c r="L891" s="3">
        <v>24.75</v>
      </c>
      <c r="M891" s="3">
        <v>25.99</v>
      </c>
      <c r="N891" s="3">
        <v>54.99</v>
      </c>
      <c r="O891" s="2" t="s">
        <v>224</v>
      </c>
      <c r="P891" s="2" t="s">
        <v>225</v>
      </c>
      <c r="Q891" s="2" t="s">
        <v>226</v>
      </c>
      <c r="R891" s="2" t="s">
        <v>227</v>
      </c>
      <c r="S891" s="2" t="s">
        <v>5279</v>
      </c>
      <c r="T891" s="2" t="s">
        <v>286</v>
      </c>
      <c r="U891" s="2" t="s">
        <v>227</v>
      </c>
      <c r="V891" s="2" t="s">
        <v>2232</v>
      </c>
      <c r="W891" s="2" t="s">
        <v>231</v>
      </c>
      <c r="X891" s="2" t="s">
        <v>227</v>
      </c>
      <c r="Y891" s="2" t="s">
        <v>232</v>
      </c>
      <c r="Z891" s="4">
        <v>51</v>
      </c>
      <c r="AA891" s="4">
        <f>=ROUNDDOWN(8.36065573770492,0)</f>
      </c>
      <c r="AB891" s="5">
        <v>6.1</v>
      </c>
      <c r="AC891" s="2" t="s">
        <v>1596</v>
      </c>
      <c r="AD891" s="4">
        <v>40</v>
      </c>
      <c r="AE891" s="4">
        <v>190</v>
      </c>
      <c r="AF891" s="6">
        <v>67</v>
      </c>
      <c r="AG891" s="6"/>
      <c r="AH891" s="7">
        <v>1</v>
      </c>
      <c r="AI891" s="4"/>
      <c r="AJ891" s="4">
        <f>=ROUNDDOWN({0},0)</f>
      </c>
      <c r="AK891" s="5"/>
      <c r="AL891" s="2" t="s">
        <v>227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/>
      <c r="AW891" s="8"/>
      <c r="AX891" s="4"/>
      <c r="AY891" s="8"/>
      <c r="AZ891" s="7"/>
      <c r="BA891" s="7"/>
      <c r="BB891" s="7"/>
      <c r="BC891" s="4" t="s">
        <v>227</v>
      </c>
      <c r="BD891" s="8" t="s">
        <v>227</v>
      </c>
      <c r="BE891" s="4" t="s">
        <v>227</v>
      </c>
      <c r="BF891" s="8" t="s">
        <v>227</v>
      </c>
      <c r="BG891" s="7" t="s">
        <v>227</v>
      </c>
      <c r="BH891" s="7" t="s">
        <v>227</v>
      </c>
      <c r="BI891" s="7"/>
      <c r="BJ891" s="4">
        <v>38</v>
      </c>
      <c r="BK891" s="8">
        <v>920.18</v>
      </c>
      <c r="BL891" s="2" t="s">
        <v>5280</v>
      </c>
      <c r="BM891" s="7"/>
      <c r="BN891" s="7"/>
      <c r="BO891" s="4"/>
      <c r="BP891" s="8"/>
      <c r="BQ891" s="4"/>
      <c r="BR891" s="8"/>
      <c r="BS891" s="7"/>
      <c r="BT891" s="7"/>
      <c r="BU891" s="2" t="s">
        <v>5281</v>
      </c>
      <c r="BV891" s="2" t="s">
        <v>227</v>
      </c>
      <c r="BW891" s="2" t="s">
        <v>227</v>
      </c>
      <c r="BX891" s="2" t="s">
        <v>235</v>
      </c>
      <c r="BY891" s="2" t="s">
        <v>236</v>
      </c>
      <c r="BZ891" s="2" t="s">
        <v>224</v>
      </c>
      <c r="CA891" s="2" t="s">
        <v>5282</v>
      </c>
      <c r="CB891" s="2" t="s">
        <v>4306</v>
      </c>
      <c r="CC891" s="2" t="s">
        <v>239</v>
      </c>
      <c r="CD891" s="2" t="s">
        <v>227</v>
      </c>
      <c r="CE891" s="4">
        <v>51</v>
      </c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>
        <v>40</v>
      </c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>
        <v>109</v>
      </c>
      <c r="EU891" s="4"/>
      <c r="EV891" s="4"/>
      <c r="EW891" s="4"/>
      <c r="EX891" s="4"/>
      <c r="EY891" s="4"/>
      <c r="EZ891" s="4"/>
      <c r="FA891" s="4"/>
      <c r="FB891" s="4"/>
      <c r="FC891" s="4"/>
      <c r="FD891" s="4"/>
      <c r="FE891" s="4"/>
      <c r="FF891" s="4"/>
      <c r="FG891" s="4"/>
      <c r="FH891" s="4"/>
      <c r="FI891" s="4"/>
      <c r="FJ891" s="4"/>
      <c r="FK891" s="4"/>
      <c r="FL891" s="4"/>
      <c r="FM891" s="4">
        <v>41</v>
      </c>
      <c r="FN891" s="4"/>
      <c r="FO891" s="4"/>
      <c r="FP891" s="4"/>
      <c r="FQ891" s="4"/>
      <c r="FR891" s="4"/>
      <c r="FS891" s="4"/>
      <c r="FT891" s="4"/>
      <c r="FU891" s="4"/>
      <c r="FV891" s="4"/>
      <c r="FW891" s="4"/>
      <c r="FX891" s="4"/>
      <c r="FY891" s="4"/>
      <c r="FZ891" s="4"/>
      <c r="GA891" s="4"/>
      <c r="GB891" s="4"/>
      <c r="GC891" s="4"/>
      <c r="GD891" s="4"/>
      <c r="GE891" s="4"/>
      <c r="GF891" s="4"/>
      <c r="GG891" s="4"/>
      <c r="GH891" s="4"/>
      <c r="GI891" s="4"/>
      <c r="GJ891" s="4"/>
      <c r="GK891" s="4"/>
      <c r="GL891" s="4"/>
      <c r="GM891" s="4"/>
      <c r="GN891" s="4"/>
      <c r="GO891" s="4"/>
      <c r="GP891" s="4"/>
      <c r="GQ891" s="4"/>
      <c r="GR891" s="4"/>
      <c r="GS891" s="4"/>
      <c r="GT891" s="4"/>
      <c r="GU891" s="4"/>
      <c r="GV891" s="4"/>
      <c r="GW891" s="4"/>
      <c r="GX891" s="4"/>
    </row>
    <row r="892">
      <c r="A892" s="2" t="s">
        <v>5283</v>
      </c>
      <c r="B892" s="2" t="s">
        <v>278</v>
      </c>
      <c r="C892" s="2" t="s">
        <v>619</v>
      </c>
      <c r="D892" s="2" t="s">
        <v>280</v>
      </c>
      <c r="E892" s="2" t="s">
        <v>281</v>
      </c>
      <c r="F892" s="2" t="s">
        <v>5276</v>
      </c>
      <c r="G892" s="2" t="s">
        <v>5276</v>
      </c>
      <c r="H892" s="2" t="s">
        <v>5276</v>
      </c>
      <c r="I892" s="2" t="s">
        <v>5277</v>
      </c>
      <c r="J892" s="2" t="s">
        <v>252</v>
      </c>
      <c r="K892" s="2" t="s">
        <v>1577</v>
      </c>
      <c r="L892" s="3">
        <v>27</v>
      </c>
      <c r="M892" s="3">
        <v>28.35</v>
      </c>
      <c r="N892" s="3">
        <v>59.99</v>
      </c>
      <c r="O892" s="2" t="s">
        <v>224</v>
      </c>
      <c r="P892" s="2" t="s">
        <v>225</v>
      </c>
      <c r="Q892" s="2" t="s">
        <v>226</v>
      </c>
      <c r="R892" s="2" t="s">
        <v>227</v>
      </c>
      <c r="S892" s="2" t="s">
        <v>5284</v>
      </c>
      <c r="T892" s="2" t="s">
        <v>286</v>
      </c>
      <c r="U892" s="2" t="s">
        <v>227</v>
      </c>
      <c r="V892" s="2" t="s">
        <v>2232</v>
      </c>
      <c r="W892" s="2" t="s">
        <v>231</v>
      </c>
      <c r="X892" s="2" t="s">
        <v>227</v>
      </c>
      <c r="Y892" s="2" t="s">
        <v>232</v>
      </c>
      <c r="Z892" s="4">
        <v>23</v>
      </c>
      <c r="AA892" s="4">
        <f>=ROUNDDOWN(1.27777777777778,0)</f>
      </c>
      <c r="AB892" s="5">
        <v>18</v>
      </c>
      <c r="AC892" s="2" t="s">
        <v>2297</v>
      </c>
      <c r="AD892" s="4">
        <v>283</v>
      </c>
      <c r="AE892" s="4">
        <v>573</v>
      </c>
      <c r="AF892" s="6">
        <v>67</v>
      </c>
      <c r="AG892" s="6"/>
      <c r="AH892" s="7">
        <v>1</v>
      </c>
      <c r="AI892" s="4"/>
      <c r="AJ892" s="4">
        <f>=ROUNDDOWN({0},0)</f>
      </c>
      <c r="AK892" s="5"/>
      <c r="AL892" s="2" t="s">
        <v>227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/>
      <c r="AW892" s="8"/>
      <c r="AX892" s="4"/>
      <c r="AY892" s="8"/>
      <c r="AZ892" s="7"/>
      <c r="BA892" s="7"/>
      <c r="BB892" s="7"/>
      <c r="BC892" s="4" t="s">
        <v>227</v>
      </c>
      <c r="BD892" s="8" t="s">
        <v>227</v>
      </c>
      <c r="BE892" s="4" t="s">
        <v>227</v>
      </c>
      <c r="BF892" s="8" t="s">
        <v>227</v>
      </c>
      <c r="BG892" s="7" t="s">
        <v>227</v>
      </c>
      <c r="BH892" s="7" t="s">
        <v>227</v>
      </c>
      <c r="BI892" s="7"/>
      <c r="BJ892" s="4">
        <v>77</v>
      </c>
      <c r="BK892" s="8">
        <v>2104.68</v>
      </c>
      <c r="BL892" s="2" t="s">
        <v>5285</v>
      </c>
      <c r="BM892" s="7"/>
      <c r="BN892" s="7"/>
      <c r="BO892" s="4"/>
      <c r="BP892" s="8"/>
      <c r="BQ892" s="4"/>
      <c r="BR892" s="8"/>
      <c r="BS892" s="7"/>
      <c r="BT892" s="7"/>
      <c r="BU892" s="2" t="s">
        <v>5286</v>
      </c>
      <c r="BV892" s="2" t="s">
        <v>227</v>
      </c>
      <c r="BW892" s="2" t="s">
        <v>227</v>
      </c>
      <c r="BX892" s="2" t="s">
        <v>235</v>
      </c>
      <c r="BY892" s="2" t="s">
        <v>236</v>
      </c>
      <c r="BZ892" s="2" t="s">
        <v>224</v>
      </c>
      <c r="CA892" s="2" t="s">
        <v>237</v>
      </c>
      <c r="CB892" s="2" t="s">
        <v>2053</v>
      </c>
      <c r="CC892" s="2" t="s">
        <v>239</v>
      </c>
      <c r="CD892" s="2" t="s">
        <v>227</v>
      </c>
      <c r="CE892" s="4">
        <v>23</v>
      </c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>
        <v>283</v>
      </c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/>
      <c r="FD892" s="4"/>
      <c r="FE892" s="4">
        <v>110</v>
      </c>
      <c r="FF892" s="4"/>
      <c r="FG892" s="4"/>
      <c r="FH892" s="4"/>
      <c r="FI892" s="4"/>
      <c r="FJ892" s="4"/>
      <c r="FK892" s="4"/>
      <c r="FL892" s="4"/>
      <c r="FM892" s="4"/>
      <c r="FN892" s="4"/>
      <c r="FO892" s="4"/>
      <c r="FP892" s="4"/>
      <c r="FQ892" s="4"/>
      <c r="FR892" s="4"/>
      <c r="FS892" s="4"/>
      <c r="FT892" s="4"/>
      <c r="FU892" s="4"/>
      <c r="FV892" s="4"/>
      <c r="FW892" s="4"/>
      <c r="FX892" s="4"/>
      <c r="FY892" s="4"/>
      <c r="FZ892" s="4"/>
      <c r="GA892" s="4"/>
      <c r="GB892" s="4"/>
      <c r="GC892" s="4"/>
      <c r="GD892" s="4"/>
      <c r="GE892" s="4"/>
      <c r="GF892" s="4"/>
      <c r="GG892" s="4"/>
      <c r="GH892" s="4"/>
      <c r="GI892" s="4">
        <v>140</v>
      </c>
      <c r="GJ892" s="4"/>
      <c r="GK892" s="4"/>
      <c r="GL892" s="4"/>
      <c r="GM892" s="4"/>
      <c r="GN892" s="4"/>
      <c r="GO892" s="4"/>
      <c r="GP892" s="4"/>
      <c r="GQ892" s="4"/>
      <c r="GR892" s="4"/>
      <c r="GS892" s="4"/>
      <c r="GT892" s="4"/>
      <c r="GU892" s="4"/>
      <c r="GV892" s="4"/>
      <c r="GW892" s="4"/>
      <c r="GX892" s="4">
        <v>40</v>
      </c>
    </row>
    <row r="893">
      <c r="A893" s="2" t="s">
        <v>5287</v>
      </c>
      <c r="B893" s="2" t="s">
        <v>278</v>
      </c>
      <c r="C893" s="2" t="s">
        <v>619</v>
      </c>
      <c r="D893" s="2" t="s">
        <v>280</v>
      </c>
      <c r="E893" s="2" t="s">
        <v>281</v>
      </c>
      <c r="F893" s="2" t="s">
        <v>5276</v>
      </c>
      <c r="G893" s="2" t="s">
        <v>5276</v>
      </c>
      <c r="H893" s="2" t="s">
        <v>5276</v>
      </c>
      <c r="I893" s="2" t="s">
        <v>5277</v>
      </c>
      <c r="J893" s="2" t="s">
        <v>222</v>
      </c>
      <c r="K893" s="2" t="s">
        <v>448</v>
      </c>
      <c r="L893" s="3">
        <v>21.6</v>
      </c>
      <c r="M893" s="3">
        <v>22.68</v>
      </c>
      <c r="N893" s="3">
        <v>47.99</v>
      </c>
      <c r="O893" s="2" t="s">
        <v>224</v>
      </c>
      <c r="P893" s="2" t="s">
        <v>225</v>
      </c>
      <c r="Q893" s="2" t="s">
        <v>226</v>
      </c>
      <c r="R893" s="2" t="s">
        <v>227</v>
      </c>
      <c r="S893" s="2" t="s">
        <v>5288</v>
      </c>
      <c r="T893" s="2" t="s">
        <v>286</v>
      </c>
      <c r="U893" s="2" t="s">
        <v>227</v>
      </c>
      <c r="V893" s="2" t="s">
        <v>2232</v>
      </c>
      <c r="W893" s="2" t="s">
        <v>231</v>
      </c>
      <c r="X893" s="2" t="s">
        <v>227</v>
      </c>
      <c r="Y893" s="2" t="s">
        <v>232</v>
      </c>
      <c r="Z893" s="4">
        <v>348</v>
      </c>
      <c r="AA893" s="4">
        <f>=ROUNDDOWN(71.0204081632653,0)</f>
      </c>
      <c r="AB893" s="5">
        <v>4.9</v>
      </c>
      <c r="AC893" s="2" t="s">
        <v>227</v>
      </c>
      <c r="AD893" s="4"/>
      <c r="AE893" s="4"/>
      <c r="AF893" s="6">
        <v>67</v>
      </c>
      <c r="AG893" s="6"/>
      <c r="AH893" s="7">
        <v>1</v>
      </c>
      <c r="AI893" s="4"/>
      <c r="AJ893" s="4">
        <f>=ROUNDDOWN({0},0)</f>
      </c>
      <c r="AK893" s="5"/>
      <c r="AL893" s="2" t="s">
        <v>227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227</v>
      </c>
      <c r="AW893" s="8" t="s">
        <v>227</v>
      </c>
      <c r="AX893" s="4" t="s">
        <v>227</v>
      </c>
      <c r="AY893" s="8" t="s">
        <v>227</v>
      </c>
      <c r="AZ893" s="7" t="s">
        <v>227</v>
      </c>
      <c r="BA893" s="7" t="s">
        <v>227</v>
      </c>
      <c r="BB893" s="7"/>
      <c r="BC893" s="4" t="s">
        <v>227</v>
      </c>
      <c r="BD893" s="8" t="s">
        <v>227</v>
      </c>
      <c r="BE893" s="4" t="s">
        <v>227</v>
      </c>
      <c r="BF893" s="8" t="s">
        <v>227</v>
      </c>
      <c r="BG893" s="7" t="s">
        <v>227</v>
      </c>
      <c r="BH893" s="7" t="s">
        <v>227</v>
      </c>
      <c r="BI893" s="7"/>
      <c r="BJ893" s="4">
        <v>23</v>
      </c>
      <c r="BK893" s="8">
        <v>520.98</v>
      </c>
      <c r="BL893" s="2" t="s">
        <v>3617</v>
      </c>
      <c r="BM893" s="7"/>
      <c r="BN893" s="7"/>
      <c r="BO893" s="4"/>
      <c r="BP893" s="8"/>
      <c r="BQ893" s="4"/>
      <c r="BR893" s="8"/>
      <c r="BS893" s="7"/>
      <c r="BT893" s="7"/>
      <c r="BU893" s="2" t="s">
        <v>5289</v>
      </c>
      <c r="BV893" s="2" t="s">
        <v>227</v>
      </c>
      <c r="BW893" s="2" t="s">
        <v>227</v>
      </c>
      <c r="BX893" s="2" t="s">
        <v>235</v>
      </c>
      <c r="BY893" s="2" t="s">
        <v>236</v>
      </c>
      <c r="BZ893" s="2" t="s">
        <v>224</v>
      </c>
      <c r="CA893" s="2" t="s">
        <v>2145</v>
      </c>
      <c r="CB893" s="2" t="s">
        <v>5290</v>
      </c>
      <c r="CC893" s="2" t="s">
        <v>239</v>
      </c>
      <c r="CD893" s="2" t="s">
        <v>227</v>
      </c>
      <c r="CE893" s="4">
        <v>348</v>
      </c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/>
      <c r="FA893" s="4"/>
      <c r="FB893" s="4"/>
      <c r="FC893" s="4"/>
      <c r="FD893" s="4"/>
      <c r="FE893" s="4"/>
      <c r="FF893" s="4"/>
      <c r="FG893" s="4"/>
      <c r="FH893" s="4"/>
      <c r="FI893" s="4"/>
      <c r="FJ893" s="4"/>
      <c r="FK893" s="4"/>
      <c r="FL893" s="4"/>
      <c r="FM893" s="4"/>
      <c r="FN893" s="4"/>
      <c r="FO893" s="4"/>
      <c r="FP893" s="4"/>
      <c r="FQ893" s="4"/>
      <c r="FR893" s="4"/>
      <c r="FS893" s="4"/>
      <c r="FT893" s="4"/>
      <c r="FU893" s="4"/>
      <c r="FV893" s="4"/>
      <c r="FW893" s="4"/>
      <c r="FX893" s="4"/>
      <c r="FY893" s="4"/>
      <c r="FZ893" s="4"/>
      <c r="GA893" s="4"/>
      <c r="GB893" s="4"/>
      <c r="GC893" s="4"/>
      <c r="GD893" s="4"/>
      <c r="GE893" s="4"/>
      <c r="GF893" s="4"/>
      <c r="GG893" s="4"/>
      <c r="GH893" s="4"/>
      <c r="GI893" s="4"/>
      <c r="GJ893" s="4"/>
      <c r="GK893" s="4"/>
      <c r="GL893" s="4"/>
      <c r="GM893" s="4"/>
      <c r="GN893" s="4"/>
      <c r="GO893" s="4"/>
      <c r="GP893" s="4"/>
      <c r="GQ893" s="4"/>
      <c r="GR893" s="4"/>
      <c r="GS893" s="4"/>
      <c r="GT893" s="4"/>
      <c r="GU893" s="4"/>
      <c r="GV893" s="4"/>
      <c r="GW893" s="4"/>
      <c r="GX893" s="4"/>
    </row>
    <row r="894">
      <c r="A894" s="2" t="s">
        <v>5291</v>
      </c>
      <c r="B894" s="2" t="s">
        <v>278</v>
      </c>
      <c r="C894" s="2" t="s">
        <v>619</v>
      </c>
      <c r="D894" s="2" t="s">
        <v>280</v>
      </c>
      <c r="E894" s="2" t="s">
        <v>281</v>
      </c>
      <c r="F894" s="2" t="s">
        <v>5276</v>
      </c>
      <c r="G894" s="2" t="s">
        <v>5276</v>
      </c>
      <c r="H894" s="2" t="s">
        <v>5276</v>
      </c>
      <c r="I894" s="2" t="s">
        <v>5277</v>
      </c>
      <c r="J894" s="2" t="s">
        <v>247</v>
      </c>
      <c r="K894" s="2" t="s">
        <v>448</v>
      </c>
      <c r="L894" s="3">
        <v>24.75</v>
      </c>
      <c r="M894" s="3">
        <v>25.99</v>
      </c>
      <c r="N894" s="3">
        <v>54.99</v>
      </c>
      <c r="O894" s="2" t="s">
        <v>224</v>
      </c>
      <c r="P894" s="2" t="s">
        <v>225</v>
      </c>
      <c r="Q894" s="2" t="s">
        <v>226</v>
      </c>
      <c r="R894" s="2" t="s">
        <v>227</v>
      </c>
      <c r="S894" s="2" t="s">
        <v>5288</v>
      </c>
      <c r="T894" s="2" t="s">
        <v>286</v>
      </c>
      <c r="U894" s="2" t="s">
        <v>227</v>
      </c>
      <c r="V894" s="2" t="s">
        <v>2232</v>
      </c>
      <c r="W894" s="2" t="s">
        <v>231</v>
      </c>
      <c r="X894" s="2" t="s">
        <v>227</v>
      </c>
      <c r="Y894" s="2" t="s">
        <v>232</v>
      </c>
      <c r="Z894" s="4">
        <v>140</v>
      </c>
      <c r="AA894" s="4">
        <f>=ROUNDDOWN(48.2758620689655,0)</f>
      </c>
      <c r="AB894" s="5">
        <v>2.9</v>
      </c>
      <c r="AC894" s="2" t="s">
        <v>227</v>
      </c>
      <c r="AD894" s="4"/>
      <c r="AE894" s="4"/>
      <c r="AF894" s="6">
        <v>67</v>
      </c>
      <c r="AG894" s="6"/>
      <c r="AH894" s="7">
        <v>1</v>
      </c>
      <c r="AI894" s="4"/>
      <c r="AJ894" s="4">
        <f>=ROUNDDOWN({0},0)</f>
      </c>
      <c r="AK894" s="5"/>
      <c r="AL894" s="2" t="s">
        <v>227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227</v>
      </c>
      <c r="AW894" s="8" t="s">
        <v>227</v>
      </c>
      <c r="AX894" s="4" t="s">
        <v>227</v>
      </c>
      <c r="AY894" s="8" t="s">
        <v>227</v>
      </c>
      <c r="AZ894" s="7" t="s">
        <v>227</v>
      </c>
      <c r="BA894" s="7" t="s">
        <v>227</v>
      </c>
      <c r="BB894" s="7"/>
      <c r="BC894" s="4" t="s">
        <v>227</v>
      </c>
      <c r="BD894" s="8" t="s">
        <v>227</v>
      </c>
      <c r="BE894" s="4" t="s">
        <v>227</v>
      </c>
      <c r="BF894" s="8" t="s">
        <v>227</v>
      </c>
      <c r="BG894" s="7" t="s">
        <v>227</v>
      </c>
      <c r="BH894" s="7" t="s">
        <v>227</v>
      </c>
      <c r="BI894" s="7"/>
      <c r="BJ894" s="4">
        <v>24</v>
      </c>
      <c r="BK894" s="8">
        <v>585.62</v>
      </c>
      <c r="BL894" s="2" t="s">
        <v>5292</v>
      </c>
      <c r="BM894" s="7"/>
      <c r="BN894" s="7"/>
      <c r="BO894" s="4"/>
      <c r="BP894" s="8"/>
      <c r="BQ894" s="4"/>
      <c r="BR894" s="8"/>
      <c r="BS894" s="7"/>
      <c r="BT894" s="7"/>
      <c r="BU894" s="2" t="s">
        <v>5293</v>
      </c>
      <c r="BV894" s="2" t="s">
        <v>227</v>
      </c>
      <c r="BW894" s="2" t="s">
        <v>227</v>
      </c>
      <c r="BX894" s="2" t="s">
        <v>235</v>
      </c>
      <c r="BY894" s="2" t="s">
        <v>236</v>
      </c>
      <c r="BZ894" s="2" t="s">
        <v>224</v>
      </c>
      <c r="CA894" s="2" t="s">
        <v>2145</v>
      </c>
      <c r="CB894" s="2" t="s">
        <v>5294</v>
      </c>
      <c r="CC894" s="2" t="s">
        <v>239</v>
      </c>
      <c r="CD894" s="2" t="s">
        <v>227</v>
      </c>
      <c r="CE894" s="4">
        <v>140</v>
      </c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/>
      <c r="FB894" s="4"/>
      <c r="FC894" s="4"/>
      <c r="FD894" s="4"/>
      <c r="FE894" s="4"/>
      <c r="FF894" s="4"/>
      <c r="FG894" s="4"/>
      <c r="FH894" s="4"/>
      <c r="FI894" s="4"/>
      <c r="FJ894" s="4"/>
      <c r="FK894" s="4"/>
      <c r="FL894" s="4"/>
      <c r="FM894" s="4"/>
      <c r="FN894" s="4"/>
      <c r="FO894" s="4"/>
      <c r="FP894" s="4"/>
      <c r="FQ894" s="4"/>
      <c r="FR894" s="4"/>
      <c r="FS894" s="4"/>
      <c r="FT894" s="4"/>
      <c r="FU894" s="4"/>
      <c r="FV894" s="4"/>
      <c r="FW894" s="4"/>
      <c r="FX894" s="4"/>
      <c r="FY894" s="4"/>
      <c r="FZ894" s="4"/>
      <c r="GA894" s="4"/>
      <c r="GB894" s="4"/>
      <c r="GC894" s="4"/>
      <c r="GD894" s="4"/>
      <c r="GE894" s="4"/>
      <c r="GF894" s="4"/>
      <c r="GG894" s="4"/>
      <c r="GH894" s="4"/>
      <c r="GI894" s="4"/>
      <c r="GJ894" s="4"/>
      <c r="GK894" s="4"/>
      <c r="GL894" s="4"/>
      <c r="GM894" s="4"/>
      <c r="GN894" s="4"/>
      <c r="GO894" s="4"/>
      <c r="GP894" s="4"/>
      <c r="GQ894" s="4"/>
      <c r="GR894" s="4"/>
      <c r="GS894" s="4"/>
      <c r="GT894" s="4"/>
      <c r="GU894" s="4"/>
      <c r="GV894" s="4"/>
      <c r="GW894" s="4"/>
      <c r="GX894" s="4"/>
    </row>
    <row r="895">
      <c r="A895" s="2" t="s">
        <v>5295</v>
      </c>
      <c r="B895" s="2" t="s">
        <v>278</v>
      </c>
      <c r="C895" s="2" t="s">
        <v>619</v>
      </c>
      <c r="D895" s="2" t="s">
        <v>280</v>
      </c>
      <c r="E895" s="2" t="s">
        <v>281</v>
      </c>
      <c r="F895" s="2" t="s">
        <v>5276</v>
      </c>
      <c r="G895" s="2" t="s">
        <v>5276</v>
      </c>
      <c r="H895" s="2" t="s">
        <v>5276</v>
      </c>
      <c r="I895" s="2" t="s">
        <v>5277</v>
      </c>
      <c r="J895" s="2" t="s">
        <v>252</v>
      </c>
      <c r="K895" s="2" t="s">
        <v>448</v>
      </c>
      <c r="L895" s="3">
        <v>27</v>
      </c>
      <c r="M895" s="3">
        <v>28.35</v>
      </c>
      <c r="N895" s="3">
        <v>59.99</v>
      </c>
      <c r="O895" s="2" t="s">
        <v>224</v>
      </c>
      <c r="P895" s="2" t="s">
        <v>225</v>
      </c>
      <c r="Q895" s="2" t="s">
        <v>226</v>
      </c>
      <c r="R895" s="2" t="s">
        <v>227</v>
      </c>
      <c r="S895" s="2" t="s">
        <v>5288</v>
      </c>
      <c r="T895" s="2" t="s">
        <v>286</v>
      </c>
      <c r="U895" s="2" t="s">
        <v>227</v>
      </c>
      <c r="V895" s="2" t="s">
        <v>2232</v>
      </c>
      <c r="W895" s="2" t="s">
        <v>231</v>
      </c>
      <c r="X895" s="2" t="s">
        <v>227</v>
      </c>
      <c r="Y895" s="2" t="s">
        <v>232</v>
      </c>
      <c r="Z895" s="4">
        <v>114</v>
      </c>
      <c r="AA895" s="4">
        <f>=ROUNDDOWN(22.8,0)</f>
      </c>
      <c r="AB895" s="5">
        <v>5</v>
      </c>
      <c r="AC895" s="2" t="s">
        <v>227</v>
      </c>
      <c r="AD895" s="4"/>
      <c r="AE895" s="4"/>
      <c r="AF895" s="6">
        <v>67</v>
      </c>
      <c r="AG895" s="6"/>
      <c r="AH895" s="7">
        <v>1</v>
      </c>
      <c r="AI895" s="4"/>
      <c r="AJ895" s="4">
        <f>=ROUNDDOWN({0},0)</f>
      </c>
      <c r="AK895" s="5"/>
      <c r="AL895" s="2" t="s">
        <v>227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227</v>
      </c>
      <c r="AW895" s="8" t="s">
        <v>227</v>
      </c>
      <c r="AX895" s="4" t="s">
        <v>227</v>
      </c>
      <c r="AY895" s="8" t="s">
        <v>227</v>
      </c>
      <c r="AZ895" s="7" t="s">
        <v>227</v>
      </c>
      <c r="BA895" s="7" t="s">
        <v>227</v>
      </c>
      <c r="BB895" s="7"/>
      <c r="BC895" s="4" t="s">
        <v>227</v>
      </c>
      <c r="BD895" s="8" t="s">
        <v>227</v>
      </c>
      <c r="BE895" s="4" t="s">
        <v>227</v>
      </c>
      <c r="BF895" s="8" t="s">
        <v>227</v>
      </c>
      <c r="BG895" s="7" t="s">
        <v>227</v>
      </c>
      <c r="BH895" s="7" t="s">
        <v>227</v>
      </c>
      <c r="BI895" s="7"/>
      <c r="BJ895" s="4">
        <v>31</v>
      </c>
      <c r="BK895" s="8">
        <v>887.19</v>
      </c>
      <c r="BL895" s="2" t="s">
        <v>5296</v>
      </c>
      <c r="BM895" s="7"/>
      <c r="BN895" s="7"/>
      <c r="BO895" s="4"/>
      <c r="BP895" s="8"/>
      <c r="BQ895" s="4"/>
      <c r="BR895" s="8"/>
      <c r="BS895" s="7"/>
      <c r="BT895" s="7"/>
      <c r="BU895" s="2" t="s">
        <v>5297</v>
      </c>
      <c r="BV895" s="2" t="s">
        <v>227</v>
      </c>
      <c r="BW895" s="2" t="s">
        <v>227</v>
      </c>
      <c r="BX895" s="2" t="s">
        <v>235</v>
      </c>
      <c r="BY895" s="2" t="s">
        <v>236</v>
      </c>
      <c r="BZ895" s="2" t="s">
        <v>224</v>
      </c>
      <c r="CA895" s="2" t="s">
        <v>2145</v>
      </c>
      <c r="CB895" s="2" t="s">
        <v>5298</v>
      </c>
      <c r="CC895" s="2" t="s">
        <v>239</v>
      </c>
      <c r="CD895" s="2" t="s">
        <v>227</v>
      </c>
      <c r="CE895" s="4">
        <v>114</v>
      </c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/>
      <c r="FB895" s="4"/>
      <c r="FC895" s="4"/>
      <c r="FD895" s="4"/>
      <c r="FE895" s="4"/>
      <c r="FF895" s="4"/>
      <c r="FG895" s="4"/>
      <c r="FH895" s="4"/>
      <c r="FI895" s="4"/>
      <c r="FJ895" s="4"/>
      <c r="FK895" s="4"/>
      <c r="FL895" s="4"/>
      <c r="FM895" s="4"/>
      <c r="FN895" s="4"/>
      <c r="FO895" s="4"/>
      <c r="FP895" s="4"/>
      <c r="FQ895" s="4"/>
      <c r="FR895" s="4"/>
      <c r="FS895" s="4"/>
      <c r="FT895" s="4"/>
      <c r="FU895" s="4"/>
      <c r="FV895" s="4"/>
      <c r="FW895" s="4"/>
      <c r="FX895" s="4"/>
      <c r="FY895" s="4"/>
      <c r="FZ895" s="4"/>
      <c r="GA895" s="4"/>
      <c r="GB895" s="4"/>
      <c r="GC895" s="4"/>
      <c r="GD895" s="4"/>
      <c r="GE895" s="4"/>
      <c r="GF895" s="4"/>
      <c r="GG895" s="4"/>
      <c r="GH895" s="4"/>
      <c r="GI895" s="4"/>
      <c r="GJ895" s="4"/>
      <c r="GK895" s="4"/>
      <c r="GL895" s="4"/>
      <c r="GM895" s="4"/>
      <c r="GN895" s="4"/>
      <c r="GO895" s="4"/>
      <c r="GP895" s="4"/>
      <c r="GQ895" s="4"/>
      <c r="GR895" s="4"/>
      <c r="GS895" s="4"/>
      <c r="GT895" s="4"/>
      <c r="GU895" s="4"/>
      <c r="GV895" s="4"/>
      <c r="GW895" s="4"/>
      <c r="GX895" s="4"/>
    </row>
    <row r="896">
      <c r="A896" s="2" t="s">
        <v>5299</v>
      </c>
      <c r="B896" s="2" t="s">
        <v>667</v>
      </c>
      <c r="C896" s="2" t="s">
        <v>1139</v>
      </c>
      <c r="D896" s="2" t="s">
        <v>687</v>
      </c>
      <c r="E896" s="2" t="s">
        <v>699</v>
      </c>
      <c r="F896" s="2" t="s">
        <v>5300</v>
      </c>
      <c r="G896" s="2" t="s">
        <v>5301</v>
      </c>
      <c r="H896" s="2" t="s">
        <v>5302</v>
      </c>
      <c r="I896" s="2" t="s">
        <v>5303</v>
      </c>
      <c r="J896" s="2" t="s">
        <v>384</v>
      </c>
      <c r="K896" s="2" t="s">
        <v>264</v>
      </c>
      <c r="L896" s="3">
        <v>54.43</v>
      </c>
      <c r="M896" s="3">
        <v>57.15</v>
      </c>
      <c r="N896" s="3">
        <v>119.99</v>
      </c>
      <c r="O896" s="2" t="s">
        <v>224</v>
      </c>
      <c r="P896" s="2" t="s">
        <v>225</v>
      </c>
      <c r="Q896" s="2" t="s">
        <v>226</v>
      </c>
      <c r="R896" s="2" t="s">
        <v>227</v>
      </c>
      <c r="S896" s="2" t="s">
        <v>5304</v>
      </c>
      <c r="T896" s="2" t="s">
        <v>375</v>
      </c>
      <c r="U896" s="2" t="s">
        <v>523</v>
      </c>
      <c r="V896" s="2" t="s">
        <v>3264</v>
      </c>
      <c r="W896" s="2" t="s">
        <v>836</v>
      </c>
      <c r="X896" s="2" t="s">
        <v>581</v>
      </c>
      <c r="Y896" s="2" t="s">
        <v>5305</v>
      </c>
      <c r="Z896" s="4">
        <v>155</v>
      </c>
      <c r="AA896" s="4">
        <f>=ROUNDDOWN(12.9166666666667,0)</f>
      </c>
      <c r="AB896" s="5">
        <v>12</v>
      </c>
      <c r="AC896" s="2" t="s">
        <v>151</v>
      </c>
      <c r="AD896" s="4">
        <v>200</v>
      </c>
      <c r="AE896" s="4">
        <v>360</v>
      </c>
      <c r="AF896" s="6">
        <v>65</v>
      </c>
      <c r="AG896" s="6"/>
      <c r="AH896" s="7">
        <v>1</v>
      </c>
      <c r="AI896" s="4"/>
      <c r="AJ896" s="4">
        <f>=ROUNDDOWN({0},0)</f>
      </c>
      <c r="AK896" s="5"/>
      <c r="AL896" s="2" t="s">
        <v>227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/>
      <c r="AW896" s="8"/>
      <c r="AX896" s="4"/>
      <c r="AY896" s="8"/>
      <c r="AZ896" s="7"/>
      <c r="BA896" s="7"/>
      <c r="BB896" s="7"/>
      <c r="BC896" s="4"/>
      <c r="BD896" s="8"/>
      <c r="BE896" s="4"/>
      <c r="BF896" s="8"/>
      <c r="BG896" s="7"/>
      <c r="BH896" s="7"/>
      <c r="BI896" s="7"/>
      <c r="BJ896" s="4">
        <v>27</v>
      </c>
      <c r="BK896" s="8">
        <v>1547.08</v>
      </c>
      <c r="BL896" s="2" t="s">
        <v>5306</v>
      </c>
      <c r="BM896" s="7"/>
      <c r="BN896" s="7"/>
      <c r="BO896" s="4"/>
      <c r="BP896" s="8"/>
      <c r="BQ896" s="4"/>
      <c r="BR896" s="8"/>
      <c r="BS896" s="7"/>
      <c r="BT896" s="7"/>
      <c r="BU896" s="2" t="s">
        <v>5307</v>
      </c>
      <c r="BV896" s="2" t="s">
        <v>227</v>
      </c>
      <c r="BW896" s="2" t="s">
        <v>227</v>
      </c>
      <c r="BX896" s="2" t="s">
        <v>235</v>
      </c>
      <c r="BY896" s="2" t="s">
        <v>236</v>
      </c>
      <c r="BZ896" s="2" t="s">
        <v>224</v>
      </c>
      <c r="CA896" s="2" t="s">
        <v>5308</v>
      </c>
      <c r="CB896" s="2" t="s">
        <v>5309</v>
      </c>
      <c r="CC896" s="2" t="s">
        <v>239</v>
      </c>
      <c r="CD896" s="2" t="s">
        <v>227</v>
      </c>
      <c r="CE896" s="4">
        <v>155</v>
      </c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>
        <v>200</v>
      </c>
      <c r="EN896" s="4"/>
      <c r="EO896" s="4"/>
      <c r="EP896" s="4"/>
      <c r="EQ896" s="4"/>
      <c r="ER896" s="4"/>
      <c r="ES896" s="4">
        <v>160</v>
      </c>
      <c r="ET896" s="4"/>
      <c r="EU896" s="4"/>
      <c r="EV896" s="4"/>
      <c r="EW896" s="4"/>
      <c r="EX896" s="4"/>
      <c r="EY896" s="4"/>
      <c r="EZ896" s="4"/>
      <c r="FA896" s="4"/>
      <c r="FB896" s="4"/>
      <c r="FC896" s="4"/>
      <c r="FD896" s="4"/>
      <c r="FE896" s="4"/>
      <c r="FF896" s="4"/>
      <c r="FG896" s="4"/>
      <c r="FH896" s="4"/>
      <c r="FI896" s="4"/>
      <c r="FJ896" s="4"/>
      <c r="FK896" s="4"/>
      <c r="FL896" s="4"/>
      <c r="FM896" s="4"/>
      <c r="FN896" s="4"/>
      <c r="FO896" s="4"/>
      <c r="FP896" s="4"/>
      <c r="FQ896" s="4"/>
      <c r="FR896" s="4"/>
      <c r="FS896" s="4"/>
      <c r="FT896" s="4"/>
      <c r="FU896" s="4"/>
      <c r="FV896" s="4"/>
      <c r="FW896" s="4"/>
      <c r="FX896" s="4"/>
      <c r="FY896" s="4"/>
      <c r="FZ896" s="4"/>
      <c r="GA896" s="4"/>
      <c r="GB896" s="4"/>
      <c r="GC896" s="4"/>
      <c r="GD896" s="4"/>
      <c r="GE896" s="4"/>
      <c r="GF896" s="4"/>
      <c r="GG896" s="4"/>
      <c r="GH896" s="4"/>
      <c r="GI896" s="4"/>
      <c r="GJ896" s="4"/>
      <c r="GK896" s="4"/>
      <c r="GL896" s="4"/>
      <c r="GM896" s="4"/>
      <c r="GN896" s="4"/>
      <c r="GO896" s="4"/>
      <c r="GP896" s="4"/>
      <c r="GQ896" s="4"/>
      <c r="GR896" s="4"/>
      <c r="GS896" s="4"/>
      <c r="GT896" s="4"/>
      <c r="GU896" s="4"/>
      <c r="GV896" s="4"/>
      <c r="GW896" s="4"/>
      <c r="GX896" s="4"/>
    </row>
    <row r="897">
      <c r="A897" s="2" t="s">
        <v>5310</v>
      </c>
      <c r="B897" s="2" t="s">
        <v>667</v>
      </c>
      <c r="C897" s="2" t="s">
        <v>360</v>
      </c>
      <c r="D897" s="2" t="s">
        <v>687</v>
      </c>
      <c r="E897" s="2" t="s">
        <v>699</v>
      </c>
      <c r="F897" s="2" t="s">
        <v>5311</v>
      </c>
      <c r="G897" s="2" t="s">
        <v>5312</v>
      </c>
      <c r="H897" s="2" t="s">
        <v>5313</v>
      </c>
      <c r="I897" s="2" t="s">
        <v>1677</v>
      </c>
      <c r="J897" s="2" t="s">
        <v>626</v>
      </c>
      <c r="K897" s="2" t="s">
        <v>627</v>
      </c>
      <c r="L897" s="3">
        <v>36.57</v>
      </c>
      <c r="M897" s="3">
        <v>38.4</v>
      </c>
      <c r="N897" s="3">
        <v>79.99</v>
      </c>
      <c r="O897" s="2" t="s">
        <v>224</v>
      </c>
      <c r="P897" s="2" t="s">
        <v>225</v>
      </c>
      <c r="Q897" s="2" t="s">
        <v>226</v>
      </c>
      <c r="R897" s="2" t="s">
        <v>227</v>
      </c>
      <c r="S897" s="2" t="s">
        <v>5314</v>
      </c>
      <c r="T897" s="2" t="s">
        <v>375</v>
      </c>
      <c r="U897" s="2" t="s">
        <v>1350</v>
      </c>
      <c r="V897" s="2" t="s">
        <v>629</v>
      </c>
      <c r="W897" s="2" t="s">
        <v>706</v>
      </c>
      <c r="X897" s="2" t="s">
        <v>1008</v>
      </c>
      <c r="Y897" s="2" t="s">
        <v>2865</v>
      </c>
      <c r="Z897" s="4">
        <v>6</v>
      </c>
      <c r="AA897" s="4">
        <f>=ROUNDDOWN(0.2,0)</f>
      </c>
      <c r="AB897" s="5">
        <v>30</v>
      </c>
      <c r="AC897" s="2" t="s">
        <v>821</v>
      </c>
      <c r="AD897" s="4">
        <v>480</v>
      </c>
      <c r="AE897" s="4">
        <v>1900</v>
      </c>
      <c r="AF897" s="6">
        <v>64</v>
      </c>
      <c r="AG897" s="6"/>
      <c r="AH897" s="7">
        <v>0.0323</v>
      </c>
      <c r="AI897" s="4"/>
      <c r="AJ897" s="4">
        <f>=ROUNDDOWN({0},0)</f>
      </c>
      <c r="AK897" s="5"/>
      <c r="AL897" s="2" t="s">
        <v>227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227</v>
      </c>
      <c r="AW897" s="8" t="s">
        <v>227</v>
      </c>
      <c r="AX897" s="4" t="s">
        <v>227</v>
      </c>
      <c r="AY897" s="8" t="s">
        <v>227</v>
      </c>
      <c r="AZ897" s="7" t="s">
        <v>227</v>
      </c>
      <c r="BA897" s="7" t="s">
        <v>227</v>
      </c>
      <c r="BB897" s="7"/>
      <c r="BC897" s="4" t="s">
        <v>227</v>
      </c>
      <c r="BD897" s="8" t="s">
        <v>227</v>
      </c>
      <c r="BE897" s="4" t="s">
        <v>227</v>
      </c>
      <c r="BF897" s="8" t="s">
        <v>227</v>
      </c>
      <c r="BG897" s="7" t="s">
        <v>227</v>
      </c>
      <c r="BH897" s="7" t="s">
        <v>227</v>
      </c>
      <c r="BI897" s="7"/>
      <c r="BJ897" s="4">
        <v>6</v>
      </c>
      <c r="BK897" s="8">
        <v>243.45</v>
      </c>
      <c r="BL897" s="2" t="s">
        <v>5315</v>
      </c>
      <c r="BM897" s="7"/>
      <c r="BN897" s="7"/>
      <c r="BO897" s="4"/>
      <c r="BP897" s="8"/>
      <c r="BQ897" s="4"/>
      <c r="BR897" s="8"/>
      <c r="BS897" s="7"/>
      <c r="BT897" s="7"/>
      <c r="BU897" s="2" t="s">
        <v>5316</v>
      </c>
      <c r="BV897" s="2" t="s">
        <v>227</v>
      </c>
      <c r="BW897" s="2" t="s">
        <v>227</v>
      </c>
      <c r="BX897" s="2" t="s">
        <v>235</v>
      </c>
      <c r="BY897" s="2" t="s">
        <v>236</v>
      </c>
      <c r="BZ897" s="2" t="s">
        <v>224</v>
      </c>
      <c r="CA897" s="2" t="s">
        <v>4761</v>
      </c>
      <c r="CB897" s="2" t="s">
        <v>2869</v>
      </c>
      <c r="CC897" s="2" t="s">
        <v>239</v>
      </c>
      <c r="CD897" s="2" t="s">
        <v>227</v>
      </c>
      <c r="CE897" s="4">
        <v>6</v>
      </c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>
        <v>480</v>
      </c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>
        <v>550</v>
      </c>
      <c r="EU897" s="4"/>
      <c r="EV897" s="4"/>
      <c r="EW897" s="4"/>
      <c r="EX897" s="4"/>
      <c r="EY897" s="4"/>
      <c r="EZ897" s="4"/>
      <c r="FA897" s="4"/>
      <c r="FB897" s="4"/>
      <c r="FC897" s="4"/>
      <c r="FD897" s="4"/>
      <c r="FE897" s="4"/>
      <c r="FF897" s="4"/>
      <c r="FG897" s="4">
        <v>870</v>
      </c>
      <c r="FH897" s="4"/>
      <c r="FI897" s="4"/>
      <c r="FJ897" s="4"/>
      <c r="FK897" s="4"/>
      <c r="FL897" s="4"/>
      <c r="FM897" s="4"/>
      <c r="FN897" s="4"/>
      <c r="FO897" s="4"/>
      <c r="FP897" s="4"/>
      <c r="FQ897" s="4"/>
      <c r="FR897" s="4"/>
      <c r="FS897" s="4"/>
      <c r="FT897" s="4"/>
      <c r="FU897" s="4"/>
      <c r="FV897" s="4"/>
      <c r="FW897" s="4"/>
      <c r="FX897" s="4"/>
      <c r="FY897" s="4"/>
      <c r="FZ897" s="4"/>
      <c r="GA897" s="4"/>
      <c r="GB897" s="4"/>
      <c r="GC897" s="4"/>
      <c r="GD897" s="4"/>
      <c r="GE897" s="4"/>
      <c r="GF897" s="4"/>
      <c r="GG897" s="4"/>
      <c r="GH897" s="4"/>
      <c r="GI897" s="4"/>
      <c r="GJ897" s="4"/>
      <c r="GK897" s="4"/>
      <c r="GL897" s="4"/>
      <c r="GM897" s="4"/>
      <c r="GN897" s="4"/>
      <c r="GO897" s="4"/>
      <c r="GP897" s="4"/>
      <c r="GQ897" s="4"/>
      <c r="GR897" s="4"/>
      <c r="GS897" s="4"/>
      <c r="GT897" s="4"/>
      <c r="GU897" s="4"/>
      <c r="GV897" s="4"/>
      <c r="GW897" s="4"/>
      <c r="GX897" s="4"/>
    </row>
    <row r="898">
      <c r="A898" s="2" t="s">
        <v>5317</v>
      </c>
      <c r="B898" s="2" t="s">
        <v>667</v>
      </c>
      <c r="C898" s="2" t="s">
        <v>360</v>
      </c>
      <c r="D898" s="2" t="s">
        <v>687</v>
      </c>
      <c r="E898" s="2" t="s">
        <v>699</v>
      </c>
      <c r="F898" s="2" t="s">
        <v>5311</v>
      </c>
      <c r="G898" s="2" t="s">
        <v>5312</v>
      </c>
      <c r="H898" s="2" t="s">
        <v>5313</v>
      </c>
      <c r="I898" s="2" t="s">
        <v>1677</v>
      </c>
      <c r="J898" s="2" t="s">
        <v>682</v>
      </c>
      <c r="K898" s="2" t="s">
        <v>627</v>
      </c>
      <c r="L898" s="3">
        <v>41.14</v>
      </c>
      <c r="M898" s="3">
        <v>43.2</v>
      </c>
      <c r="N898" s="3">
        <v>89.99</v>
      </c>
      <c r="O898" s="2" t="s">
        <v>224</v>
      </c>
      <c r="P898" s="2" t="s">
        <v>225</v>
      </c>
      <c r="Q898" s="2" t="s">
        <v>226</v>
      </c>
      <c r="R898" s="2" t="s">
        <v>227</v>
      </c>
      <c r="S898" s="2" t="s">
        <v>5314</v>
      </c>
      <c r="T898" s="2" t="s">
        <v>375</v>
      </c>
      <c r="U898" s="2" t="s">
        <v>1350</v>
      </c>
      <c r="V898" s="2" t="s">
        <v>629</v>
      </c>
      <c r="W898" s="2" t="s">
        <v>706</v>
      </c>
      <c r="X898" s="2" t="s">
        <v>1008</v>
      </c>
      <c r="Y898" s="2" t="s">
        <v>2865</v>
      </c>
      <c r="Z898" s="4">
        <v>2</v>
      </c>
      <c r="AA898" s="4">
        <f>=ROUNDDOWN(0.1,0)</f>
      </c>
      <c r="AB898" s="5">
        <v>20</v>
      </c>
      <c r="AC898" s="2" t="s">
        <v>821</v>
      </c>
      <c r="AD898" s="4">
        <v>320</v>
      </c>
      <c r="AE898" s="4">
        <v>1200</v>
      </c>
      <c r="AF898" s="6">
        <v>64</v>
      </c>
      <c r="AG898" s="6"/>
      <c r="AH898" s="7">
        <v>0</v>
      </c>
      <c r="AI898" s="4"/>
      <c r="AJ898" s="4">
        <f>=ROUNDDOWN({0},0)</f>
      </c>
      <c r="AK898" s="5"/>
      <c r="AL898" s="2" t="s">
        <v>227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227</v>
      </c>
      <c r="AW898" s="8" t="s">
        <v>227</v>
      </c>
      <c r="AX898" s="4" t="s">
        <v>227</v>
      </c>
      <c r="AY898" s="8" t="s">
        <v>227</v>
      </c>
      <c r="AZ898" s="7" t="s">
        <v>227</v>
      </c>
      <c r="BA898" s="7" t="s">
        <v>227</v>
      </c>
      <c r="BB898" s="7"/>
      <c r="BC898" s="4" t="s">
        <v>227</v>
      </c>
      <c r="BD898" s="8" t="s">
        <v>227</v>
      </c>
      <c r="BE898" s="4" t="s">
        <v>227</v>
      </c>
      <c r="BF898" s="8" t="s">
        <v>227</v>
      </c>
      <c r="BG898" s="7" t="s">
        <v>227</v>
      </c>
      <c r="BH898" s="7" t="s">
        <v>227</v>
      </c>
      <c r="BI898" s="7"/>
      <c r="BJ898" s="4">
        <v>2</v>
      </c>
      <c r="BK898" s="8">
        <v>107.27</v>
      </c>
      <c r="BL898" s="2" t="s">
        <v>2646</v>
      </c>
      <c r="BM898" s="7"/>
      <c r="BN898" s="7"/>
      <c r="BO898" s="4"/>
      <c r="BP898" s="8"/>
      <c r="BQ898" s="4"/>
      <c r="BR898" s="8"/>
      <c r="BS898" s="7"/>
      <c r="BT898" s="7"/>
      <c r="BU898" s="2" t="s">
        <v>5318</v>
      </c>
      <c r="BV898" s="2" t="s">
        <v>227</v>
      </c>
      <c r="BW898" s="2" t="s">
        <v>227</v>
      </c>
      <c r="BX898" s="2" t="s">
        <v>235</v>
      </c>
      <c r="BY898" s="2" t="s">
        <v>236</v>
      </c>
      <c r="BZ898" s="2" t="s">
        <v>224</v>
      </c>
      <c r="CA898" s="2" t="s">
        <v>4761</v>
      </c>
      <c r="CB898" s="2" t="s">
        <v>5319</v>
      </c>
      <c r="CC898" s="2" t="s">
        <v>239</v>
      </c>
      <c r="CD898" s="2" t="s">
        <v>227</v>
      </c>
      <c r="CE898" s="4">
        <v>2</v>
      </c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>
        <v>320</v>
      </c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>
        <v>550</v>
      </c>
      <c r="EU898" s="4"/>
      <c r="EV898" s="4"/>
      <c r="EW898" s="4"/>
      <c r="EX898" s="4"/>
      <c r="EY898" s="4"/>
      <c r="EZ898" s="4"/>
      <c r="FA898" s="4"/>
      <c r="FB898" s="4"/>
      <c r="FC898" s="4"/>
      <c r="FD898" s="4"/>
      <c r="FE898" s="4"/>
      <c r="FF898" s="4"/>
      <c r="FG898" s="4">
        <v>330</v>
      </c>
      <c r="FH898" s="4"/>
      <c r="FI898" s="4"/>
      <c r="FJ898" s="4"/>
      <c r="FK898" s="4"/>
      <c r="FL898" s="4"/>
      <c r="FM898" s="4"/>
      <c r="FN898" s="4"/>
      <c r="FO898" s="4"/>
      <c r="FP898" s="4"/>
      <c r="FQ898" s="4"/>
      <c r="FR898" s="4"/>
      <c r="FS898" s="4"/>
      <c r="FT898" s="4"/>
      <c r="FU898" s="4"/>
      <c r="FV898" s="4"/>
      <c r="FW898" s="4"/>
      <c r="FX898" s="4"/>
      <c r="FY898" s="4"/>
      <c r="FZ898" s="4"/>
      <c r="GA898" s="4"/>
      <c r="GB898" s="4"/>
      <c r="GC898" s="4"/>
      <c r="GD898" s="4"/>
      <c r="GE898" s="4"/>
      <c r="GF898" s="4"/>
      <c r="GG898" s="4"/>
      <c r="GH898" s="4"/>
      <c r="GI898" s="4"/>
      <c r="GJ898" s="4"/>
      <c r="GK898" s="4"/>
      <c r="GL898" s="4"/>
      <c r="GM898" s="4"/>
      <c r="GN898" s="4"/>
      <c r="GO898" s="4"/>
      <c r="GP898" s="4"/>
      <c r="GQ898" s="4"/>
      <c r="GR898" s="4"/>
      <c r="GS898" s="4"/>
      <c r="GT898" s="4"/>
      <c r="GU898" s="4"/>
      <c r="GV898" s="4"/>
      <c r="GW898" s="4"/>
      <c r="GX898" s="4"/>
    </row>
    <row r="899">
      <c r="A899" s="2" t="s">
        <v>5320</v>
      </c>
      <c r="B899" s="2" t="s">
        <v>618</v>
      </c>
      <c r="C899" s="2" t="s">
        <v>619</v>
      </c>
      <c r="D899" s="2" t="s">
        <v>620</v>
      </c>
      <c r="E899" s="2" t="s">
        <v>669</v>
      </c>
      <c r="F899" s="2" t="s">
        <v>5321</v>
      </c>
      <c r="G899" s="2" t="s">
        <v>5322</v>
      </c>
      <c r="H899" s="2" t="s">
        <v>5323</v>
      </c>
      <c r="I899" s="2" t="s">
        <v>5324</v>
      </c>
      <c r="J899" s="2" t="s">
        <v>1304</v>
      </c>
      <c r="K899" s="2" t="s">
        <v>5325</v>
      </c>
      <c r="L899" s="3">
        <v>23.8</v>
      </c>
      <c r="M899" s="3">
        <v>24.99</v>
      </c>
      <c r="N899" s="3">
        <v>49.99</v>
      </c>
      <c r="O899" s="2" t="s">
        <v>224</v>
      </c>
      <c r="P899" s="2" t="s">
        <v>225</v>
      </c>
      <c r="Q899" s="2" t="s">
        <v>226</v>
      </c>
      <c r="R899" s="2" t="s">
        <v>227</v>
      </c>
      <c r="S899" s="2" t="s">
        <v>5326</v>
      </c>
      <c r="T899" s="2" t="s">
        <v>876</v>
      </c>
      <c r="U899" s="2" t="s">
        <v>1044</v>
      </c>
      <c r="V899" s="2" t="s">
        <v>1499</v>
      </c>
      <c r="W899" s="2" t="s">
        <v>836</v>
      </c>
      <c r="X899" s="2" t="s">
        <v>231</v>
      </c>
      <c r="Y899" s="2" t="s">
        <v>5327</v>
      </c>
      <c r="Z899" s="4">
        <v>182</v>
      </c>
      <c r="AA899" s="4">
        <f>=ROUNDDOWN(30.3333333333333,0)</f>
      </c>
      <c r="AB899" s="5">
        <v>6</v>
      </c>
      <c r="AC899" s="2" t="s">
        <v>227</v>
      </c>
      <c r="AD899" s="4"/>
      <c r="AE899" s="4"/>
      <c r="AF899" s="6">
        <v>65</v>
      </c>
      <c r="AG899" s="6"/>
      <c r="AH899" s="7">
        <v>1</v>
      </c>
      <c r="AI899" s="4"/>
      <c r="AJ899" s="4">
        <f>=ROUNDDOWN({0},0)</f>
      </c>
      <c r="AK899" s="5"/>
      <c r="AL899" s="2" t="s">
        <v>227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227</v>
      </c>
      <c r="AW899" s="8" t="s">
        <v>227</v>
      </c>
      <c r="AX899" s="4" t="s">
        <v>227</v>
      </c>
      <c r="AY899" s="8" t="s">
        <v>227</v>
      </c>
      <c r="AZ899" s="7" t="s">
        <v>227</v>
      </c>
      <c r="BA899" s="7" t="s">
        <v>227</v>
      </c>
      <c r="BB899" s="7"/>
      <c r="BC899" s="4" t="s">
        <v>227</v>
      </c>
      <c r="BD899" s="8" t="s">
        <v>227</v>
      </c>
      <c r="BE899" s="4" t="s">
        <v>227</v>
      </c>
      <c r="BF899" s="8" t="s">
        <v>227</v>
      </c>
      <c r="BG899" s="7" t="s">
        <v>227</v>
      </c>
      <c r="BH899" s="7" t="s">
        <v>227</v>
      </c>
      <c r="BI899" s="7"/>
      <c r="BJ899" s="4">
        <v>10</v>
      </c>
      <c r="BK899" s="8">
        <v>264.3</v>
      </c>
      <c r="BL899" s="2" t="s">
        <v>3003</v>
      </c>
      <c r="BM899" s="7"/>
      <c r="BN899" s="7"/>
      <c r="BO899" s="4"/>
      <c r="BP899" s="8"/>
      <c r="BQ899" s="4"/>
      <c r="BR899" s="8"/>
      <c r="BS899" s="7"/>
      <c r="BT899" s="7"/>
      <c r="BU899" s="2" t="s">
        <v>5328</v>
      </c>
      <c r="BV899" s="2" t="s">
        <v>227</v>
      </c>
      <c r="BW899" s="2" t="s">
        <v>227</v>
      </c>
      <c r="BX899" s="2" t="s">
        <v>235</v>
      </c>
      <c r="BY899" s="2" t="s">
        <v>236</v>
      </c>
      <c r="BZ899" s="2" t="s">
        <v>224</v>
      </c>
      <c r="CA899" s="2" t="s">
        <v>5329</v>
      </c>
      <c r="CB899" s="2" t="s">
        <v>3765</v>
      </c>
      <c r="CC899" s="2" t="s">
        <v>239</v>
      </c>
      <c r="CD899" s="2" t="s">
        <v>227</v>
      </c>
      <c r="CE899" s="4">
        <v>182</v>
      </c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/>
      <c r="FB899" s="4"/>
      <c r="FC899" s="4"/>
      <c r="FD899" s="4"/>
      <c r="FE899" s="4"/>
      <c r="FF899" s="4"/>
      <c r="FG899" s="4"/>
      <c r="FH899" s="4"/>
      <c r="FI899" s="4"/>
      <c r="FJ899" s="4"/>
      <c r="FK899" s="4"/>
      <c r="FL899" s="4"/>
      <c r="FM899" s="4"/>
      <c r="FN899" s="4"/>
      <c r="FO899" s="4"/>
      <c r="FP899" s="4"/>
      <c r="FQ899" s="4"/>
      <c r="FR899" s="4"/>
      <c r="FS899" s="4"/>
      <c r="FT899" s="4"/>
      <c r="FU899" s="4"/>
      <c r="FV899" s="4"/>
      <c r="FW899" s="4"/>
      <c r="FX899" s="4"/>
      <c r="FY899" s="4"/>
      <c r="FZ899" s="4"/>
      <c r="GA899" s="4"/>
      <c r="GB899" s="4"/>
      <c r="GC899" s="4"/>
      <c r="GD899" s="4"/>
      <c r="GE899" s="4"/>
      <c r="GF899" s="4"/>
      <c r="GG899" s="4"/>
      <c r="GH899" s="4"/>
      <c r="GI899" s="4"/>
      <c r="GJ899" s="4"/>
      <c r="GK899" s="4"/>
      <c r="GL899" s="4"/>
      <c r="GM899" s="4"/>
      <c r="GN899" s="4"/>
      <c r="GO899" s="4"/>
      <c r="GP899" s="4"/>
      <c r="GQ899" s="4"/>
      <c r="GR899" s="4"/>
      <c r="GS899" s="4"/>
      <c r="GT899" s="4"/>
      <c r="GU899" s="4"/>
      <c r="GV899" s="4"/>
      <c r="GW899" s="4"/>
      <c r="GX899" s="4"/>
    </row>
    <row r="900">
      <c r="A900" s="2" t="s">
        <v>5330</v>
      </c>
      <c r="B900" s="2" t="s">
        <v>618</v>
      </c>
      <c r="C900" s="2" t="s">
        <v>619</v>
      </c>
      <c r="D900" s="2" t="s">
        <v>620</v>
      </c>
      <c r="E900" s="2" t="s">
        <v>669</v>
      </c>
      <c r="F900" s="2" t="s">
        <v>5321</v>
      </c>
      <c r="G900" s="2" t="s">
        <v>5322</v>
      </c>
      <c r="H900" s="2" t="s">
        <v>5323</v>
      </c>
      <c r="I900" s="2" t="s">
        <v>5324</v>
      </c>
      <c r="J900" s="2" t="s">
        <v>626</v>
      </c>
      <c r="K900" s="2" t="s">
        <v>5325</v>
      </c>
      <c r="L900" s="3">
        <v>28.57</v>
      </c>
      <c r="M900" s="3">
        <v>30</v>
      </c>
      <c r="N900" s="3">
        <v>59.99</v>
      </c>
      <c r="O900" s="2" t="s">
        <v>224</v>
      </c>
      <c r="P900" s="2" t="s">
        <v>225</v>
      </c>
      <c r="Q900" s="2" t="s">
        <v>226</v>
      </c>
      <c r="R900" s="2" t="s">
        <v>227</v>
      </c>
      <c r="S900" s="2" t="s">
        <v>5326</v>
      </c>
      <c r="T900" s="2" t="s">
        <v>876</v>
      </c>
      <c r="U900" s="2" t="s">
        <v>674</v>
      </c>
      <c r="V900" s="2" t="s">
        <v>1499</v>
      </c>
      <c r="W900" s="2" t="s">
        <v>836</v>
      </c>
      <c r="X900" s="2" t="s">
        <v>231</v>
      </c>
      <c r="Y900" s="2" t="s">
        <v>5327</v>
      </c>
      <c r="Z900" s="4">
        <v>199</v>
      </c>
      <c r="AA900" s="4">
        <f>=ROUNDDOWN(19.9,0)</f>
      </c>
      <c r="AB900" s="5">
        <v>10</v>
      </c>
      <c r="AC900" s="2" t="s">
        <v>227</v>
      </c>
      <c r="AD900" s="4"/>
      <c r="AE900" s="4"/>
      <c r="AF900" s="6">
        <v>65</v>
      </c>
      <c r="AG900" s="6"/>
      <c r="AH900" s="7">
        <v>1</v>
      </c>
      <c r="AI900" s="4"/>
      <c r="AJ900" s="4">
        <f>=ROUNDDOWN({0},0)</f>
      </c>
      <c r="AK900" s="5"/>
      <c r="AL900" s="2" t="s">
        <v>227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227</v>
      </c>
      <c r="AW900" s="8" t="s">
        <v>227</v>
      </c>
      <c r="AX900" s="4" t="s">
        <v>227</v>
      </c>
      <c r="AY900" s="8" t="s">
        <v>227</v>
      </c>
      <c r="AZ900" s="7" t="s">
        <v>227</v>
      </c>
      <c r="BA900" s="7" t="s">
        <v>227</v>
      </c>
      <c r="BB900" s="7"/>
      <c r="BC900" s="4" t="s">
        <v>227</v>
      </c>
      <c r="BD900" s="8" t="s">
        <v>227</v>
      </c>
      <c r="BE900" s="4" t="s">
        <v>227</v>
      </c>
      <c r="BF900" s="8" t="s">
        <v>227</v>
      </c>
      <c r="BG900" s="7" t="s">
        <v>227</v>
      </c>
      <c r="BH900" s="7" t="s">
        <v>227</v>
      </c>
      <c r="BI900" s="7"/>
      <c r="BJ900" s="4">
        <v>33</v>
      </c>
      <c r="BK900" s="8">
        <v>1054.92</v>
      </c>
      <c r="BL900" s="2" t="s">
        <v>2898</v>
      </c>
      <c r="BM900" s="7"/>
      <c r="BN900" s="7"/>
      <c r="BO900" s="4"/>
      <c r="BP900" s="8"/>
      <c r="BQ900" s="4"/>
      <c r="BR900" s="8"/>
      <c r="BS900" s="7"/>
      <c r="BT900" s="7"/>
      <c r="BU900" s="2" t="s">
        <v>5331</v>
      </c>
      <c r="BV900" s="2" t="s">
        <v>227</v>
      </c>
      <c r="BW900" s="2" t="s">
        <v>227</v>
      </c>
      <c r="BX900" s="2" t="s">
        <v>235</v>
      </c>
      <c r="BY900" s="2" t="s">
        <v>236</v>
      </c>
      <c r="BZ900" s="2" t="s">
        <v>224</v>
      </c>
      <c r="CA900" s="2" t="s">
        <v>5329</v>
      </c>
      <c r="CB900" s="2" t="s">
        <v>1604</v>
      </c>
      <c r="CC900" s="2" t="s">
        <v>239</v>
      </c>
      <c r="CD900" s="2" t="s">
        <v>227</v>
      </c>
      <c r="CE900" s="4">
        <v>199</v>
      </c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/>
      <c r="FB900" s="4"/>
      <c r="FC900" s="4"/>
      <c r="FD900" s="4"/>
      <c r="FE900" s="4"/>
      <c r="FF900" s="4"/>
      <c r="FG900" s="4"/>
      <c r="FH900" s="4"/>
      <c r="FI900" s="4"/>
      <c r="FJ900" s="4"/>
      <c r="FK900" s="4"/>
      <c r="FL900" s="4"/>
      <c r="FM900" s="4"/>
      <c r="FN900" s="4"/>
      <c r="FO900" s="4"/>
      <c r="FP900" s="4"/>
      <c r="FQ900" s="4"/>
      <c r="FR900" s="4"/>
      <c r="FS900" s="4"/>
      <c r="FT900" s="4"/>
      <c r="FU900" s="4"/>
      <c r="FV900" s="4"/>
      <c r="FW900" s="4"/>
      <c r="FX900" s="4"/>
      <c r="FY900" s="4"/>
      <c r="FZ900" s="4"/>
      <c r="GA900" s="4"/>
      <c r="GB900" s="4"/>
      <c r="GC900" s="4"/>
      <c r="GD900" s="4"/>
      <c r="GE900" s="4"/>
      <c r="GF900" s="4"/>
      <c r="GG900" s="4"/>
      <c r="GH900" s="4"/>
      <c r="GI900" s="4"/>
      <c r="GJ900" s="4"/>
      <c r="GK900" s="4"/>
      <c r="GL900" s="4"/>
      <c r="GM900" s="4"/>
      <c r="GN900" s="4"/>
      <c r="GO900" s="4"/>
      <c r="GP900" s="4"/>
      <c r="GQ900" s="4"/>
      <c r="GR900" s="4"/>
      <c r="GS900" s="4"/>
      <c r="GT900" s="4"/>
      <c r="GU900" s="4"/>
      <c r="GV900" s="4"/>
      <c r="GW900" s="4"/>
      <c r="GX900" s="4"/>
    </row>
    <row r="901">
      <c r="A901" s="2" t="s">
        <v>5332</v>
      </c>
      <c r="B901" s="2" t="s">
        <v>667</v>
      </c>
      <c r="C901" s="2" t="s">
        <v>360</v>
      </c>
      <c r="D901" s="2" t="s">
        <v>1652</v>
      </c>
      <c r="E901" s="2" t="s">
        <v>4950</v>
      </c>
      <c r="F901" s="2" t="s">
        <v>5333</v>
      </c>
      <c r="G901" s="2" t="s">
        <v>5334</v>
      </c>
      <c r="H901" s="2" t="s">
        <v>5335</v>
      </c>
      <c r="I901" s="2" t="s">
        <v>5336</v>
      </c>
      <c r="J901" s="2" t="s">
        <v>257</v>
      </c>
      <c r="K901" s="2" t="s">
        <v>762</v>
      </c>
      <c r="L901" s="3">
        <v>75</v>
      </c>
      <c r="M901" s="3">
        <v>78.74</v>
      </c>
      <c r="N901" s="3">
        <v>149.99</v>
      </c>
      <c r="O901" s="2" t="s">
        <v>224</v>
      </c>
      <c r="P901" s="2" t="s">
        <v>225</v>
      </c>
      <c r="Q901" s="2" t="s">
        <v>226</v>
      </c>
      <c r="R901" s="2" t="s">
        <v>227</v>
      </c>
      <c r="S901" s="2" t="s">
        <v>5337</v>
      </c>
      <c r="T901" s="2" t="s">
        <v>227</v>
      </c>
      <c r="U901" s="2" t="s">
        <v>1350</v>
      </c>
      <c r="V901" s="2" t="s">
        <v>3355</v>
      </c>
      <c r="W901" s="2" t="s">
        <v>506</v>
      </c>
      <c r="X901" s="2" t="s">
        <v>1206</v>
      </c>
      <c r="Y901" s="2" t="s">
        <v>1351</v>
      </c>
      <c r="Z901" s="4">
        <v>789</v>
      </c>
      <c r="AA901" s="4">
        <f>=ROUNDDOWN(23.2058823529412,0)</f>
      </c>
      <c r="AB901" s="5">
        <v>34</v>
      </c>
      <c r="AC901" s="2" t="s">
        <v>150</v>
      </c>
      <c r="AD901" s="4">
        <v>110</v>
      </c>
      <c r="AE901" s="4">
        <v>690</v>
      </c>
      <c r="AF901" s="6">
        <v>65</v>
      </c>
      <c r="AG901" s="6">
        <v>48</v>
      </c>
      <c r="AH901" s="7">
        <v>1</v>
      </c>
      <c r="AI901" s="4"/>
      <c r="AJ901" s="4">
        <f>=ROUNDDOWN({0},0)</f>
      </c>
      <c r="AK901" s="5"/>
      <c r="AL901" s="2" t="s">
        <v>227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/>
      <c r="AW901" s="8"/>
      <c r="AX901" s="4"/>
      <c r="AY901" s="8"/>
      <c r="AZ901" s="7"/>
      <c r="BA901" s="7"/>
      <c r="BB901" s="7"/>
      <c r="BC901" s="4"/>
      <c r="BD901" s="8"/>
      <c r="BE901" s="4"/>
      <c r="BF901" s="8"/>
      <c r="BG901" s="7"/>
      <c r="BH901" s="7"/>
      <c r="BI901" s="7"/>
      <c r="BJ901" s="4">
        <v>28</v>
      </c>
      <c r="BK901" s="8">
        <v>1646.58</v>
      </c>
      <c r="BL901" s="2" t="s">
        <v>5338</v>
      </c>
      <c r="BM901" s="7"/>
      <c r="BN901" s="7"/>
      <c r="BO901" s="4"/>
      <c r="BP901" s="8"/>
      <c r="BQ901" s="4"/>
      <c r="BR901" s="8"/>
      <c r="BS901" s="7"/>
      <c r="BT901" s="7"/>
      <c r="BU901" s="2" t="s">
        <v>5339</v>
      </c>
      <c r="BV901" s="2" t="s">
        <v>227</v>
      </c>
      <c r="BW901" s="2" t="s">
        <v>227</v>
      </c>
      <c r="BX901" s="2" t="s">
        <v>235</v>
      </c>
      <c r="BY901" s="2" t="s">
        <v>236</v>
      </c>
      <c r="BZ901" s="2" t="s">
        <v>224</v>
      </c>
      <c r="CA901" s="2" t="s">
        <v>4051</v>
      </c>
      <c r="CB901" s="2" t="s">
        <v>5340</v>
      </c>
      <c r="CC901" s="2" t="s">
        <v>239</v>
      </c>
      <c r="CD901" s="2" t="s">
        <v>227</v>
      </c>
      <c r="CE901" s="4">
        <v>519</v>
      </c>
      <c r="CF901" s="4"/>
      <c r="CG901" s="4"/>
      <c r="CH901" s="4">
        <v>270</v>
      </c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>
        <v>110</v>
      </c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>
        <v>400</v>
      </c>
      <c r="EY901" s="4"/>
      <c r="EZ901" s="4"/>
      <c r="FA901" s="4"/>
      <c r="FB901" s="4"/>
      <c r="FC901" s="4"/>
      <c r="FD901" s="4"/>
      <c r="FE901" s="4"/>
      <c r="FF901" s="4"/>
      <c r="FG901" s="4"/>
      <c r="FH901" s="4"/>
      <c r="FI901" s="4"/>
      <c r="FJ901" s="4"/>
      <c r="FK901" s="4"/>
      <c r="FL901" s="4"/>
      <c r="FM901" s="4">
        <v>80</v>
      </c>
      <c r="FN901" s="4"/>
      <c r="FO901" s="4"/>
      <c r="FP901" s="4"/>
      <c r="FQ901" s="4"/>
      <c r="FR901" s="4"/>
      <c r="FS901" s="4"/>
      <c r="FT901" s="4"/>
      <c r="FU901" s="4"/>
      <c r="FV901" s="4"/>
      <c r="FW901" s="4">
        <v>100</v>
      </c>
      <c r="FX901" s="4"/>
      <c r="FY901" s="4"/>
      <c r="FZ901" s="4"/>
      <c r="GA901" s="4"/>
      <c r="GB901" s="4"/>
      <c r="GC901" s="4"/>
      <c r="GD901" s="4"/>
      <c r="GE901" s="4"/>
      <c r="GF901" s="4"/>
      <c r="GG901" s="4"/>
      <c r="GH901" s="4"/>
      <c r="GI901" s="4"/>
      <c r="GJ901" s="4"/>
      <c r="GK901" s="4"/>
      <c r="GL901" s="4"/>
      <c r="GM901" s="4"/>
      <c r="GN901" s="4"/>
      <c r="GO901" s="4"/>
      <c r="GP901" s="4"/>
      <c r="GQ901" s="4"/>
      <c r="GR901" s="4"/>
      <c r="GS901" s="4"/>
      <c r="GT901" s="4"/>
      <c r="GU901" s="4"/>
      <c r="GV901" s="4"/>
      <c r="GW901" s="4"/>
      <c r="GX901" s="4"/>
    </row>
    <row r="902">
      <c r="A902" s="2" t="s">
        <v>5341</v>
      </c>
      <c r="B902" s="2" t="s">
        <v>278</v>
      </c>
      <c r="C902" s="2" t="s">
        <v>1299</v>
      </c>
      <c r="D902" s="2" t="s">
        <v>280</v>
      </c>
      <c r="E902" s="2" t="s">
        <v>281</v>
      </c>
      <c r="F902" s="2" t="s">
        <v>5342</v>
      </c>
      <c r="G902" s="2" t="s">
        <v>5342</v>
      </c>
      <c r="H902" s="2" t="s">
        <v>5342</v>
      </c>
      <c r="I902" s="2" t="s">
        <v>283</v>
      </c>
      <c r="J902" s="2" t="s">
        <v>222</v>
      </c>
      <c r="K902" s="2" t="s">
        <v>5343</v>
      </c>
      <c r="L902" s="3">
        <v>11.95</v>
      </c>
      <c r="M902" s="3">
        <v>12.55</v>
      </c>
      <c r="N902" s="3">
        <v>24.99</v>
      </c>
      <c r="O902" s="2" t="s">
        <v>224</v>
      </c>
      <c r="P902" s="2" t="s">
        <v>225</v>
      </c>
      <c r="Q902" s="2" t="s">
        <v>226</v>
      </c>
      <c r="R902" s="2" t="s">
        <v>227</v>
      </c>
      <c r="S902" s="2" t="s">
        <v>5344</v>
      </c>
      <c r="T902" s="2" t="s">
        <v>375</v>
      </c>
      <c r="U902" s="2" t="s">
        <v>674</v>
      </c>
      <c r="V902" s="2" t="s">
        <v>629</v>
      </c>
      <c r="W902" s="2" t="s">
        <v>231</v>
      </c>
      <c r="X902" s="2" t="s">
        <v>227</v>
      </c>
      <c r="Y902" s="2" t="s">
        <v>5345</v>
      </c>
      <c r="Z902" s="4">
        <v>158</v>
      </c>
      <c r="AA902" s="4">
        <f>=ROUNDDOWN(79,0)</f>
      </c>
      <c r="AB902" s="5">
        <v>2</v>
      </c>
      <c r="AC902" s="2" t="s">
        <v>227</v>
      </c>
      <c r="AD902" s="4"/>
      <c r="AE902" s="4"/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227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227</v>
      </c>
      <c r="AW902" s="8" t="s">
        <v>227</v>
      </c>
      <c r="AX902" s="4" t="s">
        <v>227</v>
      </c>
      <c r="AY902" s="8" t="s">
        <v>227</v>
      </c>
      <c r="AZ902" s="7" t="s">
        <v>227</v>
      </c>
      <c r="BA902" s="7" t="s">
        <v>227</v>
      </c>
      <c r="BB902" s="7"/>
      <c r="BC902" s="4" t="s">
        <v>227</v>
      </c>
      <c r="BD902" s="8" t="s">
        <v>227</v>
      </c>
      <c r="BE902" s="4" t="s">
        <v>227</v>
      </c>
      <c r="BF902" s="8" t="s">
        <v>227</v>
      </c>
      <c r="BG902" s="7" t="s">
        <v>227</v>
      </c>
      <c r="BH902" s="7" t="s">
        <v>227</v>
      </c>
      <c r="BI902" s="7"/>
      <c r="BJ902" s="4">
        <v>17</v>
      </c>
      <c r="BK902" s="8">
        <v>221.07</v>
      </c>
      <c r="BL902" s="2" t="s">
        <v>2276</v>
      </c>
      <c r="BM902" s="7"/>
      <c r="BN902" s="7"/>
      <c r="BO902" s="4"/>
      <c r="BP902" s="8"/>
      <c r="BQ902" s="4"/>
      <c r="BR902" s="8"/>
      <c r="BS902" s="7"/>
      <c r="BT902" s="7"/>
      <c r="BU902" s="2" t="s">
        <v>5346</v>
      </c>
      <c r="BV902" s="2" t="s">
        <v>227</v>
      </c>
      <c r="BW902" s="2" t="s">
        <v>227</v>
      </c>
      <c r="BX902" s="2" t="s">
        <v>235</v>
      </c>
      <c r="BY902" s="2" t="s">
        <v>236</v>
      </c>
      <c r="BZ902" s="2" t="s">
        <v>224</v>
      </c>
      <c r="CA902" s="2" t="s">
        <v>292</v>
      </c>
      <c r="CB902" s="2" t="s">
        <v>1493</v>
      </c>
      <c r="CC902" s="2" t="s">
        <v>239</v>
      </c>
      <c r="CD902" s="2" t="s">
        <v>227</v>
      </c>
      <c r="CE902" s="4">
        <v>158</v>
      </c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/>
      <c r="FB902" s="4"/>
      <c r="FC902" s="4"/>
      <c r="FD902" s="4"/>
      <c r="FE902" s="4"/>
      <c r="FF902" s="4"/>
      <c r="FG902" s="4"/>
      <c r="FH902" s="4"/>
      <c r="FI902" s="4"/>
      <c r="FJ902" s="4"/>
      <c r="FK902" s="4"/>
      <c r="FL902" s="4"/>
      <c r="FM902" s="4"/>
      <c r="FN902" s="4"/>
      <c r="FO902" s="4"/>
      <c r="FP902" s="4"/>
      <c r="FQ902" s="4"/>
      <c r="FR902" s="4"/>
      <c r="FS902" s="4"/>
      <c r="FT902" s="4"/>
      <c r="FU902" s="4"/>
      <c r="FV902" s="4"/>
      <c r="FW902" s="4"/>
      <c r="FX902" s="4"/>
      <c r="FY902" s="4"/>
      <c r="FZ902" s="4"/>
      <c r="GA902" s="4"/>
      <c r="GB902" s="4"/>
      <c r="GC902" s="4"/>
      <c r="GD902" s="4"/>
      <c r="GE902" s="4"/>
      <c r="GF902" s="4"/>
      <c r="GG902" s="4"/>
      <c r="GH902" s="4"/>
      <c r="GI902" s="4"/>
      <c r="GJ902" s="4"/>
      <c r="GK902" s="4"/>
      <c r="GL902" s="4"/>
      <c r="GM902" s="4"/>
      <c r="GN902" s="4"/>
      <c r="GO902" s="4"/>
      <c r="GP902" s="4"/>
      <c r="GQ902" s="4"/>
      <c r="GR902" s="4"/>
      <c r="GS902" s="4"/>
      <c r="GT902" s="4"/>
      <c r="GU902" s="4"/>
      <c r="GV902" s="4"/>
      <c r="GW902" s="4"/>
      <c r="GX902" s="4"/>
    </row>
    <row r="903">
      <c r="A903" s="2" t="s">
        <v>5347</v>
      </c>
      <c r="B903" s="2" t="s">
        <v>278</v>
      </c>
      <c r="C903" s="2" t="s">
        <v>1299</v>
      </c>
      <c r="D903" s="2" t="s">
        <v>280</v>
      </c>
      <c r="E903" s="2" t="s">
        <v>281</v>
      </c>
      <c r="F903" s="2" t="s">
        <v>5342</v>
      </c>
      <c r="G903" s="2" t="s">
        <v>5342</v>
      </c>
      <c r="H903" s="2" t="s">
        <v>5342</v>
      </c>
      <c r="I903" s="2" t="s">
        <v>283</v>
      </c>
      <c r="J903" s="2" t="s">
        <v>252</v>
      </c>
      <c r="K903" s="2" t="s">
        <v>5343</v>
      </c>
      <c r="L903" s="3">
        <v>14.75</v>
      </c>
      <c r="M903" s="3">
        <v>15.49</v>
      </c>
      <c r="N903" s="3">
        <v>29.99</v>
      </c>
      <c r="O903" s="2" t="s">
        <v>224</v>
      </c>
      <c r="P903" s="2" t="s">
        <v>225</v>
      </c>
      <c r="Q903" s="2" t="s">
        <v>226</v>
      </c>
      <c r="R903" s="2" t="s">
        <v>227</v>
      </c>
      <c r="S903" s="2" t="s">
        <v>5344</v>
      </c>
      <c r="T903" s="2" t="s">
        <v>375</v>
      </c>
      <c r="U903" s="2" t="s">
        <v>287</v>
      </c>
      <c r="V903" s="2" t="s">
        <v>629</v>
      </c>
      <c r="W903" s="2" t="s">
        <v>231</v>
      </c>
      <c r="X903" s="2" t="s">
        <v>227</v>
      </c>
      <c r="Y903" s="2" t="s">
        <v>5345</v>
      </c>
      <c r="Z903" s="4">
        <v>179</v>
      </c>
      <c r="AA903" s="4">
        <f>=ROUNDDOWN(10.5917159763314,0)</f>
      </c>
      <c r="AB903" s="5">
        <v>16.9</v>
      </c>
      <c r="AC903" s="2" t="s">
        <v>182</v>
      </c>
      <c r="AD903" s="4">
        <v>400</v>
      </c>
      <c r="AE903" s="4">
        <v>400</v>
      </c>
      <c r="AF903" s="6">
        <v>65</v>
      </c>
      <c r="AG903" s="6"/>
      <c r="AH903" s="7">
        <v>1</v>
      </c>
      <c r="AI903" s="4"/>
      <c r="AJ903" s="4">
        <f>=ROUNDDOWN({0},0)</f>
      </c>
      <c r="AK903" s="5"/>
      <c r="AL903" s="2" t="s">
        <v>227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227</v>
      </c>
      <c r="AW903" s="8" t="s">
        <v>227</v>
      </c>
      <c r="AX903" s="4" t="s">
        <v>227</v>
      </c>
      <c r="AY903" s="8" t="s">
        <v>227</v>
      </c>
      <c r="AZ903" s="7" t="s">
        <v>227</v>
      </c>
      <c r="BA903" s="7" t="s">
        <v>227</v>
      </c>
      <c r="BB903" s="7"/>
      <c r="BC903" s="4" t="s">
        <v>227</v>
      </c>
      <c r="BD903" s="8" t="s">
        <v>227</v>
      </c>
      <c r="BE903" s="4" t="s">
        <v>227</v>
      </c>
      <c r="BF903" s="8" t="s">
        <v>227</v>
      </c>
      <c r="BG903" s="7" t="s">
        <v>227</v>
      </c>
      <c r="BH903" s="7" t="s">
        <v>227</v>
      </c>
      <c r="BI903" s="7"/>
      <c r="BJ903" s="4">
        <v>114</v>
      </c>
      <c r="BK903" s="8">
        <v>1901.18</v>
      </c>
      <c r="BL903" s="2" t="s">
        <v>5348</v>
      </c>
      <c r="BM903" s="7"/>
      <c r="BN903" s="7"/>
      <c r="BO903" s="4"/>
      <c r="BP903" s="8"/>
      <c r="BQ903" s="4"/>
      <c r="BR903" s="8"/>
      <c r="BS903" s="7"/>
      <c r="BT903" s="7"/>
      <c r="BU903" s="2" t="s">
        <v>5349</v>
      </c>
      <c r="BV903" s="2" t="s">
        <v>227</v>
      </c>
      <c r="BW903" s="2" t="s">
        <v>227</v>
      </c>
      <c r="BX903" s="2" t="s">
        <v>235</v>
      </c>
      <c r="BY903" s="2" t="s">
        <v>236</v>
      </c>
      <c r="BZ903" s="2" t="s">
        <v>224</v>
      </c>
      <c r="CA903" s="2" t="s">
        <v>292</v>
      </c>
      <c r="CB903" s="2" t="s">
        <v>2878</v>
      </c>
      <c r="CC903" s="2" t="s">
        <v>239</v>
      </c>
      <c r="CD903" s="2" t="s">
        <v>227</v>
      </c>
      <c r="CE903" s="4">
        <v>179</v>
      </c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/>
      <c r="FB903" s="4"/>
      <c r="FC903" s="4"/>
      <c r="FD903" s="4"/>
      <c r="FE903" s="4"/>
      <c r="FF903" s="4"/>
      <c r="FG903" s="4"/>
      <c r="FH903" s="4"/>
      <c r="FI903" s="4"/>
      <c r="FJ903" s="4"/>
      <c r="FK903" s="4"/>
      <c r="FL903" s="4"/>
      <c r="FM903" s="4"/>
      <c r="FN903" s="4"/>
      <c r="FO903" s="4"/>
      <c r="FP903" s="4"/>
      <c r="FQ903" s="4"/>
      <c r="FR903" s="4">
        <v>400</v>
      </c>
      <c r="FS903" s="4"/>
      <c r="FT903" s="4"/>
      <c r="FU903" s="4"/>
      <c r="FV903" s="4"/>
      <c r="FW903" s="4"/>
      <c r="FX903" s="4"/>
      <c r="FY903" s="4"/>
      <c r="FZ903" s="4"/>
      <c r="GA903" s="4"/>
      <c r="GB903" s="4"/>
      <c r="GC903" s="4"/>
      <c r="GD903" s="4"/>
      <c r="GE903" s="4"/>
      <c r="GF903" s="4"/>
      <c r="GG903" s="4"/>
      <c r="GH903" s="4"/>
      <c r="GI903" s="4"/>
      <c r="GJ903" s="4"/>
      <c r="GK903" s="4"/>
      <c r="GL903" s="4"/>
      <c r="GM903" s="4"/>
      <c r="GN903" s="4"/>
      <c r="GO903" s="4"/>
      <c r="GP903" s="4"/>
      <c r="GQ903" s="4"/>
      <c r="GR903" s="4"/>
      <c r="GS903" s="4"/>
      <c r="GT903" s="4"/>
      <c r="GU903" s="4"/>
      <c r="GV903" s="4"/>
      <c r="GW903" s="4"/>
      <c r="GX903" s="4"/>
    </row>
    <row r="904">
      <c r="A904" s="2" t="s">
        <v>5350</v>
      </c>
      <c r="B904" s="2" t="s">
        <v>278</v>
      </c>
      <c r="C904" s="2" t="s">
        <v>1299</v>
      </c>
      <c r="D904" s="2" t="s">
        <v>280</v>
      </c>
      <c r="E904" s="2" t="s">
        <v>281</v>
      </c>
      <c r="F904" s="2" t="s">
        <v>5342</v>
      </c>
      <c r="G904" s="2" t="s">
        <v>5342</v>
      </c>
      <c r="H904" s="2" t="s">
        <v>5342</v>
      </c>
      <c r="I904" s="2" t="s">
        <v>283</v>
      </c>
      <c r="J904" s="2" t="s">
        <v>222</v>
      </c>
      <c r="K904" s="2" t="s">
        <v>5351</v>
      </c>
      <c r="L904" s="3">
        <v>11.95</v>
      </c>
      <c r="M904" s="3">
        <v>12.55</v>
      </c>
      <c r="N904" s="3">
        <v>24.99</v>
      </c>
      <c r="O904" s="2" t="s">
        <v>224</v>
      </c>
      <c r="P904" s="2" t="s">
        <v>225</v>
      </c>
      <c r="Q904" s="2" t="s">
        <v>226</v>
      </c>
      <c r="R904" s="2" t="s">
        <v>227</v>
      </c>
      <c r="S904" s="2" t="s">
        <v>5352</v>
      </c>
      <c r="T904" s="2" t="s">
        <v>375</v>
      </c>
      <c r="U904" s="2" t="s">
        <v>674</v>
      </c>
      <c r="V904" s="2" t="s">
        <v>4798</v>
      </c>
      <c r="W904" s="2" t="s">
        <v>231</v>
      </c>
      <c r="X904" s="2" t="s">
        <v>227</v>
      </c>
      <c r="Y904" s="2" t="s">
        <v>5345</v>
      </c>
      <c r="Z904" s="4">
        <v>104</v>
      </c>
      <c r="AA904" s="4">
        <f>=ROUNDDOWN(34.6666666666667,0)</f>
      </c>
      <c r="AB904" s="5">
        <v>3</v>
      </c>
      <c r="AC904" s="2" t="s">
        <v>839</v>
      </c>
      <c r="AD904" s="4">
        <v>60</v>
      </c>
      <c r="AE904" s="4">
        <v>60</v>
      </c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227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227</v>
      </c>
      <c r="AW904" s="8" t="s">
        <v>227</v>
      </c>
      <c r="AX904" s="4" t="s">
        <v>227</v>
      </c>
      <c r="AY904" s="8" t="s">
        <v>227</v>
      </c>
      <c r="AZ904" s="7" t="s">
        <v>227</v>
      </c>
      <c r="BA904" s="7" t="s">
        <v>227</v>
      </c>
      <c r="BB904" s="7"/>
      <c r="BC904" s="4" t="s">
        <v>227</v>
      </c>
      <c r="BD904" s="8" t="s">
        <v>227</v>
      </c>
      <c r="BE904" s="4" t="s">
        <v>227</v>
      </c>
      <c r="BF904" s="8" t="s">
        <v>227</v>
      </c>
      <c r="BG904" s="7" t="s">
        <v>227</v>
      </c>
      <c r="BH904" s="7" t="s">
        <v>227</v>
      </c>
      <c r="BI904" s="7"/>
      <c r="BJ904" s="4">
        <v>17</v>
      </c>
      <c r="BK904" s="8">
        <v>212.33</v>
      </c>
      <c r="BL904" s="2" t="s">
        <v>928</v>
      </c>
      <c r="BM904" s="7"/>
      <c r="BN904" s="7"/>
      <c r="BO904" s="4"/>
      <c r="BP904" s="8"/>
      <c r="BQ904" s="4"/>
      <c r="BR904" s="8"/>
      <c r="BS904" s="7"/>
      <c r="BT904" s="7"/>
      <c r="BU904" s="2" t="s">
        <v>5353</v>
      </c>
      <c r="BV904" s="2" t="s">
        <v>227</v>
      </c>
      <c r="BW904" s="2" t="s">
        <v>227</v>
      </c>
      <c r="BX904" s="2" t="s">
        <v>235</v>
      </c>
      <c r="BY904" s="2" t="s">
        <v>236</v>
      </c>
      <c r="BZ904" s="2" t="s">
        <v>224</v>
      </c>
      <c r="CA904" s="2" t="s">
        <v>292</v>
      </c>
      <c r="CB904" s="2" t="s">
        <v>1994</v>
      </c>
      <c r="CC904" s="2" t="s">
        <v>239</v>
      </c>
      <c r="CD904" s="2" t="s">
        <v>227</v>
      </c>
      <c r="CE904" s="4">
        <v>104</v>
      </c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>
        <v>60</v>
      </c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/>
      <c r="FA904" s="4"/>
      <c r="FB904" s="4"/>
      <c r="FC904" s="4"/>
      <c r="FD904" s="4"/>
      <c r="FE904" s="4"/>
      <c r="FF904" s="4"/>
      <c r="FG904" s="4"/>
      <c r="FH904" s="4"/>
      <c r="FI904" s="4"/>
      <c r="FJ904" s="4"/>
      <c r="FK904" s="4"/>
      <c r="FL904" s="4"/>
      <c r="FM904" s="4"/>
      <c r="FN904" s="4"/>
      <c r="FO904" s="4"/>
      <c r="FP904" s="4"/>
      <c r="FQ904" s="4"/>
      <c r="FR904" s="4"/>
      <c r="FS904" s="4"/>
      <c r="FT904" s="4"/>
      <c r="FU904" s="4"/>
      <c r="FV904" s="4"/>
      <c r="FW904" s="4"/>
      <c r="FX904" s="4"/>
      <c r="FY904" s="4"/>
      <c r="FZ904" s="4"/>
      <c r="GA904" s="4"/>
      <c r="GB904" s="4"/>
      <c r="GC904" s="4"/>
      <c r="GD904" s="4"/>
      <c r="GE904" s="4"/>
      <c r="GF904" s="4"/>
      <c r="GG904" s="4"/>
      <c r="GH904" s="4"/>
      <c r="GI904" s="4"/>
      <c r="GJ904" s="4"/>
      <c r="GK904" s="4"/>
      <c r="GL904" s="4"/>
      <c r="GM904" s="4"/>
      <c r="GN904" s="4"/>
      <c r="GO904" s="4"/>
      <c r="GP904" s="4"/>
      <c r="GQ904" s="4"/>
      <c r="GR904" s="4"/>
      <c r="GS904" s="4"/>
      <c r="GT904" s="4"/>
      <c r="GU904" s="4"/>
      <c r="GV904" s="4"/>
      <c r="GW904" s="4"/>
      <c r="GX904" s="4"/>
    </row>
    <row r="905">
      <c r="A905" s="2" t="s">
        <v>5354</v>
      </c>
      <c r="B905" s="2" t="s">
        <v>278</v>
      </c>
      <c r="C905" s="2" t="s">
        <v>1299</v>
      </c>
      <c r="D905" s="2" t="s">
        <v>280</v>
      </c>
      <c r="E905" s="2" t="s">
        <v>281</v>
      </c>
      <c r="F905" s="2" t="s">
        <v>5342</v>
      </c>
      <c r="G905" s="2" t="s">
        <v>5342</v>
      </c>
      <c r="H905" s="2" t="s">
        <v>5342</v>
      </c>
      <c r="I905" s="2" t="s">
        <v>283</v>
      </c>
      <c r="J905" s="2" t="s">
        <v>247</v>
      </c>
      <c r="K905" s="2" t="s">
        <v>5351</v>
      </c>
      <c r="L905" s="3">
        <v>13.55</v>
      </c>
      <c r="M905" s="3">
        <v>14.23</v>
      </c>
      <c r="N905" s="3">
        <v>27.99</v>
      </c>
      <c r="O905" s="2" t="s">
        <v>224</v>
      </c>
      <c r="P905" s="2" t="s">
        <v>225</v>
      </c>
      <c r="Q905" s="2" t="s">
        <v>226</v>
      </c>
      <c r="R905" s="2" t="s">
        <v>227</v>
      </c>
      <c r="S905" s="2" t="s">
        <v>5352</v>
      </c>
      <c r="T905" s="2" t="s">
        <v>375</v>
      </c>
      <c r="U905" s="2" t="s">
        <v>287</v>
      </c>
      <c r="V905" s="2" t="s">
        <v>4798</v>
      </c>
      <c r="W905" s="2" t="s">
        <v>231</v>
      </c>
      <c r="X905" s="2" t="s">
        <v>227</v>
      </c>
      <c r="Y905" s="2" t="s">
        <v>5345</v>
      </c>
      <c r="Z905" s="4">
        <v>170</v>
      </c>
      <c r="AA905" s="4">
        <f>=ROUNDDOWN(47.2222222222222,0)</f>
      </c>
      <c r="AB905" s="5">
        <v>3.6</v>
      </c>
      <c r="AC905" s="2" t="s">
        <v>839</v>
      </c>
      <c r="AD905" s="4">
        <v>70</v>
      </c>
      <c r="AE905" s="4">
        <v>130</v>
      </c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227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227</v>
      </c>
      <c r="AW905" s="8" t="s">
        <v>227</v>
      </c>
      <c r="AX905" s="4" t="s">
        <v>227</v>
      </c>
      <c r="AY905" s="8" t="s">
        <v>227</v>
      </c>
      <c r="AZ905" s="7" t="s">
        <v>227</v>
      </c>
      <c r="BA905" s="7" t="s">
        <v>227</v>
      </c>
      <c r="BB905" s="7"/>
      <c r="BC905" s="4" t="s">
        <v>227</v>
      </c>
      <c r="BD905" s="8" t="s">
        <v>227</v>
      </c>
      <c r="BE905" s="4" t="s">
        <v>227</v>
      </c>
      <c r="BF905" s="8" t="s">
        <v>227</v>
      </c>
      <c r="BG905" s="7" t="s">
        <v>227</v>
      </c>
      <c r="BH905" s="7" t="s">
        <v>227</v>
      </c>
      <c r="BI905" s="7"/>
      <c r="BJ905" s="4">
        <v>26</v>
      </c>
      <c r="BK905" s="8">
        <v>368.98</v>
      </c>
      <c r="BL905" s="2" t="s">
        <v>928</v>
      </c>
      <c r="BM905" s="7"/>
      <c r="BN905" s="7"/>
      <c r="BO905" s="4"/>
      <c r="BP905" s="8"/>
      <c r="BQ905" s="4"/>
      <c r="BR905" s="8"/>
      <c r="BS905" s="7"/>
      <c r="BT905" s="7"/>
      <c r="BU905" s="2" t="s">
        <v>5355</v>
      </c>
      <c r="BV905" s="2" t="s">
        <v>227</v>
      </c>
      <c r="BW905" s="2" t="s">
        <v>227</v>
      </c>
      <c r="BX905" s="2" t="s">
        <v>235</v>
      </c>
      <c r="BY905" s="2" t="s">
        <v>236</v>
      </c>
      <c r="BZ905" s="2" t="s">
        <v>224</v>
      </c>
      <c r="CA905" s="2" t="s">
        <v>292</v>
      </c>
      <c r="CB905" s="2" t="s">
        <v>3325</v>
      </c>
      <c r="CC905" s="2" t="s">
        <v>239</v>
      </c>
      <c r="CD905" s="2" t="s">
        <v>227</v>
      </c>
      <c r="CE905" s="4">
        <v>170</v>
      </c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>
        <v>70</v>
      </c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/>
      <c r="FD905" s="4"/>
      <c r="FE905" s="4"/>
      <c r="FF905" s="4"/>
      <c r="FG905" s="4"/>
      <c r="FH905" s="4"/>
      <c r="FI905" s="4"/>
      <c r="FJ905" s="4"/>
      <c r="FK905" s="4"/>
      <c r="FL905" s="4"/>
      <c r="FM905" s="4"/>
      <c r="FN905" s="4"/>
      <c r="FO905" s="4"/>
      <c r="FP905" s="4"/>
      <c r="FQ905" s="4"/>
      <c r="FR905" s="4"/>
      <c r="FS905" s="4"/>
      <c r="FT905" s="4"/>
      <c r="FU905" s="4"/>
      <c r="FV905" s="4"/>
      <c r="FW905" s="4"/>
      <c r="FX905" s="4"/>
      <c r="FY905" s="4"/>
      <c r="FZ905" s="4"/>
      <c r="GA905" s="4"/>
      <c r="GB905" s="4"/>
      <c r="GC905" s="4"/>
      <c r="GD905" s="4"/>
      <c r="GE905" s="4"/>
      <c r="GF905" s="4"/>
      <c r="GG905" s="4"/>
      <c r="GH905" s="4"/>
      <c r="GI905" s="4"/>
      <c r="GJ905" s="4"/>
      <c r="GK905" s="4"/>
      <c r="GL905" s="4"/>
      <c r="GM905" s="4"/>
      <c r="GN905" s="4"/>
      <c r="GO905" s="4"/>
      <c r="GP905" s="4"/>
      <c r="GQ905" s="4"/>
      <c r="GR905" s="4"/>
      <c r="GS905" s="4"/>
      <c r="GT905" s="4"/>
      <c r="GU905" s="4"/>
      <c r="GV905" s="4"/>
      <c r="GW905" s="4"/>
      <c r="GX905" s="4">
        <v>60</v>
      </c>
    </row>
    <row r="906">
      <c r="A906" s="2" t="s">
        <v>5356</v>
      </c>
      <c r="B906" s="2" t="s">
        <v>278</v>
      </c>
      <c r="C906" s="2" t="s">
        <v>1299</v>
      </c>
      <c r="D906" s="2" t="s">
        <v>280</v>
      </c>
      <c r="E906" s="2" t="s">
        <v>281</v>
      </c>
      <c r="F906" s="2" t="s">
        <v>5342</v>
      </c>
      <c r="G906" s="2" t="s">
        <v>5342</v>
      </c>
      <c r="H906" s="2" t="s">
        <v>5342</v>
      </c>
      <c r="I906" s="2" t="s">
        <v>283</v>
      </c>
      <c r="J906" s="2" t="s">
        <v>252</v>
      </c>
      <c r="K906" s="2" t="s">
        <v>5351</v>
      </c>
      <c r="L906" s="3">
        <v>14.75</v>
      </c>
      <c r="M906" s="3">
        <v>15.49</v>
      </c>
      <c r="N906" s="3">
        <v>29.99</v>
      </c>
      <c r="O906" s="2" t="s">
        <v>224</v>
      </c>
      <c r="P906" s="2" t="s">
        <v>225</v>
      </c>
      <c r="Q906" s="2" t="s">
        <v>226</v>
      </c>
      <c r="R906" s="2" t="s">
        <v>227</v>
      </c>
      <c r="S906" s="2" t="s">
        <v>5352</v>
      </c>
      <c r="T906" s="2" t="s">
        <v>375</v>
      </c>
      <c r="U906" s="2" t="s">
        <v>287</v>
      </c>
      <c r="V906" s="2" t="s">
        <v>4798</v>
      </c>
      <c r="W906" s="2" t="s">
        <v>231</v>
      </c>
      <c r="X906" s="2" t="s">
        <v>227</v>
      </c>
      <c r="Y906" s="2" t="s">
        <v>5345</v>
      </c>
      <c r="Z906" s="4">
        <v>178</v>
      </c>
      <c r="AA906" s="4">
        <f>=ROUNDDOWN(16.1818181818182,0)</f>
      </c>
      <c r="AB906" s="5">
        <v>11</v>
      </c>
      <c r="AC906" s="2" t="s">
        <v>839</v>
      </c>
      <c r="AD906" s="4">
        <v>100</v>
      </c>
      <c r="AE906" s="4">
        <v>490</v>
      </c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227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227</v>
      </c>
      <c r="AW906" s="8" t="s">
        <v>227</v>
      </c>
      <c r="AX906" s="4" t="s">
        <v>227</v>
      </c>
      <c r="AY906" s="8" t="s">
        <v>227</v>
      </c>
      <c r="AZ906" s="7" t="s">
        <v>227</v>
      </c>
      <c r="BA906" s="7" t="s">
        <v>227</v>
      </c>
      <c r="BB906" s="7"/>
      <c r="BC906" s="4" t="s">
        <v>227</v>
      </c>
      <c r="BD906" s="8" t="s">
        <v>227</v>
      </c>
      <c r="BE906" s="4" t="s">
        <v>227</v>
      </c>
      <c r="BF906" s="8" t="s">
        <v>227</v>
      </c>
      <c r="BG906" s="7" t="s">
        <v>227</v>
      </c>
      <c r="BH906" s="7" t="s">
        <v>227</v>
      </c>
      <c r="BI906" s="7"/>
      <c r="BJ906" s="4">
        <v>36</v>
      </c>
      <c r="BK906" s="8">
        <v>575.42</v>
      </c>
      <c r="BL906" s="2" t="s">
        <v>928</v>
      </c>
      <c r="BM906" s="7"/>
      <c r="BN906" s="7"/>
      <c r="BO906" s="4"/>
      <c r="BP906" s="8"/>
      <c r="BQ906" s="4"/>
      <c r="BR906" s="8"/>
      <c r="BS906" s="7"/>
      <c r="BT906" s="7"/>
      <c r="BU906" s="2" t="s">
        <v>5357</v>
      </c>
      <c r="BV906" s="2" t="s">
        <v>227</v>
      </c>
      <c r="BW906" s="2" t="s">
        <v>227</v>
      </c>
      <c r="BX906" s="2" t="s">
        <v>235</v>
      </c>
      <c r="BY906" s="2" t="s">
        <v>236</v>
      </c>
      <c r="BZ906" s="2" t="s">
        <v>224</v>
      </c>
      <c r="CA906" s="2" t="s">
        <v>292</v>
      </c>
      <c r="CB906" s="2" t="s">
        <v>5358</v>
      </c>
      <c r="CC906" s="2" t="s">
        <v>239</v>
      </c>
      <c r="CD906" s="2" t="s">
        <v>227</v>
      </c>
      <c r="CE906" s="4">
        <v>178</v>
      </c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>
        <v>100</v>
      </c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/>
      <c r="FA906" s="4"/>
      <c r="FB906" s="4"/>
      <c r="FC906" s="4"/>
      <c r="FD906" s="4"/>
      <c r="FE906" s="4"/>
      <c r="FF906" s="4"/>
      <c r="FG906" s="4"/>
      <c r="FH906" s="4"/>
      <c r="FI906" s="4"/>
      <c r="FJ906" s="4"/>
      <c r="FK906" s="4"/>
      <c r="FL906" s="4"/>
      <c r="FM906" s="4"/>
      <c r="FN906" s="4"/>
      <c r="FO906" s="4"/>
      <c r="FP906" s="4"/>
      <c r="FQ906" s="4"/>
      <c r="FR906" s="4"/>
      <c r="FS906" s="4"/>
      <c r="FT906" s="4"/>
      <c r="FU906" s="4"/>
      <c r="FV906" s="4"/>
      <c r="FW906" s="4"/>
      <c r="FX906" s="4"/>
      <c r="FY906" s="4"/>
      <c r="FZ906" s="4"/>
      <c r="GA906" s="4"/>
      <c r="GB906" s="4"/>
      <c r="GC906" s="4"/>
      <c r="GD906" s="4"/>
      <c r="GE906" s="4"/>
      <c r="GF906" s="4"/>
      <c r="GG906" s="4"/>
      <c r="GH906" s="4"/>
      <c r="GI906" s="4"/>
      <c r="GJ906" s="4"/>
      <c r="GK906" s="4"/>
      <c r="GL906" s="4"/>
      <c r="GM906" s="4">
        <v>100</v>
      </c>
      <c r="GN906" s="4"/>
      <c r="GO906" s="4"/>
      <c r="GP906" s="4"/>
      <c r="GQ906" s="4"/>
      <c r="GR906" s="4"/>
      <c r="GS906" s="4"/>
      <c r="GT906" s="4"/>
      <c r="GU906" s="4"/>
      <c r="GV906" s="4"/>
      <c r="GW906" s="4"/>
      <c r="GX906" s="4">
        <v>290</v>
      </c>
    </row>
    <row r="907">
      <c r="A907" s="2" t="s">
        <v>5359</v>
      </c>
      <c r="B907" s="2" t="s">
        <v>278</v>
      </c>
      <c r="C907" s="2" t="s">
        <v>1299</v>
      </c>
      <c r="D907" s="2" t="s">
        <v>280</v>
      </c>
      <c r="E907" s="2" t="s">
        <v>281</v>
      </c>
      <c r="F907" s="2" t="s">
        <v>5342</v>
      </c>
      <c r="G907" s="2" t="s">
        <v>5342</v>
      </c>
      <c r="H907" s="2" t="s">
        <v>5342</v>
      </c>
      <c r="I907" s="2" t="s">
        <v>283</v>
      </c>
      <c r="J907" s="2" t="s">
        <v>257</v>
      </c>
      <c r="K907" s="2" t="s">
        <v>5351</v>
      </c>
      <c r="L907" s="3">
        <v>16.35</v>
      </c>
      <c r="M907" s="3">
        <v>17.17</v>
      </c>
      <c r="N907" s="3">
        <v>34.99</v>
      </c>
      <c r="O907" s="2" t="s">
        <v>224</v>
      </c>
      <c r="P907" s="2" t="s">
        <v>225</v>
      </c>
      <c r="Q907" s="2" t="s">
        <v>226</v>
      </c>
      <c r="R907" s="2" t="s">
        <v>227</v>
      </c>
      <c r="S907" s="2" t="s">
        <v>5352</v>
      </c>
      <c r="T907" s="2" t="s">
        <v>375</v>
      </c>
      <c r="U907" s="2" t="s">
        <v>287</v>
      </c>
      <c r="V907" s="2" t="s">
        <v>4798</v>
      </c>
      <c r="W907" s="2" t="s">
        <v>231</v>
      </c>
      <c r="X907" s="2" t="s">
        <v>227</v>
      </c>
      <c r="Y907" s="2" t="s">
        <v>5345</v>
      </c>
      <c r="Z907" s="4">
        <v>103</v>
      </c>
      <c r="AA907" s="4">
        <f>=ROUNDDOWN(22.3913043478261,0)</f>
      </c>
      <c r="AB907" s="5">
        <v>4.6</v>
      </c>
      <c r="AC907" s="2" t="s">
        <v>203</v>
      </c>
      <c r="AD907" s="4">
        <v>50</v>
      </c>
      <c r="AE907" s="4">
        <v>150</v>
      </c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227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227</v>
      </c>
      <c r="AW907" s="8" t="s">
        <v>227</v>
      </c>
      <c r="AX907" s="4" t="s">
        <v>227</v>
      </c>
      <c r="AY907" s="8" t="s">
        <v>227</v>
      </c>
      <c r="AZ907" s="7" t="s">
        <v>227</v>
      </c>
      <c r="BA907" s="7" t="s">
        <v>227</v>
      </c>
      <c r="BB907" s="7"/>
      <c r="BC907" s="4" t="s">
        <v>227</v>
      </c>
      <c r="BD907" s="8" t="s">
        <v>227</v>
      </c>
      <c r="BE907" s="4" t="s">
        <v>227</v>
      </c>
      <c r="BF907" s="8" t="s">
        <v>227</v>
      </c>
      <c r="BG907" s="7" t="s">
        <v>227</v>
      </c>
      <c r="BH907" s="7" t="s">
        <v>227</v>
      </c>
      <c r="BI907" s="7"/>
      <c r="BJ907" s="4">
        <v>22</v>
      </c>
      <c r="BK907" s="8">
        <v>407.36</v>
      </c>
      <c r="BL907" s="2" t="s">
        <v>5348</v>
      </c>
      <c r="BM907" s="7"/>
      <c r="BN907" s="7"/>
      <c r="BO907" s="4"/>
      <c r="BP907" s="8"/>
      <c r="BQ907" s="4"/>
      <c r="BR907" s="8"/>
      <c r="BS907" s="7"/>
      <c r="BT907" s="7"/>
      <c r="BU907" s="2" t="s">
        <v>5360</v>
      </c>
      <c r="BV907" s="2" t="s">
        <v>227</v>
      </c>
      <c r="BW907" s="2" t="s">
        <v>227</v>
      </c>
      <c r="BX907" s="2" t="s">
        <v>235</v>
      </c>
      <c r="BY907" s="2" t="s">
        <v>236</v>
      </c>
      <c r="BZ907" s="2" t="s">
        <v>224</v>
      </c>
      <c r="CA907" s="2" t="s">
        <v>292</v>
      </c>
      <c r="CB907" s="2" t="s">
        <v>5361</v>
      </c>
      <c r="CC907" s="2" t="s">
        <v>239</v>
      </c>
      <c r="CD907" s="2" t="s">
        <v>227</v>
      </c>
      <c r="CE907" s="4">
        <v>103</v>
      </c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/>
      <c r="FA907" s="4"/>
      <c r="FB907" s="4"/>
      <c r="FC907" s="4"/>
      <c r="FD907" s="4"/>
      <c r="FE907" s="4"/>
      <c r="FF907" s="4"/>
      <c r="FG907" s="4"/>
      <c r="FH907" s="4"/>
      <c r="FI907" s="4"/>
      <c r="FJ907" s="4"/>
      <c r="FK907" s="4"/>
      <c r="FL907" s="4"/>
      <c r="FM907" s="4"/>
      <c r="FN907" s="4"/>
      <c r="FO907" s="4"/>
      <c r="FP907" s="4"/>
      <c r="FQ907" s="4"/>
      <c r="FR907" s="4"/>
      <c r="FS907" s="4"/>
      <c r="FT907" s="4"/>
      <c r="FU907" s="4"/>
      <c r="FV907" s="4"/>
      <c r="FW907" s="4"/>
      <c r="FX907" s="4"/>
      <c r="FY907" s="4"/>
      <c r="FZ907" s="4"/>
      <c r="GA907" s="4"/>
      <c r="GB907" s="4"/>
      <c r="GC907" s="4"/>
      <c r="GD907" s="4"/>
      <c r="GE907" s="4"/>
      <c r="GF907" s="4"/>
      <c r="GG907" s="4"/>
      <c r="GH907" s="4"/>
      <c r="GI907" s="4"/>
      <c r="GJ907" s="4"/>
      <c r="GK907" s="4"/>
      <c r="GL907" s="4"/>
      <c r="GM907" s="4">
        <v>50</v>
      </c>
      <c r="GN907" s="4"/>
      <c r="GO907" s="4"/>
      <c r="GP907" s="4"/>
      <c r="GQ907" s="4"/>
      <c r="GR907" s="4"/>
      <c r="GS907" s="4"/>
      <c r="GT907" s="4"/>
      <c r="GU907" s="4"/>
      <c r="GV907" s="4"/>
      <c r="GW907" s="4"/>
      <c r="GX907" s="4">
        <v>100</v>
      </c>
    </row>
    <row r="908">
      <c r="A908" s="2" t="s">
        <v>5362</v>
      </c>
      <c r="B908" s="2" t="s">
        <v>278</v>
      </c>
      <c r="C908" s="2" t="s">
        <v>279</v>
      </c>
      <c r="D908" s="2" t="s">
        <v>280</v>
      </c>
      <c r="E908" s="2" t="s">
        <v>281</v>
      </c>
      <c r="F908" s="2" t="s">
        <v>5363</v>
      </c>
      <c r="G908" s="2" t="s">
        <v>5363</v>
      </c>
      <c r="H908" s="2" t="s">
        <v>5363</v>
      </c>
      <c r="I908" s="2" t="s">
        <v>283</v>
      </c>
      <c r="J908" s="2" t="s">
        <v>222</v>
      </c>
      <c r="K908" s="2" t="s">
        <v>5364</v>
      </c>
      <c r="L908" s="3">
        <v>15</v>
      </c>
      <c r="M908" s="3">
        <v>15.75</v>
      </c>
      <c r="N908" s="3">
        <v>29.99</v>
      </c>
      <c r="O908" s="2" t="s">
        <v>224</v>
      </c>
      <c r="P908" s="2" t="s">
        <v>225</v>
      </c>
      <c r="Q908" s="2" t="s">
        <v>226</v>
      </c>
      <c r="R908" s="2" t="s">
        <v>227</v>
      </c>
      <c r="S908" s="2" t="s">
        <v>5365</v>
      </c>
      <c r="T908" s="2" t="s">
        <v>5366</v>
      </c>
      <c r="U908" s="2" t="s">
        <v>674</v>
      </c>
      <c r="V908" s="2" t="s">
        <v>906</v>
      </c>
      <c r="W908" s="2" t="s">
        <v>487</v>
      </c>
      <c r="X908" s="2" t="s">
        <v>231</v>
      </c>
      <c r="Y908" s="2" t="s">
        <v>4312</v>
      </c>
      <c r="Z908" s="4">
        <v>82</v>
      </c>
      <c r="AA908" s="4">
        <f>=ROUNDDOWN(24.8484848484848,0)</f>
      </c>
      <c r="AB908" s="5">
        <v>3.3</v>
      </c>
      <c r="AC908" s="2" t="s">
        <v>182</v>
      </c>
      <c r="AD908" s="4">
        <v>110</v>
      </c>
      <c r="AE908" s="4">
        <v>110</v>
      </c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227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227</v>
      </c>
      <c r="AW908" s="8" t="s">
        <v>227</v>
      </c>
      <c r="AX908" s="4" t="s">
        <v>227</v>
      </c>
      <c r="AY908" s="8" t="s">
        <v>227</v>
      </c>
      <c r="AZ908" s="7" t="s">
        <v>227</v>
      </c>
      <c r="BA908" s="7" t="s">
        <v>227</v>
      </c>
      <c r="BB908" s="7"/>
      <c r="BC908" s="4" t="s">
        <v>227</v>
      </c>
      <c r="BD908" s="8" t="s">
        <v>227</v>
      </c>
      <c r="BE908" s="4" t="s">
        <v>227</v>
      </c>
      <c r="BF908" s="8" t="s">
        <v>227</v>
      </c>
      <c r="BG908" s="7" t="s">
        <v>227</v>
      </c>
      <c r="BH908" s="7" t="s">
        <v>227</v>
      </c>
      <c r="BI908" s="7"/>
      <c r="BJ908" s="4">
        <v>14</v>
      </c>
      <c r="BK908" s="8">
        <v>229.83</v>
      </c>
      <c r="BL908" s="2" t="s">
        <v>4674</v>
      </c>
      <c r="BM908" s="7"/>
      <c r="BN908" s="7"/>
      <c r="BO908" s="4"/>
      <c r="BP908" s="8"/>
      <c r="BQ908" s="4"/>
      <c r="BR908" s="8"/>
      <c r="BS908" s="7"/>
      <c r="BT908" s="7"/>
      <c r="BU908" s="2" t="s">
        <v>5367</v>
      </c>
      <c r="BV908" s="2" t="s">
        <v>227</v>
      </c>
      <c r="BW908" s="2" t="s">
        <v>227</v>
      </c>
      <c r="BX908" s="2" t="s">
        <v>235</v>
      </c>
      <c r="BY908" s="2" t="s">
        <v>236</v>
      </c>
      <c r="BZ908" s="2" t="s">
        <v>224</v>
      </c>
      <c r="CA908" s="2" t="s">
        <v>571</v>
      </c>
      <c r="CB908" s="2" t="s">
        <v>1487</v>
      </c>
      <c r="CC908" s="2" t="s">
        <v>239</v>
      </c>
      <c r="CD908" s="2" t="s">
        <v>227</v>
      </c>
      <c r="CE908" s="4">
        <v>82</v>
      </c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/>
      <c r="FB908" s="4"/>
      <c r="FC908" s="4"/>
      <c r="FD908" s="4"/>
      <c r="FE908" s="4"/>
      <c r="FF908" s="4"/>
      <c r="FG908" s="4"/>
      <c r="FH908" s="4"/>
      <c r="FI908" s="4"/>
      <c r="FJ908" s="4"/>
      <c r="FK908" s="4"/>
      <c r="FL908" s="4"/>
      <c r="FM908" s="4"/>
      <c r="FN908" s="4"/>
      <c r="FO908" s="4"/>
      <c r="FP908" s="4"/>
      <c r="FQ908" s="4"/>
      <c r="FR908" s="4">
        <v>110</v>
      </c>
      <c r="FS908" s="4"/>
      <c r="FT908" s="4"/>
      <c r="FU908" s="4"/>
      <c r="FV908" s="4"/>
      <c r="FW908" s="4"/>
      <c r="FX908" s="4"/>
      <c r="FY908" s="4"/>
      <c r="FZ908" s="4"/>
      <c r="GA908" s="4"/>
      <c r="GB908" s="4"/>
      <c r="GC908" s="4"/>
      <c r="GD908" s="4"/>
      <c r="GE908" s="4"/>
      <c r="GF908" s="4"/>
      <c r="GG908" s="4"/>
      <c r="GH908" s="4"/>
      <c r="GI908" s="4"/>
      <c r="GJ908" s="4"/>
      <c r="GK908" s="4"/>
      <c r="GL908" s="4"/>
      <c r="GM908" s="4"/>
      <c r="GN908" s="4"/>
      <c r="GO908" s="4"/>
      <c r="GP908" s="4"/>
      <c r="GQ908" s="4"/>
      <c r="GR908" s="4"/>
      <c r="GS908" s="4"/>
      <c r="GT908" s="4"/>
      <c r="GU908" s="4"/>
      <c r="GV908" s="4"/>
      <c r="GW908" s="4"/>
      <c r="GX908" s="4"/>
    </row>
    <row r="909">
      <c r="A909" s="2" t="s">
        <v>5368</v>
      </c>
      <c r="B909" s="2" t="s">
        <v>278</v>
      </c>
      <c r="C909" s="2" t="s">
        <v>279</v>
      </c>
      <c r="D909" s="2" t="s">
        <v>280</v>
      </c>
      <c r="E909" s="2" t="s">
        <v>281</v>
      </c>
      <c r="F909" s="2" t="s">
        <v>5363</v>
      </c>
      <c r="G909" s="2" t="s">
        <v>5363</v>
      </c>
      <c r="H909" s="2" t="s">
        <v>5363</v>
      </c>
      <c r="I909" s="2" t="s">
        <v>283</v>
      </c>
      <c r="J909" s="2" t="s">
        <v>252</v>
      </c>
      <c r="K909" s="2" t="s">
        <v>5364</v>
      </c>
      <c r="L909" s="3">
        <v>19</v>
      </c>
      <c r="M909" s="3">
        <v>19.95</v>
      </c>
      <c r="N909" s="3">
        <v>37.99</v>
      </c>
      <c r="O909" s="2" t="s">
        <v>224</v>
      </c>
      <c r="P909" s="2" t="s">
        <v>225</v>
      </c>
      <c r="Q909" s="2" t="s">
        <v>226</v>
      </c>
      <c r="R909" s="2" t="s">
        <v>227</v>
      </c>
      <c r="S909" s="2" t="s">
        <v>5365</v>
      </c>
      <c r="T909" s="2" t="s">
        <v>5366</v>
      </c>
      <c r="U909" s="2" t="s">
        <v>287</v>
      </c>
      <c r="V909" s="2" t="s">
        <v>906</v>
      </c>
      <c r="W909" s="2" t="s">
        <v>487</v>
      </c>
      <c r="X909" s="2" t="s">
        <v>231</v>
      </c>
      <c r="Y909" s="2" t="s">
        <v>4312</v>
      </c>
      <c r="Z909" s="4">
        <v>294</v>
      </c>
      <c r="AA909" s="4">
        <f>=ROUNDDOWN(34.1860465116279,0)</f>
      </c>
      <c r="AB909" s="5">
        <v>8.6</v>
      </c>
      <c r="AC909" s="2" t="s">
        <v>182</v>
      </c>
      <c r="AD909" s="4">
        <v>120</v>
      </c>
      <c r="AE909" s="4">
        <v>360</v>
      </c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227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227</v>
      </c>
      <c r="AW909" s="8" t="s">
        <v>227</v>
      </c>
      <c r="AX909" s="4" t="s">
        <v>227</v>
      </c>
      <c r="AY909" s="8" t="s">
        <v>227</v>
      </c>
      <c r="AZ909" s="7" t="s">
        <v>227</v>
      </c>
      <c r="BA909" s="7" t="s">
        <v>227</v>
      </c>
      <c r="BB909" s="7"/>
      <c r="BC909" s="4" t="s">
        <v>227</v>
      </c>
      <c r="BD909" s="8" t="s">
        <v>227</v>
      </c>
      <c r="BE909" s="4" t="s">
        <v>227</v>
      </c>
      <c r="BF909" s="8" t="s">
        <v>227</v>
      </c>
      <c r="BG909" s="7" t="s">
        <v>227</v>
      </c>
      <c r="BH909" s="7" t="s">
        <v>227</v>
      </c>
      <c r="BI909" s="7"/>
      <c r="BJ909" s="4">
        <v>41</v>
      </c>
      <c r="BK909" s="8">
        <v>877.64</v>
      </c>
      <c r="BL909" s="2" t="s">
        <v>5369</v>
      </c>
      <c r="BM909" s="7"/>
      <c r="BN909" s="7"/>
      <c r="BO909" s="4"/>
      <c r="BP909" s="8"/>
      <c r="BQ909" s="4"/>
      <c r="BR909" s="8"/>
      <c r="BS909" s="7"/>
      <c r="BT909" s="7"/>
      <c r="BU909" s="2" t="s">
        <v>5370</v>
      </c>
      <c r="BV909" s="2" t="s">
        <v>227</v>
      </c>
      <c r="BW909" s="2" t="s">
        <v>227</v>
      </c>
      <c r="BX909" s="2" t="s">
        <v>235</v>
      </c>
      <c r="BY909" s="2" t="s">
        <v>236</v>
      </c>
      <c r="BZ909" s="2" t="s">
        <v>224</v>
      </c>
      <c r="CA909" s="2" t="s">
        <v>571</v>
      </c>
      <c r="CB909" s="2" t="s">
        <v>1446</v>
      </c>
      <c r="CC909" s="2" t="s">
        <v>239</v>
      </c>
      <c r="CD909" s="2" t="s">
        <v>227</v>
      </c>
      <c r="CE909" s="4">
        <v>294</v>
      </c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/>
      <c r="FB909" s="4"/>
      <c r="FC909" s="4"/>
      <c r="FD909" s="4"/>
      <c r="FE909" s="4"/>
      <c r="FF909" s="4"/>
      <c r="FG909" s="4"/>
      <c r="FH909" s="4"/>
      <c r="FI909" s="4"/>
      <c r="FJ909" s="4"/>
      <c r="FK909" s="4"/>
      <c r="FL909" s="4"/>
      <c r="FM909" s="4"/>
      <c r="FN909" s="4"/>
      <c r="FO909" s="4"/>
      <c r="FP909" s="4"/>
      <c r="FQ909" s="4"/>
      <c r="FR909" s="4">
        <v>120</v>
      </c>
      <c r="FS909" s="4"/>
      <c r="FT909" s="4"/>
      <c r="FU909" s="4"/>
      <c r="FV909" s="4"/>
      <c r="FW909" s="4"/>
      <c r="FX909" s="4"/>
      <c r="FY909" s="4"/>
      <c r="FZ909" s="4"/>
      <c r="GA909" s="4"/>
      <c r="GB909" s="4"/>
      <c r="GC909" s="4"/>
      <c r="GD909" s="4"/>
      <c r="GE909" s="4"/>
      <c r="GF909" s="4"/>
      <c r="GG909" s="4"/>
      <c r="GH909" s="4"/>
      <c r="GI909" s="4"/>
      <c r="GJ909" s="4"/>
      <c r="GK909" s="4"/>
      <c r="GL909" s="4"/>
      <c r="GM909" s="4"/>
      <c r="GN909" s="4"/>
      <c r="GO909" s="4"/>
      <c r="GP909" s="4"/>
      <c r="GQ909" s="4"/>
      <c r="GR909" s="4"/>
      <c r="GS909" s="4">
        <v>40</v>
      </c>
      <c r="GT909" s="4"/>
      <c r="GU909" s="4"/>
      <c r="GV909" s="4"/>
      <c r="GW909" s="4"/>
      <c r="GX909" s="4">
        <v>200</v>
      </c>
    </row>
    <row r="910">
      <c r="A910" s="2" t="s">
        <v>5371</v>
      </c>
      <c r="B910" s="2" t="s">
        <v>278</v>
      </c>
      <c r="C910" s="2" t="s">
        <v>279</v>
      </c>
      <c r="D910" s="2" t="s">
        <v>280</v>
      </c>
      <c r="E910" s="2" t="s">
        <v>281</v>
      </c>
      <c r="F910" s="2" t="s">
        <v>5363</v>
      </c>
      <c r="G910" s="2" t="s">
        <v>5363</v>
      </c>
      <c r="H910" s="2" t="s">
        <v>5363</v>
      </c>
      <c r="I910" s="2" t="s">
        <v>283</v>
      </c>
      <c r="J910" s="2" t="s">
        <v>257</v>
      </c>
      <c r="K910" s="2" t="s">
        <v>5364</v>
      </c>
      <c r="L910" s="3">
        <v>21.5</v>
      </c>
      <c r="M910" s="3">
        <v>22.58</v>
      </c>
      <c r="N910" s="3">
        <v>42.99</v>
      </c>
      <c r="O910" s="2" t="s">
        <v>224</v>
      </c>
      <c r="P910" s="2" t="s">
        <v>225</v>
      </c>
      <c r="Q910" s="2" t="s">
        <v>226</v>
      </c>
      <c r="R910" s="2" t="s">
        <v>227</v>
      </c>
      <c r="S910" s="2" t="s">
        <v>5365</v>
      </c>
      <c r="T910" s="2" t="s">
        <v>5366</v>
      </c>
      <c r="U910" s="2" t="s">
        <v>287</v>
      </c>
      <c r="V910" s="2" t="s">
        <v>906</v>
      </c>
      <c r="W910" s="2" t="s">
        <v>487</v>
      </c>
      <c r="X910" s="2" t="s">
        <v>231</v>
      </c>
      <c r="Y910" s="2" t="s">
        <v>4312</v>
      </c>
      <c r="Z910" s="4">
        <v>126</v>
      </c>
      <c r="AA910" s="4">
        <f>=ROUNDDOWN(20.655737704918,0)</f>
      </c>
      <c r="AB910" s="5">
        <v>6.1</v>
      </c>
      <c r="AC910" s="2" t="s">
        <v>182</v>
      </c>
      <c r="AD910" s="4">
        <v>130</v>
      </c>
      <c r="AE910" s="4">
        <v>390</v>
      </c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227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227</v>
      </c>
      <c r="AW910" s="8" t="s">
        <v>227</v>
      </c>
      <c r="AX910" s="4" t="s">
        <v>227</v>
      </c>
      <c r="AY910" s="8" t="s">
        <v>227</v>
      </c>
      <c r="AZ910" s="7" t="s">
        <v>227</v>
      </c>
      <c r="BA910" s="7" t="s">
        <v>227</v>
      </c>
      <c r="BB910" s="7"/>
      <c r="BC910" s="4" t="s">
        <v>227</v>
      </c>
      <c r="BD910" s="8" t="s">
        <v>227</v>
      </c>
      <c r="BE910" s="4" t="s">
        <v>227</v>
      </c>
      <c r="BF910" s="8" t="s">
        <v>227</v>
      </c>
      <c r="BG910" s="7" t="s">
        <v>227</v>
      </c>
      <c r="BH910" s="7" t="s">
        <v>227</v>
      </c>
      <c r="BI910" s="7"/>
      <c r="BJ910" s="4">
        <v>21</v>
      </c>
      <c r="BK910" s="8">
        <v>500</v>
      </c>
      <c r="BL910" s="2" t="s">
        <v>3003</v>
      </c>
      <c r="BM910" s="7"/>
      <c r="BN910" s="7"/>
      <c r="BO910" s="4"/>
      <c r="BP910" s="8"/>
      <c r="BQ910" s="4"/>
      <c r="BR910" s="8"/>
      <c r="BS910" s="7"/>
      <c r="BT910" s="7"/>
      <c r="BU910" s="2" t="s">
        <v>5372</v>
      </c>
      <c r="BV910" s="2" t="s">
        <v>227</v>
      </c>
      <c r="BW910" s="2" t="s">
        <v>227</v>
      </c>
      <c r="BX910" s="2" t="s">
        <v>235</v>
      </c>
      <c r="BY910" s="2" t="s">
        <v>236</v>
      </c>
      <c r="BZ910" s="2" t="s">
        <v>224</v>
      </c>
      <c r="CA910" s="2" t="s">
        <v>571</v>
      </c>
      <c r="CB910" s="2" t="s">
        <v>998</v>
      </c>
      <c r="CC910" s="2" t="s">
        <v>239</v>
      </c>
      <c r="CD910" s="2" t="s">
        <v>227</v>
      </c>
      <c r="CE910" s="4">
        <v>126</v>
      </c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/>
      <c r="FD910" s="4"/>
      <c r="FE910" s="4"/>
      <c r="FF910" s="4"/>
      <c r="FG910" s="4"/>
      <c r="FH910" s="4"/>
      <c r="FI910" s="4"/>
      <c r="FJ910" s="4"/>
      <c r="FK910" s="4"/>
      <c r="FL910" s="4"/>
      <c r="FM910" s="4"/>
      <c r="FN910" s="4"/>
      <c r="FO910" s="4"/>
      <c r="FP910" s="4"/>
      <c r="FQ910" s="4"/>
      <c r="FR910" s="4">
        <v>130</v>
      </c>
      <c r="FS910" s="4"/>
      <c r="FT910" s="4"/>
      <c r="FU910" s="4"/>
      <c r="FV910" s="4"/>
      <c r="FW910" s="4"/>
      <c r="FX910" s="4"/>
      <c r="FY910" s="4"/>
      <c r="FZ910" s="4"/>
      <c r="GA910" s="4"/>
      <c r="GB910" s="4"/>
      <c r="GC910" s="4"/>
      <c r="GD910" s="4"/>
      <c r="GE910" s="4"/>
      <c r="GF910" s="4"/>
      <c r="GG910" s="4"/>
      <c r="GH910" s="4"/>
      <c r="GI910" s="4"/>
      <c r="GJ910" s="4"/>
      <c r="GK910" s="4"/>
      <c r="GL910" s="4"/>
      <c r="GM910" s="4"/>
      <c r="GN910" s="4"/>
      <c r="GO910" s="4"/>
      <c r="GP910" s="4"/>
      <c r="GQ910" s="4"/>
      <c r="GR910" s="4"/>
      <c r="GS910" s="4">
        <v>70</v>
      </c>
      <c r="GT910" s="4"/>
      <c r="GU910" s="4"/>
      <c r="GV910" s="4"/>
      <c r="GW910" s="4"/>
      <c r="GX910" s="4">
        <v>190</v>
      </c>
    </row>
    <row r="911">
      <c r="A911" s="2" t="s">
        <v>5373</v>
      </c>
      <c r="B911" s="2" t="s">
        <v>278</v>
      </c>
      <c r="C911" s="2" t="s">
        <v>279</v>
      </c>
      <c r="D911" s="2" t="s">
        <v>280</v>
      </c>
      <c r="E911" s="2" t="s">
        <v>281</v>
      </c>
      <c r="F911" s="2" t="s">
        <v>5363</v>
      </c>
      <c r="G911" s="2" t="s">
        <v>5363</v>
      </c>
      <c r="H911" s="2" t="s">
        <v>5363</v>
      </c>
      <c r="I911" s="2" t="s">
        <v>283</v>
      </c>
      <c r="J911" s="2" t="s">
        <v>222</v>
      </c>
      <c r="K911" s="2" t="s">
        <v>5374</v>
      </c>
      <c r="L911" s="3">
        <v>15</v>
      </c>
      <c r="M911" s="3">
        <v>15.75</v>
      </c>
      <c r="N911" s="3">
        <v>29.99</v>
      </c>
      <c r="O911" s="2" t="s">
        <v>224</v>
      </c>
      <c r="P911" s="2" t="s">
        <v>225</v>
      </c>
      <c r="Q911" s="2" t="s">
        <v>226</v>
      </c>
      <c r="R911" s="2" t="s">
        <v>227</v>
      </c>
      <c r="S911" s="2" t="s">
        <v>5375</v>
      </c>
      <c r="T911" s="2" t="s">
        <v>5366</v>
      </c>
      <c r="U911" s="2" t="s">
        <v>674</v>
      </c>
      <c r="V911" s="2" t="s">
        <v>1153</v>
      </c>
      <c r="W911" s="2" t="s">
        <v>487</v>
      </c>
      <c r="X911" s="2" t="s">
        <v>231</v>
      </c>
      <c r="Y911" s="2" t="s">
        <v>5376</v>
      </c>
      <c r="Z911" s="4">
        <v>171</v>
      </c>
      <c r="AA911" s="4">
        <f>=ROUNDDOWN(26.71875,0)</f>
      </c>
      <c r="AB911" s="5">
        <v>6.4</v>
      </c>
      <c r="AC911" s="2" t="s">
        <v>209</v>
      </c>
      <c r="AD911" s="4">
        <v>200</v>
      </c>
      <c r="AE911" s="4">
        <v>240</v>
      </c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227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227</v>
      </c>
      <c r="AW911" s="8" t="s">
        <v>227</v>
      </c>
      <c r="AX911" s="4" t="s">
        <v>227</v>
      </c>
      <c r="AY911" s="8" t="s">
        <v>227</v>
      </c>
      <c r="AZ911" s="7" t="s">
        <v>227</v>
      </c>
      <c r="BA911" s="7" t="s">
        <v>227</v>
      </c>
      <c r="BB911" s="7"/>
      <c r="BC911" s="4" t="s">
        <v>227</v>
      </c>
      <c r="BD911" s="8" t="s">
        <v>227</v>
      </c>
      <c r="BE911" s="4" t="s">
        <v>227</v>
      </c>
      <c r="BF911" s="8" t="s">
        <v>227</v>
      </c>
      <c r="BG911" s="7" t="s">
        <v>227</v>
      </c>
      <c r="BH911" s="7" t="s">
        <v>227</v>
      </c>
      <c r="BI911" s="7"/>
      <c r="BJ911" s="4">
        <v>47</v>
      </c>
      <c r="BK911" s="8">
        <v>797.11</v>
      </c>
      <c r="BL911" s="2" t="s">
        <v>1728</v>
      </c>
      <c r="BM911" s="7"/>
      <c r="BN911" s="7"/>
      <c r="BO911" s="4"/>
      <c r="BP911" s="8"/>
      <c r="BQ911" s="4"/>
      <c r="BR911" s="8"/>
      <c r="BS911" s="7"/>
      <c r="BT911" s="7"/>
      <c r="BU911" s="2" t="s">
        <v>5377</v>
      </c>
      <c r="BV911" s="2" t="s">
        <v>227</v>
      </c>
      <c r="BW911" s="2" t="s">
        <v>227</v>
      </c>
      <c r="BX911" s="2" t="s">
        <v>235</v>
      </c>
      <c r="BY911" s="2" t="s">
        <v>236</v>
      </c>
      <c r="BZ911" s="2" t="s">
        <v>224</v>
      </c>
      <c r="CA911" s="2" t="s">
        <v>5378</v>
      </c>
      <c r="CB911" s="2" t="s">
        <v>571</v>
      </c>
      <c r="CC911" s="2" t="s">
        <v>239</v>
      </c>
      <c r="CD911" s="2" t="s">
        <v>227</v>
      </c>
      <c r="CE911" s="4">
        <v>171</v>
      </c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/>
      <c r="FD911" s="4"/>
      <c r="FE911" s="4"/>
      <c r="FF911" s="4"/>
      <c r="FG911" s="4"/>
      <c r="FH911" s="4"/>
      <c r="FI911" s="4"/>
      <c r="FJ911" s="4"/>
      <c r="FK911" s="4"/>
      <c r="FL911" s="4"/>
      <c r="FM911" s="4"/>
      <c r="FN911" s="4"/>
      <c r="FO911" s="4"/>
      <c r="FP911" s="4"/>
      <c r="FQ911" s="4"/>
      <c r="FR911" s="4"/>
      <c r="FS911" s="4"/>
      <c r="FT911" s="4"/>
      <c r="FU911" s="4"/>
      <c r="FV911" s="4"/>
      <c r="FW911" s="4"/>
      <c r="FX911" s="4"/>
      <c r="FY911" s="4"/>
      <c r="FZ911" s="4"/>
      <c r="GA911" s="4"/>
      <c r="GB911" s="4"/>
      <c r="GC911" s="4"/>
      <c r="GD911" s="4"/>
      <c r="GE911" s="4"/>
      <c r="GF911" s="4"/>
      <c r="GG911" s="4"/>
      <c r="GH911" s="4"/>
      <c r="GI911" s="4"/>
      <c r="GJ911" s="4"/>
      <c r="GK911" s="4"/>
      <c r="GL911" s="4"/>
      <c r="GM911" s="4"/>
      <c r="GN911" s="4"/>
      <c r="GO911" s="4"/>
      <c r="GP911" s="4"/>
      <c r="GQ911" s="4"/>
      <c r="GR911" s="4"/>
      <c r="GS911" s="4">
        <v>200</v>
      </c>
      <c r="GT911" s="4"/>
      <c r="GU911" s="4"/>
      <c r="GV911" s="4"/>
      <c r="GW911" s="4"/>
      <c r="GX911" s="4">
        <v>40</v>
      </c>
    </row>
    <row r="912">
      <c r="A912" s="2" t="s">
        <v>5379</v>
      </c>
      <c r="B912" s="2" t="s">
        <v>278</v>
      </c>
      <c r="C912" s="2" t="s">
        <v>279</v>
      </c>
      <c r="D912" s="2" t="s">
        <v>280</v>
      </c>
      <c r="E912" s="2" t="s">
        <v>281</v>
      </c>
      <c r="F912" s="2" t="s">
        <v>5363</v>
      </c>
      <c r="G912" s="2" t="s">
        <v>5363</v>
      </c>
      <c r="H912" s="2" t="s">
        <v>5363</v>
      </c>
      <c r="I912" s="2" t="s">
        <v>283</v>
      </c>
      <c r="J912" s="2" t="s">
        <v>247</v>
      </c>
      <c r="K912" s="2" t="s">
        <v>5374</v>
      </c>
      <c r="L912" s="3">
        <v>16.5</v>
      </c>
      <c r="M912" s="3">
        <v>17.33</v>
      </c>
      <c r="N912" s="3">
        <v>32.99</v>
      </c>
      <c r="O912" s="2" t="s">
        <v>224</v>
      </c>
      <c r="P912" s="2" t="s">
        <v>225</v>
      </c>
      <c r="Q912" s="2" t="s">
        <v>226</v>
      </c>
      <c r="R912" s="2" t="s">
        <v>227</v>
      </c>
      <c r="S912" s="2" t="s">
        <v>5375</v>
      </c>
      <c r="T912" s="2" t="s">
        <v>5366</v>
      </c>
      <c r="U912" s="2" t="s">
        <v>287</v>
      </c>
      <c r="V912" s="2" t="s">
        <v>1153</v>
      </c>
      <c r="W912" s="2" t="s">
        <v>487</v>
      </c>
      <c r="X912" s="2" t="s">
        <v>231</v>
      </c>
      <c r="Y912" s="2" t="s">
        <v>5376</v>
      </c>
      <c r="Z912" s="4">
        <v>169</v>
      </c>
      <c r="AA912" s="4">
        <f>=ROUNDDOWN(13.3070866141732,0)</f>
      </c>
      <c r="AB912" s="5">
        <v>12.7</v>
      </c>
      <c r="AC912" s="2" t="s">
        <v>156</v>
      </c>
      <c r="AD912" s="4">
        <v>30</v>
      </c>
      <c r="AE912" s="4">
        <v>310</v>
      </c>
      <c r="AF912" s="6">
        <v>65</v>
      </c>
      <c r="AG912" s="6"/>
      <c r="AH912" s="7">
        <v>1</v>
      </c>
      <c r="AI912" s="4"/>
      <c r="AJ912" s="4">
        <f>=ROUNDDOWN({0},0)</f>
      </c>
      <c r="AK912" s="5"/>
      <c r="AL912" s="2" t="s">
        <v>227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227</v>
      </c>
      <c r="AW912" s="8" t="s">
        <v>227</v>
      </c>
      <c r="AX912" s="4" t="s">
        <v>227</v>
      </c>
      <c r="AY912" s="8" t="s">
        <v>227</v>
      </c>
      <c r="AZ912" s="7" t="s">
        <v>227</v>
      </c>
      <c r="BA912" s="7" t="s">
        <v>227</v>
      </c>
      <c r="BB912" s="7"/>
      <c r="BC912" s="4" t="s">
        <v>227</v>
      </c>
      <c r="BD912" s="8" t="s">
        <v>227</v>
      </c>
      <c r="BE912" s="4" t="s">
        <v>227</v>
      </c>
      <c r="BF912" s="8" t="s">
        <v>227</v>
      </c>
      <c r="BG912" s="7" t="s">
        <v>227</v>
      </c>
      <c r="BH912" s="7" t="s">
        <v>227</v>
      </c>
      <c r="BI912" s="7"/>
      <c r="BJ912" s="4">
        <v>60</v>
      </c>
      <c r="BK912" s="8">
        <v>1131.08</v>
      </c>
      <c r="BL912" s="2" t="s">
        <v>5380</v>
      </c>
      <c r="BM912" s="7"/>
      <c r="BN912" s="7"/>
      <c r="BO912" s="4"/>
      <c r="BP912" s="8"/>
      <c r="BQ912" s="4"/>
      <c r="BR912" s="8"/>
      <c r="BS912" s="7"/>
      <c r="BT912" s="7"/>
      <c r="BU912" s="2" t="s">
        <v>5381</v>
      </c>
      <c r="BV912" s="2" t="s">
        <v>227</v>
      </c>
      <c r="BW912" s="2" t="s">
        <v>227</v>
      </c>
      <c r="BX912" s="2" t="s">
        <v>235</v>
      </c>
      <c r="BY912" s="2" t="s">
        <v>236</v>
      </c>
      <c r="BZ912" s="2" t="s">
        <v>224</v>
      </c>
      <c r="CA912" s="2" t="s">
        <v>5378</v>
      </c>
      <c r="CB912" s="2" t="s">
        <v>4561</v>
      </c>
      <c r="CC912" s="2" t="s">
        <v>239</v>
      </c>
      <c r="CD912" s="2" t="s">
        <v>227</v>
      </c>
      <c r="CE912" s="4">
        <v>169</v>
      </c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>
        <v>30</v>
      </c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/>
      <c r="FF912" s="4"/>
      <c r="FG912" s="4"/>
      <c r="FH912" s="4"/>
      <c r="FI912" s="4"/>
      <c r="FJ912" s="4"/>
      <c r="FK912" s="4"/>
      <c r="FL912" s="4"/>
      <c r="FM912" s="4"/>
      <c r="FN912" s="4"/>
      <c r="FO912" s="4"/>
      <c r="FP912" s="4">
        <v>60</v>
      </c>
      <c r="FQ912" s="4"/>
      <c r="FR912" s="4"/>
      <c r="FS912" s="4"/>
      <c r="FT912" s="4"/>
      <c r="FU912" s="4"/>
      <c r="FV912" s="4"/>
      <c r="FW912" s="4"/>
      <c r="FX912" s="4"/>
      <c r="FY912" s="4"/>
      <c r="FZ912" s="4"/>
      <c r="GA912" s="4"/>
      <c r="GB912" s="4"/>
      <c r="GC912" s="4"/>
      <c r="GD912" s="4"/>
      <c r="GE912" s="4"/>
      <c r="GF912" s="4"/>
      <c r="GG912" s="4"/>
      <c r="GH912" s="4"/>
      <c r="GI912" s="4"/>
      <c r="GJ912" s="4"/>
      <c r="GK912" s="4"/>
      <c r="GL912" s="4"/>
      <c r="GM912" s="4"/>
      <c r="GN912" s="4"/>
      <c r="GO912" s="4"/>
      <c r="GP912" s="4"/>
      <c r="GQ912" s="4"/>
      <c r="GR912" s="4"/>
      <c r="GS912" s="4">
        <v>170</v>
      </c>
      <c r="GT912" s="4"/>
      <c r="GU912" s="4"/>
      <c r="GV912" s="4"/>
      <c r="GW912" s="4"/>
      <c r="GX912" s="4">
        <v>50</v>
      </c>
    </row>
    <row r="913">
      <c r="A913" s="2" t="s">
        <v>5382</v>
      </c>
      <c r="B913" s="2" t="s">
        <v>278</v>
      </c>
      <c r="C913" s="2" t="s">
        <v>279</v>
      </c>
      <c r="D913" s="2" t="s">
        <v>280</v>
      </c>
      <c r="E913" s="2" t="s">
        <v>281</v>
      </c>
      <c r="F913" s="2" t="s">
        <v>5363</v>
      </c>
      <c r="G913" s="2" t="s">
        <v>5363</v>
      </c>
      <c r="H913" s="2" t="s">
        <v>5363</v>
      </c>
      <c r="I913" s="2" t="s">
        <v>283</v>
      </c>
      <c r="J913" s="2" t="s">
        <v>252</v>
      </c>
      <c r="K913" s="2" t="s">
        <v>5374</v>
      </c>
      <c r="L913" s="3">
        <v>19</v>
      </c>
      <c r="M913" s="3">
        <v>19.95</v>
      </c>
      <c r="N913" s="3">
        <v>37.99</v>
      </c>
      <c r="O913" s="2" t="s">
        <v>224</v>
      </c>
      <c r="P913" s="2" t="s">
        <v>225</v>
      </c>
      <c r="Q913" s="2" t="s">
        <v>226</v>
      </c>
      <c r="R913" s="2" t="s">
        <v>227</v>
      </c>
      <c r="S913" s="2" t="s">
        <v>5375</v>
      </c>
      <c r="T913" s="2" t="s">
        <v>5366</v>
      </c>
      <c r="U913" s="2" t="s">
        <v>287</v>
      </c>
      <c r="V913" s="2" t="s">
        <v>1153</v>
      </c>
      <c r="W913" s="2" t="s">
        <v>487</v>
      </c>
      <c r="X913" s="2" t="s">
        <v>231</v>
      </c>
      <c r="Y913" s="2" t="s">
        <v>5376</v>
      </c>
      <c r="Z913" s="4">
        <v>296</v>
      </c>
      <c r="AA913" s="4">
        <f>=ROUNDDOWN(26.4285714285714,0)</f>
      </c>
      <c r="AB913" s="5">
        <v>11.2</v>
      </c>
      <c r="AC913" s="2" t="s">
        <v>156</v>
      </c>
      <c r="AD913" s="4">
        <v>100</v>
      </c>
      <c r="AE913" s="4">
        <v>480</v>
      </c>
      <c r="AF913" s="6">
        <v>65</v>
      </c>
      <c r="AG913" s="6"/>
      <c r="AH913" s="7">
        <v>1</v>
      </c>
      <c r="AI913" s="4"/>
      <c r="AJ913" s="4">
        <f>=ROUNDDOWN({0},0)</f>
      </c>
      <c r="AK913" s="5"/>
      <c r="AL913" s="2" t="s">
        <v>227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227</v>
      </c>
      <c r="AW913" s="8" t="s">
        <v>227</v>
      </c>
      <c r="AX913" s="4" t="s">
        <v>227</v>
      </c>
      <c r="AY913" s="8" t="s">
        <v>227</v>
      </c>
      <c r="AZ913" s="7" t="s">
        <v>227</v>
      </c>
      <c r="BA913" s="7" t="s">
        <v>227</v>
      </c>
      <c r="BB913" s="7"/>
      <c r="BC913" s="4" t="s">
        <v>227</v>
      </c>
      <c r="BD913" s="8" t="s">
        <v>227</v>
      </c>
      <c r="BE913" s="4" t="s">
        <v>227</v>
      </c>
      <c r="BF913" s="8" t="s">
        <v>227</v>
      </c>
      <c r="BG913" s="7" t="s">
        <v>227</v>
      </c>
      <c r="BH913" s="7" t="s">
        <v>227</v>
      </c>
      <c r="BI913" s="7"/>
      <c r="BJ913" s="4">
        <v>51</v>
      </c>
      <c r="BK913" s="8">
        <v>1156.11</v>
      </c>
      <c r="BL913" s="2" t="s">
        <v>5383</v>
      </c>
      <c r="BM913" s="7"/>
      <c r="BN913" s="7"/>
      <c r="BO913" s="4"/>
      <c r="BP913" s="8"/>
      <c r="BQ913" s="4"/>
      <c r="BR913" s="8"/>
      <c r="BS913" s="7"/>
      <c r="BT913" s="7"/>
      <c r="BU913" s="2" t="s">
        <v>5384</v>
      </c>
      <c r="BV913" s="2" t="s">
        <v>227</v>
      </c>
      <c r="BW913" s="2" t="s">
        <v>227</v>
      </c>
      <c r="BX913" s="2" t="s">
        <v>235</v>
      </c>
      <c r="BY913" s="2" t="s">
        <v>236</v>
      </c>
      <c r="BZ913" s="2" t="s">
        <v>224</v>
      </c>
      <c r="CA913" s="2" t="s">
        <v>5378</v>
      </c>
      <c r="CB913" s="2" t="s">
        <v>2322</v>
      </c>
      <c r="CC913" s="2" t="s">
        <v>239</v>
      </c>
      <c r="CD913" s="2" t="s">
        <v>227</v>
      </c>
      <c r="CE913" s="4">
        <v>296</v>
      </c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>
        <v>100</v>
      </c>
      <c r="ES913" s="4"/>
      <c r="ET913" s="4"/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/>
      <c r="FF913" s="4"/>
      <c r="FG913" s="4"/>
      <c r="FH913" s="4"/>
      <c r="FI913" s="4"/>
      <c r="FJ913" s="4"/>
      <c r="FK913" s="4"/>
      <c r="FL913" s="4"/>
      <c r="FM913" s="4"/>
      <c r="FN913" s="4"/>
      <c r="FO913" s="4"/>
      <c r="FP913" s="4">
        <v>120</v>
      </c>
      <c r="FQ913" s="4"/>
      <c r="FR913" s="4"/>
      <c r="FS913" s="4"/>
      <c r="FT913" s="4"/>
      <c r="FU913" s="4"/>
      <c r="FV913" s="4"/>
      <c r="FW913" s="4"/>
      <c r="FX913" s="4"/>
      <c r="FY913" s="4"/>
      <c r="FZ913" s="4"/>
      <c r="GA913" s="4"/>
      <c r="GB913" s="4"/>
      <c r="GC913" s="4"/>
      <c r="GD913" s="4"/>
      <c r="GE913" s="4"/>
      <c r="GF913" s="4"/>
      <c r="GG913" s="4"/>
      <c r="GH913" s="4"/>
      <c r="GI913" s="4"/>
      <c r="GJ913" s="4"/>
      <c r="GK913" s="4"/>
      <c r="GL913" s="4"/>
      <c r="GM913" s="4"/>
      <c r="GN913" s="4"/>
      <c r="GO913" s="4"/>
      <c r="GP913" s="4"/>
      <c r="GQ913" s="4"/>
      <c r="GR913" s="4"/>
      <c r="GS913" s="4">
        <v>200</v>
      </c>
      <c r="GT913" s="4"/>
      <c r="GU913" s="4"/>
      <c r="GV913" s="4"/>
      <c r="GW913" s="4"/>
      <c r="GX913" s="4">
        <v>60</v>
      </c>
    </row>
    <row r="914">
      <c r="A914" s="2" t="s">
        <v>5385</v>
      </c>
      <c r="B914" s="2" t="s">
        <v>278</v>
      </c>
      <c r="C914" s="2" t="s">
        <v>279</v>
      </c>
      <c r="D914" s="2" t="s">
        <v>280</v>
      </c>
      <c r="E914" s="2" t="s">
        <v>281</v>
      </c>
      <c r="F914" s="2" t="s">
        <v>5363</v>
      </c>
      <c r="G914" s="2" t="s">
        <v>5363</v>
      </c>
      <c r="H914" s="2" t="s">
        <v>5363</v>
      </c>
      <c r="I914" s="2" t="s">
        <v>283</v>
      </c>
      <c r="J914" s="2" t="s">
        <v>222</v>
      </c>
      <c r="K914" s="2" t="s">
        <v>5386</v>
      </c>
      <c r="L914" s="3">
        <v>15</v>
      </c>
      <c r="M914" s="3">
        <v>15.75</v>
      </c>
      <c r="N914" s="3">
        <v>29.99</v>
      </c>
      <c r="O914" s="2" t="s">
        <v>224</v>
      </c>
      <c r="P914" s="2" t="s">
        <v>225</v>
      </c>
      <c r="Q914" s="2" t="s">
        <v>226</v>
      </c>
      <c r="R914" s="2" t="s">
        <v>227</v>
      </c>
      <c r="S914" s="2" t="s">
        <v>5387</v>
      </c>
      <c r="T914" s="2" t="s">
        <v>5366</v>
      </c>
      <c r="U914" s="2" t="s">
        <v>674</v>
      </c>
      <c r="V914" s="2" t="s">
        <v>1153</v>
      </c>
      <c r="W914" s="2" t="s">
        <v>487</v>
      </c>
      <c r="X914" s="2" t="s">
        <v>231</v>
      </c>
      <c r="Y914" s="2" t="s">
        <v>5376</v>
      </c>
      <c r="Z914" s="4">
        <v>73</v>
      </c>
      <c r="AA914" s="4">
        <f>=ROUNDDOWN(12.8070175438596,0)</f>
      </c>
      <c r="AB914" s="5">
        <v>5.7</v>
      </c>
      <c r="AC914" s="2" t="s">
        <v>156</v>
      </c>
      <c r="AD914" s="4">
        <v>30</v>
      </c>
      <c r="AE914" s="4">
        <v>240</v>
      </c>
      <c r="AF914" s="6">
        <v>65</v>
      </c>
      <c r="AG914" s="6"/>
      <c r="AH914" s="7">
        <v>1</v>
      </c>
      <c r="AI914" s="4"/>
      <c r="AJ914" s="4">
        <f>=ROUNDDOWN({0},0)</f>
      </c>
      <c r="AK914" s="5"/>
      <c r="AL914" s="2" t="s">
        <v>227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227</v>
      </c>
      <c r="AW914" s="8" t="s">
        <v>227</v>
      </c>
      <c r="AX914" s="4" t="s">
        <v>227</v>
      </c>
      <c r="AY914" s="8" t="s">
        <v>227</v>
      </c>
      <c r="AZ914" s="7" t="s">
        <v>227</v>
      </c>
      <c r="BA914" s="7" t="s">
        <v>227</v>
      </c>
      <c r="BB914" s="7"/>
      <c r="BC914" s="4" t="s">
        <v>227</v>
      </c>
      <c r="BD914" s="8" t="s">
        <v>227</v>
      </c>
      <c r="BE914" s="4" t="s">
        <v>227</v>
      </c>
      <c r="BF914" s="8" t="s">
        <v>227</v>
      </c>
      <c r="BG914" s="7" t="s">
        <v>227</v>
      </c>
      <c r="BH914" s="7" t="s">
        <v>227</v>
      </c>
      <c r="BI914" s="7"/>
      <c r="BJ914" s="4">
        <v>31</v>
      </c>
      <c r="BK914" s="8">
        <v>521.66</v>
      </c>
      <c r="BL914" s="2" t="s">
        <v>5280</v>
      </c>
      <c r="BM914" s="7"/>
      <c r="BN914" s="7"/>
      <c r="BO914" s="4"/>
      <c r="BP914" s="8"/>
      <c r="BQ914" s="4"/>
      <c r="BR914" s="8"/>
      <c r="BS914" s="7"/>
      <c r="BT914" s="7"/>
      <c r="BU914" s="2" t="s">
        <v>5388</v>
      </c>
      <c r="BV914" s="2" t="s">
        <v>227</v>
      </c>
      <c r="BW914" s="2" t="s">
        <v>227</v>
      </c>
      <c r="BX914" s="2" t="s">
        <v>235</v>
      </c>
      <c r="BY914" s="2" t="s">
        <v>236</v>
      </c>
      <c r="BZ914" s="2" t="s">
        <v>224</v>
      </c>
      <c r="CA914" s="2" t="s">
        <v>5378</v>
      </c>
      <c r="CB914" s="2" t="s">
        <v>1919</v>
      </c>
      <c r="CC914" s="2" t="s">
        <v>239</v>
      </c>
      <c r="CD914" s="2" t="s">
        <v>227</v>
      </c>
      <c r="CE914" s="4">
        <v>73</v>
      </c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>
        <v>30</v>
      </c>
      <c r="ES914" s="4"/>
      <c r="ET914" s="4"/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/>
      <c r="FF914" s="4"/>
      <c r="FG914" s="4"/>
      <c r="FH914" s="4"/>
      <c r="FI914" s="4"/>
      <c r="FJ914" s="4"/>
      <c r="FK914" s="4"/>
      <c r="FL914" s="4"/>
      <c r="FM914" s="4"/>
      <c r="FN914" s="4"/>
      <c r="FO914" s="4"/>
      <c r="FP914" s="4">
        <v>20</v>
      </c>
      <c r="FQ914" s="4"/>
      <c r="FR914" s="4">
        <v>110</v>
      </c>
      <c r="FS914" s="4"/>
      <c r="FT914" s="4"/>
      <c r="FU914" s="4"/>
      <c r="FV914" s="4"/>
      <c r="FW914" s="4"/>
      <c r="FX914" s="4"/>
      <c r="FY914" s="4"/>
      <c r="FZ914" s="4"/>
      <c r="GA914" s="4"/>
      <c r="GB914" s="4"/>
      <c r="GC914" s="4"/>
      <c r="GD914" s="4"/>
      <c r="GE914" s="4"/>
      <c r="GF914" s="4"/>
      <c r="GG914" s="4"/>
      <c r="GH914" s="4"/>
      <c r="GI914" s="4"/>
      <c r="GJ914" s="4"/>
      <c r="GK914" s="4"/>
      <c r="GL914" s="4"/>
      <c r="GM914" s="4"/>
      <c r="GN914" s="4"/>
      <c r="GO914" s="4"/>
      <c r="GP914" s="4"/>
      <c r="GQ914" s="4"/>
      <c r="GR914" s="4"/>
      <c r="GS914" s="4">
        <v>50</v>
      </c>
      <c r="GT914" s="4"/>
      <c r="GU914" s="4"/>
      <c r="GV914" s="4"/>
      <c r="GW914" s="4"/>
      <c r="GX914" s="4">
        <v>30</v>
      </c>
    </row>
    <row r="915">
      <c r="A915" s="2" t="s">
        <v>5389</v>
      </c>
      <c r="B915" s="2" t="s">
        <v>278</v>
      </c>
      <c r="C915" s="2" t="s">
        <v>279</v>
      </c>
      <c r="D915" s="2" t="s">
        <v>280</v>
      </c>
      <c r="E915" s="2" t="s">
        <v>281</v>
      </c>
      <c r="F915" s="2" t="s">
        <v>5363</v>
      </c>
      <c r="G915" s="2" t="s">
        <v>5363</v>
      </c>
      <c r="H915" s="2" t="s">
        <v>5363</v>
      </c>
      <c r="I915" s="2" t="s">
        <v>283</v>
      </c>
      <c r="J915" s="2" t="s">
        <v>247</v>
      </c>
      <c r="K915" s="2" t="s">
        <v>5386</v>
      </c>
      <c r="L915" s="3">
        <v>16.5</v>
      </c>
      <c r="M915" s="3">
        <v>17.33</v>
      </c>
      <c r="N915" s="3">
        <v>32.99</v>
      </c>
      <c r="O915" s="2" t="s">
        <v>224</v>
      </c>
      <c r="P915" s="2" t="s">
        <v>225</v>
      </c>
      <c r="Q915" s="2" t="s">
        <v>226</v>
      </c>
      <c r="R915" s="2" t="s">
        <v>227</v>
      </c>
      <c r="S915" s="2" t="s">
        <v>5387</v>
      </c>
      <c r="T915" s="2" t="s">
        <v>5366</v>
      </c>
      <c r="U915" s="2" t="s">
        <v>287</v>
      </c>
      <c r="V915" s="2" t="s">
        <v>1153</v>
      </c>
      <c r="W915" s="2" t="s">
        <v>487</v>
      </c>
      <c r="X915" s="2" t="s">
        <v>231</v>
      </c>
      <c r="Y915" s="2" t="s">
        <v>5376</v>
      </c>
      <c r="Z915" s="4">
        <v>41</v>
      </c>
      <c r="AA915" s="4">
        <f>=ROUNDDOWN(2.92857142857143,0)</f>
      </c>
      <c r="AB915" s="5">
        <v>14</v>
      </c>
      <c r="AC915" s="2" t="s">
        <v>156</v>
      </c>
      <c r="AD915" s="4">
        <v>20</v>
      </c>
      <c r="AE915" s="4">
        <v>620</v>
      </c>
      <c r="AF915" s="6">
        <v>65</v>
      </c>
      <c r="AG915" s="6"/>
      <c r="AH915" s="7">
        <v>1</v>
      </c>
      <c r="AI915" s="4"/>
      <c r="AJ915" s="4">
        <f>=ROUNDDOWN({0},0)</f>
      </c>
      <c r="AK915" s="5"/>
      <c r="AL915" s="2" t="s">
        <v>227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227</v>
      </c>
      <c r="AW915" s="8" t="s">
        <v>227</v>
      </c>
      <c r="AX915" s="4" t="s">
        <v>227</v>
      </c>
      <c r="AY915" s="8" t="s">
        <v>227</v>
      </c>
      <c r="AZ915" s="7" t="s">
        <v>227</v>
      </c>
      <c r="BA915" s="7" t="s">
        <v>227</v>
      </c>
      <c r="BB915" s="7"/>
      <c r="BC915" s="4" t="s">
        <v>227</v>
      </c>
      <c r="BD915" s="8" t="s">
        <v>227</v>
      </c>
      <c r="BE915" s="4" t="s">
        <v>227</v>
      </c>
      <c r="BF915" s="8" t="s">
        <v>227</v>
      </c>
      <c r="BG915" s="7" t="s">
        <v>227</v>
      </c>
      <c r="BH915" s="7" t="s">
        <v>227</v>
      </c>
      <c r="BI915" s="7"/>
      <c r="BJ915" s="4">
        <v>90</v>
      </c>
      <c r="BK915" s="8">
        <v>1704.32</v>
      </c>
      <c r="BL915" s="2" t="s">
        <v>5348</v>
      </c>
      <c r="BM915" s="7"/>
      <c r="BN915" s="7"/>
      <c r="BO915" s="4"/>
      <c r="BP915" s="8"/>
      <c r="BQ915" s="4"/>
      <c r="BR915" s="8"/>
      <c r="BS915" s="7"/>
      <c r="BT915" s="7"/>
      <c r="BU915" s="2" t="s">
        <v>5390</v>
      </c>
      <c r="BV915" s="2" t="s">
        <v>227</v>
      </c>
      <c r="BW915" s="2" t="s">
        <v>227</v>
      </c>
      <c r="BX915" s="2" t="s">
        <v>235</v>
      </c>
      <c r="BY915" s="2" t="s">
        <v>236</v>
      </c>
      <c r="BZ915" s="2" t="s">
        <v>224</v>
      </c>
      <c r="CA915" s="2" t="s">
        <v>5378</v>
      </c>
      <c r="CB915" s="2" t="s">
        <v>2334</v>
      </c>
      <c r="CC915" s="2" t="s">
        <v>239</v>
      </c>
      <c r="CD915" s="2" t="s">
        <v>227</v>
      </c>
      <c r="CE915" s="4">
        <v>41</v>
      </c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>
        <v>20</v>
      </c>
      <c r="ES915" s="4"/>
      <c r="ET915" s="4"/>
      <c r="EU915" s="4"/>
      <c r="EV915" s="4"/>
      <c r="EW915" s="4"/>
      <c r="EX915" s="4"/>
      <c r="EY915" s="4"/>
      <c r="EZ915" s="4"/>
      <c r="FA915" s="4"/>
      <c r="FB915" s="4"/>
      <c r="FC915" s="4"/>
      <c r="FD915" s="4"/>
      <c r="FE915" s="4"/>
      <c r="FF915" s="4"/>
      <c r="FG915" s="4"/>
      <c r="FH915" s="4"/>
      <c r="FI915" s="4"/>
      <c r="FJ915" s="4"/>
      <c r="FK915" s="4"/>
      <c r="FL915" s="4"/>
      <c r="FM915" s="4"/>
      <c r="FN915" s="4"/>
      <c r="FO915" s="4"/>
      <c r="FP915" s="4">
        <v>170</v>
      </c>
      <c r="FQ915" s="4"/>
      <c r="FR915" s="4">
        <v>160</v>
      </c>
      <c r="FS915" s="4"/>
      <c r="FT915" s="4"/>
      <c r="FU915" s="4"/>
      <c r="FV915" s="4"/>
      <c r="FW915" s="4"/>
      <c r="FX915" s="4"/>
      <c r="FY915" s="4"/>
      <c r="FZ915" s="4"/>
      <c r="GA915" s="4"/>
      <c r="GB915" s="4"/>
      <c r="GC915" s="4"/>
      <c r="GD915" s="4"/>
      <c r="GE915" s="4"/>
      <c r="GF915" s="4"/>
      <c r="GG915" s="4"/>
      <c r="GH915" s="4"/>
      <c r="GI915" s="4"/>
      <c r="GJ915" s="4"/>
      <c r="GK915" s="4"/>
      <c r="GL915" s="4"/>
      <c r="GM915" s="4"/>
      <c r="GN915" s="4"/>
      <c r="GO915" s="4"/>
      <c r="GP915" s="4"/>
      <c r="GQ915" s="4"/>
      <c r="GR915" s="4"/>
      <c r="GS915" s="4">
        <v>220</v>
      </c>
      <c r="GT915" s="4"/>
      <c r="GU915" s="4"/>
      <c r="GV915" s="4"/>
      <c r="GW915" s="4"/>
      <c r="GX915" s="4">
        <v>50</v>
      </c>
    </row>
    <row r="916">
      <c r="A916" s="2" t="s">
        <v>5391</v>
      </c>
      <c r="B916" s="2" t="s">
        <v>278</v>
      </c>
      <c r="C916" s="2" t="s">
        <v>279</v>
      </c>
      <c r="D916" s="2" t="s">
        <v>280</v>
      </c>
      <c r="E916" s="2" t="s">
        <v>281</v>
      </c>
      <c r="F916" s="2" t="s">
        <v>5363</v>
      </c>
      <c r="G916" s="2" t="s">
        <v>5363</v>
      </c>
      <c r="H916" s="2" t="s">
        <v>5363</v>
      </c>
      <c r="I916" s="2" t="s">
        <v>283</v>
      </c>
      <c r="J916" s="2" t="s">
        <v>252</v>
      </c>
      <c r="K916" s="2" t="s">
        <v>5386</v>
      </c>
      <c r="L916" s="3">
        <v>19</v>
      </c>
      <c r="M916" s="3">
        <v>19.95</v>
      </c>
      <c r="N916" s="3">
        <v>37.99</v>
      </c>
      <c r="O916" s="2" t="s">
        <v>224</v>
      </c>
      <c r="P916" s="2" t="s">
        <v>225</v>
      </c>
      <c r="Q916" s="2" t="s">
        <v>226</v>
      </c>
      <c r="R916" s="2" t="s">
        <v>227</v>
      </c>
      <c r="S916" s="2" t="s">
        <v>5387</v>
      </c>
      <c r="T916" s="2" t="s">
        <v>5366</v>
      </c>
      <c r="U916" s="2" t="s">
        <v>287</v>
      </c>
      <c r="V916" s="2" t="s">
        <v>1153</v>
      </c>
      <c r="W916" s="2" t="s">
        <v>487</v>
      </c>
      <c r="X916" s="2" t="s">
        <v>231</v>
      </c>
      <c r="Y916" s="2" t="s">
        <v>5376</v>
      </c>
      <c r="Z916" s="4">
        <v>177</v>
      </c>
      <c r="AA916" s="4">
        <f>=ROUNDDOWN(7.97297297297297,0)</f>
      </c>
      <c r="AB916" s="5">
        <v>22.2</v>
      </c>
      <c r="AC916" s="2" t="s">
        <v>156</v>
      </c>
      <c r="AD916" s="4">
        <v>200</v>
      </c>
      <c r="AE916" s="4">
        <v>860</v>
      </c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227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227</v>
      </c>
      <c r="AW916" s="8" t="s">
        <v>227</v>
      </c>
      <c r="AX916" s="4" t="s">
        <v>227</v>
      </c>
      <c r="AY916" s="8" t="s">
        <v>227</v>
      </c>
      <c r="AZ916" s="7" t="s">
        <v>227</v>
      </c>
      <c r="BA916" s="7" t="s">
        <v>227</v>
      </c>
      <c r="BB916" s="7"/>
      <c r="BC916" s="4" t="s">
        <v>227</v>
      </c>
      <c r="BD916" s="8" t="s">
        <v>227</v>
      </c>
      <c r="BE916" s="4" t="s">
        <v>227</v>
      </c>
      <c r="BF916" s="8" t="s">
        <v>227</v>
      </c>
      <c r="BG916" s="7" t="s">
        <v>227</v>
      </c>
      <c r="BH916" s="7" t="s">
        <v>227</v>
      </c>
      <c r="BI916" s="7"/>
      <c r="BJ916" s="4">
        <v>97</v>
      </c>
      <c r="BK916" s="8">
        <v>2106.09</v>
      </c>
      <c r="BL916" s="2" t="s">
        <v>5383</v>
      </c>
      <c r="BM916" s="7"/>
      <c r="BN916" s="7"/>
      <c r="BO916" s="4"/>
      <c r="BP916" s="8"/>
      <c r="BQ916" s="4"/>
      <c r="BR916" s="8"/>
      <c r="BS916" s="7"/>
      <c r="BT916" s="7"/>
      <c r="BU916" s="2" t="s">
        <v>5392</v>
      </c>
      <c r="BV916" s="2" t="s">
        <v>227</v>
      </c>
      <c r="BW916" s="2" t="s">
        <v>227</v>
      </c>
      <c r="BX916" s="2" t="s">
        <v>235</v>
      </c>
      <c r="BY916" s="2" t="s">
        <v>236</v>
      </c>
      <c r="BZ916" s="2" t="s">
        <v>224</v>
      </c>
      <c r="CA916" s="2" t="s">
        <v>5378</v>
      </c>
      <c r="CB916" s="2" t="s">
        <v>1293</v>
      </c>
      <c r="CC916" s="2" t="s">
        <v>239</v>
      </c>
      <c r="CD916" s="2" t="s">
        <v>227</v>
      </c>
      <c r="CE916" s="4">
        <v>177</v>
      </c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>
        <v>200</v>
      </c>
      <c r="ES916" s="4"/>
      <c r="ET916" s="4"/>
      <c r="EU916" s="4"/>
      <c r="EV916" s="4"/>
      <c r="EW916" s="4"/>
      <c r="EX916" s="4"/>
      <c r="EY916" s="4"/>
      <c r="EZ916" s="4"/>
      <c r="FA916" s="4"/>
      <c r="FB916" s="4"/>
      <c r="FC916" s="4"/>
      <c r="FD916" s="4"/>
      <c r="FE916" s="4"/>
      <c r="FF916" s="4"/>
      <c r="FG916" s="4"/>
      <c r="FH916" s="4"/>
      <c r="FI916" s="4"/>
      <c r="FJ916" s="4"/>
      <c r="FK916" s="4"/>
      <c r="FL916" s="4"/>
      <c r="FM916" s="4"/>
      <c r="FN916" s="4"/>
      <c r="FO916" s="4"/>
      <c r="FP916" s="4">
        <v>60</v>
      </c>
      <c r="FQ916" s="4"/>
      <c r="FR916" s="4">
        <v>230</v>
      </c>
      <c r="FS916" s="4"/>
      <c r="FT916" s="4"/>
      <c r="FU916" s="4"/>
      <c r="FV916" s="4"/>
      <c r="FW916" s="4"/>
      <c r="FX916" s="4"/>
      <c r="FY916" s="4"/>
      <c r="FZ916" s="4"/>
      <c r="GA916" s="4"/>
      <c r="GB916" s="4"/>
      <c r="GC916" s="4"/>
      <c r="GD916" s="4"/>
      <c r="GE916" s="4"/>
      <c r="GF916" s="4"/>
      <c r="GG916" s="4"/>
      <c r="GH916" s="4"/>
      <c r="GI916" s="4"/>
      <c r="GJ916" s="4"/>
      <c r="GK916" s="4"/>
      <c r="GL916" s="4"/>
      <c r="GM916" s="4"/>
      <c r="GN916" s="4"/>
      <c r="GO916" s="4"/>
      <c r="GP916" s="4"/>
      <c r="GQ916" s="4"/>
      <c r="GR916" s="4"/>
      <c r="GS916" s="4">
        <v>260</v>
      </c>
      <c r="GT916" s="4"/>
      <c r="GU916" s="4"/>
      <c r="GV916" s="4"/>
      <c r="GW916" s="4"/>
      <c r="GX916" s="4">
        <v>110</v>
      </c>
    </row>
    <row r="917">
      <c r="A917" s="2" t="s">
        <v>5393</v>
      </c>
      <c r="B917" s="2" t="s">
        <v>667</v>
      </c>
      <c r="C917" s="2" t="s">
        <v>360</v>
      </c>
      <c r="D917" s="2" t="s">
        <v>1652</v>
      </c>
      <c r="E917" s="2" t="s">
        <v>3952</v>
      </c>
      <c r="F917" s="2" t="s">
        <v>5394</v>
      </c>
      <c r="G917" s="2" t="s">
        <v>5395</v>
      </c>
      <c r="H917" s="2" t="s">
        <v>5396</v>
      </c>
      <c r="I917" s="2" t="s">
        <v>5397</v>
      </c>
      <c r="J917" s="2" t="s">
        <v>682</v>
      </c>
      <c r="K917" s="2" t="s">
        <v>223</v>
      </c>
      <c r="L917" s="3">
        <v>39.69</v>
      </c>
      <c r="M917" s="3">
        <v>41.67</v>
      </c>
      <c r="N917" s="3">
        <v>79.99</v>
      </c>
      <c r="O917" s="2" t="s">
        <v>224</v>
      </c>
      <c r="P917" s="2" t="s">
        <v>550</v>
      </c>
      <c r="Q917" s="2" t="s">
        <v>226</v>
      </c>
      <c r="R917" s="2" t="s">
        <v>227</v>
      </c>
      <c r="S917" s="2" t="s">
        <v>5398</v>
      </c>
      <c r="T917" s="2" t="s">
        <v>227</v>
      </c>
      <c r="U917" s="2" t="s">
        <v>674</v>
      </c>
      <c r="V917" s="2" t="s">
        <v>230</v>
      </c>
      <c r="W917" s="2" t="s">
        <v>581</v>
      </c>
      <c r="X917" s="2" t="s">
        <v>231</v>
      </c>
      <c r="Y917" s="2" t="s">
        <v>232</v>
      </c>
      <c r="Z917" s="4">
        <v>316</v>
      </c>
      <c r="AA917" s="4">
        <f>=ROUNDDOWN(8.77777777777778,0)</f>
      </c>
      <c r="AB917" s="5">
        <v>36</v>
      </c>
      <c r="AC917" s="2" t="s">
        <v>583</v>
      </c>
      <c r="AD917" s="4">
        <v>190</v>
      </c>
      <c r="AE917" s="4">
        <v>960</v>
      </c>
      <c r="AF917" s="6">
        <v>65</v>
      </c>
      <c r="AG917" s="6">
        <v>48</v>
      </c>
      <c r="AH917" s="7">
        <v>1</v>
      </c>
      <c r="AI917" s="4"/>
      <c r="AJ917" s="4">
        <f>=ROUNDDOWN({0},0)</f>
      </c>
      <c r="AK917" s="5"/>
      <c r="AL917" s="2" t="s">
        <v>227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/>
      <c r="AW917" s="8"/>
      <c r="AX917" s="4"/>
      <c r="AY917" s="8"/>
      <c r="AZ917" s="7"/>
      <c r="BA917" s="7"/>
      <c r="BB917" s="7"/>
      <c r="BC917" s="4" t="s">
        <v>227</v>
      </c>
      <c r="BD917" s="8" t="s">
        <v>227</v>
      </c>
      <c r="BE917" s="4" t="s">
        <v>227</v>
      </c>
      <c r="BF917" s="8" t="s">
        <v>227</v>
      </c>
      <c r="BG917" s="7" t="s">
        <v>227</v>
      </c>
      <c r="BH917" s="7" t="s">
        <v>227</v>
      </c>
      <c r="BI917" s="7"/>
      <c r="BJ917" s="4">
        <v>96</v>
      </c>
      <c r="BK917" s="8">
        <v>4177.64</v>
      </c>
      <c r="BL917" s="2" t="s">
        <v>5399</v>
      </c>
      <c r="BM917" s="7"/>
      <c r="BN917" s="7"/>
      <c r="BO917" s="4"/>
      <c r="BP917" s="8"/>
      <c r="BQ917" s="4"/>
      <c r="BR917" s="8"/>
      <c r="BS917" s="7"/>
      <c r="BT917" s="7"/>
      <c r="BU917" s="2" t="s">
        <v>5400</v>
      </c>
      <c r="BV917" s="2" t="s">
        <v>227</v>
      </c>
      <c r="BW917" s="2" t="s">
        <v>227</v>
      </c>
      <c r="BX917" s="2" t="s">
        <v>235</v>
      </c>
      <c r="BY917" s="2" t="s">
        <v>236</v>
      </c>
      <c r="BZ917" s="2" t="s">
        <v>224</v>
      </c>
      <c r="CA917" s="2" t="s">
        <v>237</v>
      </c>
      <c r="CB917" s="2" t="s">
        <v>981</v>
      </c>
      <c r="CC917" s="2" t="s">
        <v>239</v>
      </c>
      <c r="CD917" s="2" t="s">
        <v>227</v>
      </c>
      <c r="CE917" s="4">
        <v>257</v>
      </c>
      <c r="CF917" s="4"/>
      <c r="CG917" s="4"/>
      <c r="CH917" s="4">
        <v>59</v>
      </c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>
        <v>190</v>
      </c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>
        <v>70</v>
      </c>
      <c r="EM917" s="4"/>
      <c r="EN917" s="4">
        <v>350</v>
      </c>
      <c r="EO917" s="4"/>
      <c r="EP917" s="4"/>
      <c r="EQ917" s="4"/>
      <c r="ER917" s="4"/>
      <c r="ES917" s="4">
        <v>20</v>
      </c>
      <c r="ET917" s="4"/>
      <c r="EU917" s="4"/>
      <c r="EV917" s="4"/>
      <c r="EW917" s="4"/>
      <c r="EX917" s="4"/>
      <c r="EY917" s="4"/>
      <c r="EZ917" s="4"/>
      <c r="FA917" s="4"/>
      <c r="FB917" s="4"/>
      <c r="FC917" s="4"/>
      <c r="FD917" s="4"/>
      <c r="FE917" s="4">
        <v>120</v>
      </c>
      <c r="FF917" s="4"/>
      <c r="FG917" s="4"/>
      <c r="FH917" s="4"/>
      <c r="FI917" s="4"/>
      <c r="FJ917" s="4"/>
      <c r="FK917" s="4"/>
      <c r="FL917" s="4"/>
      <c r="FM917" s="4"/>
      <c r="FN917" s="4"/>
      <c r="FO917" s="4"/>
      <c r="FP917" s="4"/>
      <c r="FQ917" s="4"/>
      <c r="FR917" s="4">
        <v>140</v>
      </c>
      <c r="FS917" s="4"/>
      <c r="FT917" s="4"/>
      <c r="FU917" s="4"/>
      <c r="FV917" s="4"/>
      <c r="FW917" s="4"/>
      <c r="FX917" s="4">
        <v>70</v>
      </c>
      <c r="FY917" s="4"/>
      <c r="FZ917" s="4"/>
      <c r="GA917" s="4"/>
      <c r="GB917" s="4"/>
      <c r="GC917" s="4"/>
      <c r="GD917" s="4"/>
      <c r="GE917" s="4"/>
      <c r="GF917" s="4"/>
      <c r="GG917" s="4"/>
      <c r="GH917" s="4"/>
      <c r="GI917" s="4"/>
      <c r="GJ917" s="4"/>
      <c r="GK917" s="4"/>
      <c r="GL917" s="4"/>
      <c r="GM917" s="4"/>
      <c r="GN917" s="4"/>
      <c r="GO917" s="4"/>
      <c r="GP917" s="4"/>
      <c r="GQ917" s="4"/>
      <c r="GR917" s="4"/>
      <c r="GS917" s="4"/>
      <c r="GT917" s="4"/>
      <c r="GU917" s="4"/>
      <c r="GV917" s="4"/>
      <c r="GW917" s="4"/>
      <c r="GX917" s="4"/>
    </row>
    <row r="918">
      <c r="A918" s="2" t="s">
        <v>5401</v>
      </c>
      <c r="B918" s="2" t="s">
        <v>667</v>
      </c>
      <c r="C918" s="2" t="s">
        <v>360</v>
      </c>
      <c r="D918" s="2" t="s">
        <v>1652</v>
      </c>
      <c r="E918" s="2" t="s">
        <v>3952</v>
      </c>
      <c r="F918" s="2" t="s">
        <v>5394</v>
      </c>
      <c r="G918" s="2" t="s">
        <v>5395</v>
      </c>
      <c r="H918" s="2" t="s">
        <v>5396</v>
      </c>
      <c r="I918" s="2" t="s">
        <v>5397</v>
      </c>
      <c r="J918" s="2" t="s">
        <v>1304</v>
      </c>
      <c r="K918" s="2" t="s">
        <v>657</v>
      </c>
      <c r="L918" s="3">
        <v>26.9</v>
      </c>
      <c r="M918" s="3">
        <v>28.24</v>
      </c>
      <c r="N918" s="3">
        <v>54.99</v>
      </c>
      <c r="O918" s="2" t="s">
        <v>224</v>
      </c>
      <c r="P918" s="2" t="s">
        <v>550</v>
      </c>
      <c r="Q918" s="2" t="s">
        <v>226</v>
      </c>
      <c r="R918" s="2" t="s">
        <v>227</v>
      </c>
      <c r="S918" s="2" t="s">
        <v>5402</v>
      </c>
      <c r="T918" s="2" t="s">
        <v>227</v>
      </c>
      <c r="U918" s="2" t="s">
        <v>1044</v>
      </c>
      <c r="V918" s="2" t="s">
        <v>230</v>
      </c>
      <c r="W918" s="2" t="s">
        <v>581</v>
      </c>
      <c r="X918" s="2" t="s">
        <v>231</v>
      </c>
      <c r="Y918" s="2" t="s">
        <v>5403</v>
      </c>
      <c r="Z918" s="4">
        <v>192</v>
      </c>
      <c r="AA918" s="4">
        <f>=ROUNDDOWN(11.2941176470588,0)</f>
      </c>
      <c r="AB918" s="5">
        <v>17</v>
      </c>
      <c r="AC918" s="2" t="s">
        <v>150</v>
      </c>
      <c r="AD918" s="4">
        <v>50</v>
      </c>
      <c r="AE918" s="4">
        <v>400</v>
      </c>
      <c r="AF918" s="6">
        <v>65</v>
      </c>
      <c r="AG918" s="6">
        <v>48</v>
      </c>
      <c r="AH918" s="7">
        <v>1</v>
      </c>
      <c r="AI918" s="4"/>
      <c r="AJ918" s="4">
        <f>=ROUNDDOWN({0},0)</f>
      </c>
      <c r="AK918" s="5"/>
      <c r="AL918" s="2" t="s">
        <v>227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/>
      <c r="AW918" s="8"/>
      <c r="AX918" s="4"/>
      <c r="AY918" s="8"/>
      <c r="AZ918" s="7"/>
      <c r="BA918" s="7"/>
      <c r="BB918" s="7"/>
      <c r="BC918" s="4" t="s">
        <v>227</v>
      </c>
      <c r="BD918" s="8" t="s">
        <v>227</v>
      </c>
      <c r="BE918" s="4" t="s">
        <v>227</v>
      </c>
      <c r="BF918" s="8" t="s">
        <v>227</v>
      </c>
      <c r="BG918" s="7" t="s">
        <v>227</v>
      </c>
      <c r="BH918" s="7" t="s">
        <v>227</v>
      </c>
      <c r="BI918" s="7"/>
      <c r="BJ918" s="4">
        <v>49</v>
      </c>
      <c r="BK918" s="8">
        <v>1483.13</v>
      </c>
      <c r="BL918" s="2" t="s">
        <v>5404</v>
      </c>
      <c r="BM918" s="7"/>
      <c r="BN918" s="7"/>
      <c r="BO918" s="4"/>
      <c r="BP918" s="8"/>
      <c r="BQ918" s="4"/>
      <c r="BR918" s="8"/>
      <c r="BS918" s="7"/>
      <c r="BT918" s="7"/>
      <c r="BU918" s="2" t="s">
        <v>5405</v>
      </c>
      <c r="BV918" s="2" t="s">
        <v>227</v>
      </c>
      <c r="BW918" s="2" t="s">
        <v>227</v>
      </c>
      <c r="BX918" s="2" t="s">
        <v>235</v>
      </c>
      <c r="BY918" s="2" t="s">
        <v>236</v>
      </c>
      <c r="BZ918" s="2" t="s">
        <v>224</v>
      </c>
      <c r="CA918" s="2" t="s">
        <v>5403</v>
      </c>
      <c r="CB918" s="2" t="s">
        <v>2291</v>
      </c>
      <c r="CC918" s="2" t="s">
        <v>239</v>
      </c>
      <c r="CD918" s="2" t="s">
        <v>227</v>
      </c>
      <c r="CE918" s="4">
        <v>179</v>
      </c>
      <c r="CF918" s="4"/>
      <c r="CG918" s="4"/>
      <c r="CH918" s="4">
        <v>13</v>
      </c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>
        <v>50</v>
      </c>
      <c r="EM918" s="4"/>
      <c r="EN918" s="4"/>
      <c r="EO918" s="4"/>
      <c r="EP918" s="4"/>
      <c r="EQ918" s="4"/>
      <c r="ER918" s="4"/>
      <c r="ES918" s="4"/>
      <c r="ET918" s="4">
        <v>20</v>
      </c>
      <c r="EU918" s="4"/>
      <c r="EV918" s="4"/>
      <c r="EW918" s="4"/>
      <c r="EX918" s="4"/>
      <c r="EY918" s="4"/>
      <c r="EZ918" s="4"/>
      <c r="FA918" s="4"/>
      <c r="FB918" s="4"/>
      <c r="FC918" s="4"/>
      <c r="FD918" s="4"/>
      <c r="FE918" s="4"/>
      <c r="FF918" s="4"/>
      <c r="FG918" s="4"/>
      <c r="FH918" s="4"/>
      <c r="FI918" s="4"/>
      <c r="FJ918" s="4"/>
      <c r="FK918" s="4"/>
      <c r="FL918" s="4"/>
      <c r="FM918" s="4"/>
      <c r="FN918" s="4"/>
      <c r="FO918" s="4"/>
      <c r="FP918" s="4"/>
      <c r="FQ918" s="4"/>
      <c r="FR918" s="4">
        <v>200</v>
      </c>
      <c r="FS918" s="4"/>
      <c r="FT918" s="4"/>
      <c r="FU918" s="4"/>
      <c r="FV918" s="4"/>
      <c r="FW918" s="4"/>
      <c r="FX918" s="4">
        <v>130</v>
      </c>
      <c r="FY918" s="4"/>
      <c r="FZ918" s="4"/>
      <c r="GA918" s="4"/>
      <c r="GB918" s="4"/>
      <c r="GC918" s="4"/>
      <c r="GD918" s="4"/>
      <c r="GE918" s="4"/>
      <c r="GF918" s="4"/>
      <c r="GG918" s="4"/>
      <c r="GH918" s="4"/>
      <c r="GI918" s="4"/>
      <c r="GJ918" s="4"/>
      <c r="GK918" s="4"/>
      <c r="GL918" s="4"/>
      <c r="GM918" s="4"/>
      <c r="GN918" s="4"/>
      <c r="GO918" s="4"/>
      <c r="GP918" s="4"/>
      <c r="GQ918" s="4"/>
      <c r="GR918" s="4"/>
      <c r="GS918" s="4"/>
      <c r="GT918" s="4"/>
      <c r="GU918" s="4"/>
      <c r="GV918" s="4"/>
      <c r="GW918" s="4"/>
      <c r="GX918" s="4"/>
    </row>
    <row r="919">
      <c r="A919" s="2" t="s">
        <v>5406</v>
      </c>
      <c r="B919" s="2" t="s">
        <v>573</v>
      </c>
      <c r="C919" s="2" t="s">
        <v>360</v>
      </c>
      <c r="D919" s="2" t="s">
        <v>832</v>
      </c>
      <c r="E919" s="2" t="s">
        <v>833</v>
      </c>
      <c r="F919" s="2" t="s">
        <v>5407</v>
      </c>
      <c r="G919" s="2" t="s">
        <v>5408</v>
      </c>
      <c r="H919" s="2" t="s">
        <v>5409</v>
      </c>
      <c r="I919" s="2" t="s">
        <v>5410</v>
      </c>
      <c r="J919" s="2" t="s">
        <v>548</v>
      </c>
      <c r="K919" s="2" t="s">
        <v>5411</v>
      </c>
      <c r="L919" s="3">
        <v>171</v>
      </c>
      <c r="M919" s="3">
        <v>179.55</v>
      </c>
      <c r="N919" s="3">
        <v>369</v>
      </c>
      <c r="O919" s="2" t="s">
        <v>224</v>
      </c>
      <c r="P919" s="2" t="s">
        <v>580</v>
      </c>
      <c r="Q919" s="2" t="s">
        <v>226</v>
      </c>
      <c r="R919" s="2" t="s">
        <v>227</v>
      </c>
      <c r="S919" s="2" t="s">
        <v>227</v>
      </c>
      <c r="T919" s="2" t="s">
        <v>227</v>
      </c>
      <c r="U919" s="2" t="s">
        <v>552</v>
      </c>
      <c r="V919" s="2" t="s">
        <v>230</v>
      </c>
      <c r="W919" s="2" t="s">
        <v>581</v>
      </c>
      <c r="X919" s="2" t="s">
        <v>487</v>
      </c>
      <c r="Y919" s="2" t="s">
        <v>5412</v>
      </c>
      <c r="Z919" s="4">
        <v>236</v>
      </c>
      <c r="AA919" s="4">
        <f>=ROUNDDOWN(94.4,0)</f>
      </c>
      <c r="AB919" s="5">
        <v>2.5</v>
      </c>
      <c r="AC919" s="2" t="s">
        <v>227</v>
      </c>
      <c r="AD919" s="4"/>
      <c r="AE919" s="4"/>
      <c r="AF919" s="6">
        <v>74</v>
      </c>
      <c r="AG919" s="6"/>
      <c r="AH919" s="7">
        <v>1</v>
      </c>
      <c r="AI919" s="4"/>
      <c r="AJ919" s="4">
        <f>=ROUNDDOWN({0},0)</f>
      </c>
      <c r="AK919" s="5"/>
      <c r="AL919" s="2" t="s">
        <v>227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/>
      <c r="AW919" s="8"/>
      <c r="AX919" s="4"/>
      <c r="AY919" s="8"/>
      <c r="AZ919" s="7"/>
      <c r="BA919" s="7"/>
      <c r="BB919" s="7"/>
      <c r="BC919" s="4"/>
      <c r="BD919" s="8"/>
      <c r="BE919" s="4"/>
      <c r="BF919" s="8"/>
      <c r="BG919" s="7"/>
      <c r="BH919" s="7"/>
      <c r="BI919" s="7"/>
      <c r="BJ919" s="4">
        <v>10</v>
      </c>
      <c r="BK919" s="8">
        <v>1679.06</v>
      </c>
      <c r="BL919" s="2" t="s">
        <v>5413</v>
      </c>
      <c r="BM919" s="7"/>
      <c r="BN919" s="7"/>
      <c r="BO919" s="4"/>
      <c r="BP919" s="8"/>
      <c r="BQ919" s="4"/>
      <c r="BR919" s="8"/>
      <c r="BS919" s="7"/>
      <c r="BT919" s="7"/>
      <c r="BU919" s="2" t="s">
        <v>5414</v>
      </c>
      <c r="BV919" s="2" t="s">
        <v>227</v>
      </c>
      <c r="BW919" s="2" t="s">
        <v>227</v>
      </c>
      <c r="BX919" s="2" t="s">
        <v>235</v>
      </c>
      <c r="BY919" s="2" t="s">
        <v>236</v>
      </c>
      <c r="BZ919" s="2" t="s">
        <v>224</v>
      </c>
      <c r="CA919" s="2" t="s">
        <v>5412</v>
      </c>
      <c r="CB919" s="2" t="s">
        <v>5415</v>
      </c>
      <c r="CC919" s="2" t="s">
        <v>239</v>
      </c>
      <c r="CD919" s="2" t="s">
        <v>227</v>
      </c>
      <c r="CE919" s="4"/>
      <c r="CF919" s="4">
        <v>236</v>
      </c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/>
      <c r="FA919" s="4"/>
      <c r="FB919" s="4"/>
      <c r="FC919" s="4"/>
      <c r="FD919" s="4"/>
      <c r="FE919" s="4"/>
      <c r="FF919" s="4"/>
      <c r="FG919" s="4"/>
      <c r="FH919" s="4"/>
      <c r="FI919" s="4"/>
      <c r="FJ919" s="4"/>
      <c r="FK919" s="4"/>
      <c r="FL919" s="4"/>
      <c r="FM919" s="4"/>
      <c r="FN919" s="4"/>
      <c r="FO919" s="4"/>
      <c r="FP919" s="4"/>
      <c r="FQ919" s="4"/>
      <c r="FR919" s="4"/>
      <c r="FS919" s="4"/>
      <c r="FT919" s="4"/>
      <c r="FU919" s="4"/>
      <c r="FV919" s="4"/>
      <c r="FW919" s="4"/>
      <c r="FX919" s="4"/>
      <c r="FY919" s="4"/>
      <c r="FZ919" s="4"/>
      <c r="GA919" s="4"/>
      <c r="GB919" s="4"/>
      <c r="GC919" s="4"/>
      <c r="GD919" s="4"/>
      <c r="GE919" s="4"/>
      <c r="GF919" s="4"/>
      <c r="GG919" s="4"/>
      <c r="GH919" s="4"/>
      <c r="GI919" s="4"/>
      <c r="GJ919" s="4"/>
      <c r="GK919" s="4"/>
      <c r="GL919" s="4"/>
      <c r="GM919" s="4"/>
      <c r="GN919" s="4"/>
      <c r="GO919" s="4"/>
      <c r="GP919" s="4"/>
      <c r="GQ919" s="4"/>
      <c r="GR919" s="4"/>
      <c r="GS919" s="4"/>
      <c r="GT919" s="4"/>
      <c r="GU919" s="4"/>
      <c r="GV919" s="4"/>
      <c r="GW919" s="4"/>
      <c r="GX919" s="4"/>
    </row>
    <row r="920">
      <c r="A920" s="2" t="s">
        <v>5416</v>
      </c>
      <c r="B920" s="2" t="s">
        <v>744</v>
      </c>
      <c r="C920" s="2" t="s">
        <v>1299</v>
      </c>
      <c r="D920" s="2" t="s">
        <v>768</v>
      </c>
      <c r="E920" s="2" t="s">
        <v>769</v>
      </c>
      <c r="F920" s="2" t="s">
        <v>5417</v>
      </c>
      <c r="G920" s="2" t="s">
        <v>4319</v>
      </c>
      <c r="H920" s="2" t="s">
        <v>5418</v>
      </c>
      <c r="I920" s="2" t="s">
        <v>5419</v>
      </c>
      <c r="J920" s="2" t="s">
        <v>771</v>
      </c>
      <c r="K920" s="2" t="s">
        <v>5420</v>
      </c>
      <c r="L920" s="3">
        <v>13.2</v>
      </c>
      <c r="M920" s="3">
        <v>13.86</v>
      </c>
      <c r="N920" s="3">
        <v>29.99</v>
      </c>
      <c r="O920" s="2" t="s">
        <v>224</v>
      </c>
      <c r="P920" s="2" t="s">
        <v>225</v>
      </c>
      <c r="Q920" s="2" t="s">
        <v>226</v>
      </c>
      <c r="R920" s="2" t="s">
        <v>227</v>
      </c>
      <c r="S920" s="2" t="s">
        <v>5421</v>
      </c>
      <c r="T920" s="2" t="s">
        <v>227</v>
      </c>
      <c r="U920" s="2" t="s">
        <v>227</v>
      </c>
      <c r="V920" s="2" t="s">
        <v>877</v>
      </c>
      <c r="W920" s="2" t="s">
        <v>836</v>
      </c>
      <c r="X920" s="2" t="s">
        <v>227</v>
      </c>
      <c r="Y920" s="2" t="s">
        <v>5422</v>
      </c>
      <c r="Z920" s="4">
        <v>597</v>
      </c>
      <c r="AA920" s="4">
        <f>=ROUNDDOWN(20.5862068965517,0)</f>
      </c>
      <c r="AB920" s="5">
        <v>29</v>
      </c>
      <c r="AC920" s="2" t="s">
        <v>155</v>
      </c>
      <c r="AD920" s="4">
        <v>420</v>
      </c>
      <c r="AE920" s="4">
        <v>420</v>
      </c>
      <c r="AF920" s="6">
        <v>65</v>
      </c>
      <c r="AG920" s="6"/>
      <c r="AH920" s="7">
        <v>1</v>
      </c>
      <c r="AI920" s="4"/>
      <c r="AJ920" s="4">
        <f>=ROUNDDOWN({0},0)</f>
      </c>
      <c r="AK920" s="5"/>
      <c r="AL920" s="2" t="s">
        <v>227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/>
      <c r="AW920" s="8"/>
      <c r="AX920" s="4"/>
      <c r="AY920" s="8"/>
      <c r="AZ920" s="7"/>
      <c r="BA920" s="7"/>
      <c r="BB920" s="7"/>
      <c r="BC920" s="4" t="s">
        <v>227</v>
      </c>
      <c r="BD920" s="8" t="s">
        <v>227</v>
      </c>
      <c r="BE920" s="4" t="s">
        <v>227</v>
      </c>
      <c r="BF920" s="8" t="s">
        <v>227</v>
      </c>
      <c r="BG920" s="7" t="s">
        <v>227</v>
      </c>
      <c r="BH920" s="7" t="s">
        <v>227</v>
      </c>
      <c r="BI920" s="7"/>
      <c r="BJ920" s="4">
        <v>109</v>
      </c>
      <c r="BK920" s="8">
        <v>1563.56</v>
      </c>
      <c r="BL920" s="2" t="s">
        <v>5423</v>
      </c>
      <c r="BM920" s="7"/>
      <c r="BN920" s="7"/>
      <c r="BO920" s="4"/>
      <c r="BP920" s="8"/>
      <c r="BQ920" s="4"/>
      <c r="BR920" s="8"/>
      <c r="BS920" s="7"/>
      <c r="BT920" s="7"/>
      <c r="BU920" s="2" t="s">
        <v>5424</v>
      </c>
      <c r="BV920" s="2" t="s">
        <v>227</v>
      </c>
      <c r="BW920" s="2" t="s">
        <v>227</v>
      </c>
      <c r="BX920" s="2" t="s">
        <v>235</v>
      </c>
      <c r="BY920" s="2" t="s">
        <v>236</v>
      </c>
      <c r="BZ920" s="2" t="s">
        <v>224</v>
      </c>
      <c r="CA920" s="2" t="s">
        <v>5425</v>
      </c>
      <c r="CB920" s="2" t="s">
        <v>2619</v>
      </c>
      <c r="CC920" s="2" t="s">
        <v>239</v>
      </c>
      <c r="CD920" s="2" t="s">
        <v>227</v>
      </c>
      <c r="CE920" s="4">
        <v>597</v>
      </c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>
        <v>420</v>
      </c>
      <c r="ER920" s="4"/>
      <c r="ES920" s="4"/>
      <c r="ET920" s="4"/>
      <c r="EU920" s="4"/>
      <c r="EV920" s="4"/>
      <c r="EW920" s="4"/>
      <c r="EX920" s="4"/>
      <c r="EY920" s="4"/>
      <c r="EZ920" s="4"/>
      <c r="FA920" s="4"/>
      <c r="FB920" s="4"/>
      <c r="FC920" s="4"/>
      <c r="FD920" s="4"/>
      <c r="FE920" s="4"/>
      <c r="FF920" s="4"/>
      <c r="FG920" s="4"/>
      <c r="FH920" s="4"/>
      <c r="FI920" s="4"/>
      <c r="FJ920" s="4"/>
      <c r="FK920" s="4"/>
      <c r="FL920" s="4"/>
      <c r="FM920" s="4"/>
      <c r="FN920" s="4"/>
      <c r="FO920" s="4"/>
      <c r="FP920" s="4"/>
      <c r="FQ920" s="4"/>
      <c r="FR920" s="4"/>
      <c r="FS920" s="4"/>
      <c r="FT920" s="4"/>
      <c r="FU920" s="4"/>
      <c r="FV920" s="4"/>
      <c r="FW920" s="4"/>
      <c r="FX920" s="4"/>
      <c r="FY920" s="4"/>
      <c r="FZ920" s="4"/>
      <c r="GA920" s="4"/>
      <c r="GB920" s="4"/>
      <c r="GC920" s="4"/>
      <c r="GD920" s="4"/>
      <c r="GE920" s="4"/>
      <c r="GF920" s="4"/>
      <c r="GG920" s="4"/>
      <c r="GH920" s="4"/>
      <c r="GI920" s="4"/>
      <c r="GJ920" s="4"/>
      <c r="GK920" s="4"/>
      <c r="GL920" s="4"/>
      <c r="GM920" s="4"/>
      <c r="GN920" s="4"/>
      <c r="GO920" s="4"/>
      <c r="GP920" s="4"/>
      <c r="GQ920" s="4"/>
      <c r="GR920" s="4"/>
      <c r="GS920" s="4"/>
      <c r="GT920" s="4"/>
      <c r="GU920" s="4"/>
      <c r="GV920" s="4"/>
      <c r="GW920" s="4"/>
      <c r="GX920" s="4"/>
    </row>
    <row r="921">
      <c r="A921" s="2" t="s">
        <v>5426</v>
      </c>
      <c r="B921" s="2" t="s">
        <v>618</v>
      </c>
      <c r="C921" s="2" t="s">
        <v>1299</v>
      </c>
      <c r="D921" s="2" t="s">
        <v>620</v>
      </c>
      <c r="E921" s="2" t="s">
        <v>621</v>
      </c>
      <c r="F921" s="2" t="s">
        <v>5417</v>
      </c>
      <c r="G921" s="2" t="s">
        <v>4319</v>
      </c>
      <c r="H921" s="2" t="s">
        <v>5418</v>
      </c>
      <c r="I921" s="2" t="s">
        <v>5427</v>
      </c>
      <c r="J921" s="2" t="s">
        <v>1304</v>
      </c>
      <c r="K921" s="2" t="s">
        <v>4449</v>
      </c>
      <c r="L921" s="3">
        <v>26.1</v>
      </c>
      <c r="M921" s="3">
        <v>27.4</v>
      </c>
      <c r="N921" s="3">
        <v>57.99</v>
      </c>
      <c r="O921" s="2" t="s">
        <v>224</v>
      </c>
      <c r="P921" s="2" t="s">
        <v>225</v>
      </c>
      <c r="Q921" s="2" t="s">
        <v>226</v>
      </c>
      <c r="R921" s="2" t="s">
        <v>227</v>
      </c>
      <c r="S921" s="2" t="s">
        <v>5428</v>
      </c>
      <c r="T921" s="2" t="s">
        <v>375</v>
      </c>
      <c r="U921" s="2" t="s">
        <v>287</v>
      </c>
      <c r="V921" s="2" t="s">
        <v>877</v>
      </c>
      <c r="W921" s="2" t="s">
        <v>836</v>
      </c>
      <c r="X921" s="2" t="s">
        <v>487</v>
      </c>
      <c r="Y921" s="2" t="s">
        <v>1554</v>
      </c>
      <c r="Z921" s="4">
        <v>357</v>
      </c>
      <c r="AA921" s="4">
        <f>=ROUNDDOWN(71.4,0)</f>
      </c>
      <c r="AB921" s="5">
        <v>5</v>
      </c>
      <c r="AC921" s="2" t="s">
        <v>227</v>
      </c>
      <c r="AD921" s="4"/>
      <c r="AE921" s="4"/>
      <c r="AF921" s="6">
        <v>64</v>
      </c>
      <c r="AG921" s="6"/>
      <c r="AH921" s="7">
        <v>1</v>
      </c>
      <c r="AI921" s="4"/>
      <c r="AJ921" s="4">
        <f>=ROUNDDOWN({0},0)</f>
      </c>
      <c r="AK921" s="5"/>
      <c r="AL921" s="2" t="s">
        <v>227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/>
      <c r="AW921" s="8"/>
      <c r="AX921" s="4"/>
      <c r="AY921" s="8"/>
      <c r="AZ921" s="7"/>
      <c r="BA921" s="7"/>
      <c r="BB921" s="7"/>
      <c r="BC921" s="4" t="s">
        <v>227</v>
      </c>
      <c r="BD921" s="8" t="s">
        <v>227</v>
      </c>
      <c r="BE921" s="4" t="s">
        <v>227</v>
      </c>
      <c r="BF921" s="8" t="s">
        <v>227</v>
      </c>
      <c r="BG921" s="7" t="s">
        <v>227</v>
      </c>
      <c r="BH921" s="7" t="s">
        <v>227</v>
      </c>
      <c r="BI921" s="7"/>
      <c r="BJ921" s="4">
        <v>19</v>
      </c>
      <c r="BK921" s="8">
        <v>516.93</v>
      </c>
      <c r="BL921" s="2" t="s">
        <v>772</v>
      </c>
      <c r="BM921" s="7"/>
      <c r="BN921" s="7"/>
      <c r="BO921" s="4"/>
      <c r="BP921" s="8"/>
      <c r="BQ921" s="4"/>
      <c r="BR921" s="8"/>
      <c r="BS921" s="7"/>
      <c r="BT921" s="7"/>
      <c r="BU921" s="2" t="s">
        <v>5429</v>
      </c>
      <c r="BV921" s="2" t="s">
        <v>227</v>
      </c>
      <c r="BW921" s="2" t="s">
        <v>227</v>
      </c>
      <c r="BX921" s="2" t="s">
        <v>235</v>
      </c>
      <c r="BY921" s="2" t="s">
        <v>236</v>
      </c>
      <c r="BZ921" s="2" t="s">
        <v>224</v>
      </c>
      <c r="CA921" s="2" t="s">
        <v>5430</v>
      </c>
      <c r="CB921" s="2" t="s">
        <v>5431</v>
      </c>
      <c r="CC921" s="2" t="s">
        <v>239</v>
      </c>
      <c r="CD921" s="2" t="s">
        <v>227</v>
      </c>
      <c r="CE921" s="4">
        <v>357</v>
      </c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/>
      <c r="FA921" s="4"/>
      <c r="FB921" s="4"/>
      <c r="FC921" s="4"/>
      <c r="FD921" s="4"/>
      <c r="FE921" s="4"/>
      <c r="FF921" s="4"/>
      <c r="FG921" s="4"/>
      <c r="FH921" s="4"/>
      <c r="FI921" s="4"/>
      <c r="FJ921" s="4"/>
      <c r="FK921" s="4"/>
      <c r="FL921" s="4"/>
      <c r="FM921" s="4"/>
      <c r="FN921" s="4"/>
      <c r="FO921" s="4"/>
      <c r="FP921" s="4"/>
      <c r="FQ921" s="4"/>
      <c r="FR921" s="4"/>
      <c r="FS921" s="4"/>
      <c r="FT921" s="4"/>
      <c r="FU921" s="4"/>
      <c r="FV921" s="4"/>
      <c r="FW921" s="4"/>
      <c r="FX921" s="4"/>
      <c r="FY921" s="4"/>
      <c r="FZ921" s="4"/>
      <c r="GA921" s="4"/>
      <c r="GB921" s="4"/>
      <c r="GC921" s="4"/>
      <c r="GD921" s="4"/>
      <c r="GE921" s="4"/>
      <c r="GF921" s="4"/>
      <c r="GG921" s="4"/>
      <c r="GH921" s="4"/>
      <c r="GI921" s="4"/>
      <c r="GJ921" s="4"/>
      <c r="GK921" s="4"/>
      <c r="GL921" s="4"/>
      <c r="GM921" s="4"/>
      <c r="GN921" s="4"/>
      <c r="GO921" s="4"/>
      <c r="GP921" s="4"/>
      <c r="GQ921" s="4"/>
      <c r="GR921" s="4"/>
      <c r="GS921" s="4"/>
      <c r="GT921" s="4"/>
      <c r="GU921" s="4"/>
      <c r="GV921" s="4"/>
      <c r="GW921" s="4"/>
      <c r="GX921" s="4"/>
    </row>
    <row r="922">
      <c r="A922" s="2" t="s">
        <v>5432</v>
      </c>
      <c r="B922" s="2" t="s">
        <v>715</v>
      </c>
      <c r="C922" s="2" t="s">
        <v>1299</v>
      </c>
      <c r="D922" s="2" t="s">
        <v>716</v>
      </c>
      <c r="E922" s="2" t="s">
        <v>717</v>
      </c>
      <c r="F922" s="2" t="s">
        <v>5417</v>
      </c>
      <c r="G922" s="2" t="s">
        <v>4319</v>
      </c>
      <c r="H922" s="2" t="s">
        <v>5418</v>
      </c>
      <c r="I922" s="2" t="s">
        <v>5433</v>
      </c>
      <c r="J922" s="2" t="s">
        <v>848</v>
      </c>
      <c r="K922" s="2" t="s">
        <v>5434</v>
      </c>
      <c r="L922" s="3">
        <v>19.2</v>
      </c>
      <c r="M922" s="3">
        <v>20.16</v>
      </c>
      <c r="N922" s="3">
        <v>39.99</v>
      </c>
      <c r="O922" s="2" t="s">
        <v>224</v>
      </c>
      <c r="P922" s="2" t="s">
        <v>225</v>
      </c>
      <c r="Q922" s="2" t="s">
        <v>226</v>
      </c>
      <c r="R922" s="2" t="s">
        <v>227</v>
      </c>
      <c r="S922" s="2" t="s">
        <v>5435</v>
      </c>
      <c r="T922" s="2" t="s">
        <v>227</v>
      </c>
      <c r="U922" s="2" t="s">
        <v>227</v>
      </c>
      <c r="V922" s="2" t="s">
        <v>877</v>
      </c>
      <c r="W922" s="2" t="s">
        <v>231</v>
      </c>
      <c r="X922" s="2" t="s">
        <v>1216</v>
      </c>
      <c r="Y922" s="2" t="s">
        <v>5436</v>
      </c>
      <c r="Z922" s="4">
        <v>70</v>
      </c>
      <c r="AA922" s="4">
        <f>=ROUNDDOWN(3.88888888888889,0)</f>
      </c>
      <c r="AB922" s="5">
        <v>18</v>
      </c>
      <c r="AC922" s="2" t="s">
        <v>1085</v>
      </c>
      <c r="AD922" s="4">
        <v>264</v>
      </c>
      <c r="AE922" s="4">
        <v>704</v>
      </c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227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/>
      <c r="AW922" s="8"/>
      <c r="AX922" s="4"/>
      <c r="AY922" s="8"/>
      <c r="AZ922" s="7"/>
      <c r="BA922" s="7"/>
      <c r="BB922" s="7"/>
      <c r="BC922" s="4" t="s">
        <v>227</v>
      </c>
      <c r="BD922" s="8" t="s">
        <v>227</v>
      </c>
      <c r="BE922" s="4" t="s">
        <v>227</v>
      </c>
      <c r="BF922" s="8" t="s">
        <v>227</v>
      </c>
      <c r="BG922" s="7" t="s">
        <v>227</v>
      </c>
      <c r="BH922" s="7" t="s">
        <v>227</v>
      </c>
      <c r="BI922" s="7"/>
      <c r="BJ922" s="4">
        <v>171</v>
      </c>
      <c r="BK922" s="8">
        <v>3032.85</v>
      </c>
      <c r="BL922" s="2" t="s">
        <v>5437</v>
      </c>
      <c r="BM922" s="7"/>
      <c r="BN922" s="7"/>
      <c r="BO922" s="4"/>
      <c r="BP922" s="8"/>
      <c r="BQ922" s="4"/>
      <c r="BR922" s="8"/>
      <c r="BS922" s="7"/>
      <c r="BT922" s="7"/>
      <c r="BU922" s="2" t="s">
        <v>5438</v>
      </c>
      <c r="BV922" s="2" t="s">
        <v>227</v>
      </c>
      <c r="BW922" s="2" t="s">
        <v>227</v>
      </c>
      <c r="BX922" s="2" t="s">
        <v>2877</v>
      </c>
      <c r="BY922" s="2" t="s">
        <v>236</v>
      </c>
      <c r="BZ922" s="2" t="s">
        <v>224</v>
      </c>
      <c r="CA922" s="2" t="s">
        <v>2936</v>
      </c>
      <c r="CB922" s="2" t="s">
        <v>3199</v>
      </c>
      <c r="CC922" s="2" t="s">
        <v>239</v>
      </c>
      <c r="CD922" s="2" t="s">
        <v>227</v>
      </c>
      <c r="CE922" s="4">
        <v>70</v>
      </c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>
        <v>264</v>
      </c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/>
      <c r="FB922" s="4"/>
      <c r="FC922" s="4"/>
      <c r="FD922" s="4"/>
      <c r="FE922" s="4"/>
      <c r="FF922" s="4"/>
      <c r="FG922" s="4"/>
      <c r="FH922" s="4"/>
      <c r="FI922" s="4"/>
      <c r="FJ922" s="4"/>
      <c r="FK922" s="4"/>
      <c r="FL922" s="4"/>
      <c r="FM922" s="4"/>
      <c r="FN922" s="4"/>
      <c r="FO922" s="4"/>
      <c r="FP922" s="4"/>
      <c r="FQ922" s="4"/>
      <c r="FR922" s="4"/>
      <c r="FS922" s="4"/>
      <c r="FT922" s="4"/>
      <c r="FU922" s="4"/>
      <c r="FV922" s="4"/>
      <c r="FW922" s="4">
        <v>440</v>
      </c>
      <c r="FX922" s="4"/>
      <c r="FY922" s="4"/>
      <c r="FZ922" s="4"/>
      <c r="GA922" s="4"/>
      <c r="GB922" s="4"/>
      <c r="GC922" s="4"/>
      <c r="GD922" s="4"/>
      <c r="GE922" s="4"/>
      <c r="GF922" s="4"/>
      <c r="GG922" s="4"/>
      <c r="GH922" s="4"/>
      <c r="GI922" s="4"/>
      <c r="GJ922" s="4"/>
      <c r="GK922" s="4"/>
      <c r="GL922" s="4"/>
      <c r="GM922" s="4"/>
      <c r="GN922" s="4"/>
      <c r="GO922" s="4"/>
      <c r="GP922" s="4"/>
      <c r="GQ922" s="4"/>
      <c r="GR922" s="4"/>
      <c r="GS922" s="4"/>
      <c r="GT922" s="4"/>
      <c r="GU922" s="4"/>
      <c r="GV922" s="4"/>
      <c r="GW922" s="4"/>
      <c r="GX922" s="4"/>
    </row>
    <row r="923">
      <c r="A923" s="2" t="s">
        <v>5439</v>
      </c>
      <c r="B923" s="2" t="s">
        <v>216</v>
      </c>
      <c r="C923" s="2" t="s">
        <v>217</v>
      </c>
      <c r="D923" s="2" t="s">
        <v>1027</v>
      </c>
      <c r="E923" s="2" t="s">
        <v>5440</v>
      </c>
      <c r="F923" s="2" t="s">
        <v>5441</v>
      </c>
      <c r="G923" s="2" t="s">
        <v>5441</v>
      </c>
      <c r="H923" s="2" t="s">
        <v>5441</v>
      </c>
      <c r="I923" s="2" t="s">
        <v>5442</v>
      </c>
      <c r="J923" s="2" t="s">
        <v>5443</v>
      </c>
      <c r="K923" s="2" t="s">
        <v>363</v>
      </c>
      <c r="L923" s="3">
        <v>25.3</v>
      </c>
      <c r="M923" s="3">
        <v>26.56</v>
      </c>
      <c r="N923" s="3">
        <v>54.99</v>
      </c>
      <c r="O923" s="2" t="s">
        <v>224</v>
      </c>
      <c r="P923" s="2" t="s">
        <v>225</v>
      </c>
      <c r="Q923" s="2" t="s">
        <v>226</v>
      </c>
      <c r="R923" s="2" t="s">
        <v>227</v>
      </c>
      <c r="S923" s="2" t="s">
        <v>5444</v>
      </c>
      <c r="T923" s="2" t="s">
        <v>227</v>
      </c>
      <c r="U923" s="2" t="s">
        <v>227</v>
      </c>
      <c r="V923" s="2" t="s">
        <v>230</v>
      </c>
      <c r="W923" s="2" t="s">
        <v>5445</v>
      </c>
      <c r="X923" s="2" t="s">
        <v>227</v>
      </c>
      <c r="Y923" s="2" t="s">
        <v>5446</v>
      </c>
      <c r="Z923" s="4">
        <v>384</v>
      </c>
      <c r="AA923" s="4">
        <f>=ROUNDDOWN(22.5882352941176,0)</f>
      </c>
      <c r="AB923" s="5">
        <v>17</v>
      </c>
      <c r="AC923" s="2" t="s">
        <v>169</v>
      </c>
      <c r="AD923" s="4">
        <v>200</v>
      </c>
      <c r="AE923" s="4">
        <v>350</v>
      </c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227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/>
      <c r="AW923" s="8"/>
      <c r="AX923" s="4"/>
      <c r="AY923" s="8"/>
      <c r="AZ923" s="7"/>
      <c r="BA923" s="7"/>
      <c r="BB923" s="7"/>
      <c r="BC923" s="4"/>
      <c r="BD923" s="8"/>
      <c r="BE923" s="4"/>
      <c r="BF923" s="8"/>
      <c r="BG923" s="7"/>
      <c r="BH923" s="7"/>
      <c r="BI923" s="7"/>
      <c r="BJ923" s="4">
        <v>97</v>
      </c>
      <c r="BK923" s="8">
        <v>2599.74</v>
      </c>
      <c r="BL923" s="2" t="s">
        <v>5447</v>
      </c>
      <c r="BM923" s="7"/>
      <c r="BN923" s="7"/>
      <c r="BO923" s="4"/>
      <c r="BP923" s="8"/>
      <c r="BQ923" s="4"/>
      <c r="BR923" s="8"/>
      <c r="BS923" s="7"/>
      <c r="BT923" s="7"/>
      <c r="BU923" s="2" t="s">
        <v>5448</v>
      </c>
      <c r="BV923" s="2" t="s">
        <v>227</v>
      </c>
      <c r="BW923" s="2" t="s">
        <v>227</v>
      </c>
      <c r="BX923" s="2" t="s">
        <v>235</v>
      </c>
      <c r="BY923" s="2" t="s">
        <v>236</v>
      </c>
      <c r="BZ923" s="2" t="s">
        <v>224</v>
      </c>
      <c r="CA923" s="2" t="s">
        <v>4241</v>
      </c>
      <c r="CB923" s="2" t="s">
        <v>5449</v>
      </c>
      <c r="CC923" s="2" t="s">
        <v>239</v>
      </c>
      <c r="CD923" s="2" t="s">
        <v>227</v>
      </c>
      <c r="CE923" s="4">
        <v>384</v>
      </c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/>
      <c r="FB923" s="4"/>
      <c r="FC923" s="4"/>
      <c r="FD923" s="4"/>
      <c r="FE923" s="4">
        <v>200</v>
      </c>
      <c r="FF923" s="4"/>
      <c r="FG923" s="4"/>
      <c r="FH923" s="4"/>
      <c r="FI923" s="4"/>
      <c r="FJ923" s="4"/>
      <c r="FK923" s="4"/>
      <c r="FL923" s="4"/>
      <c r="FM923" s="4"/>
      <c r="FN923" s="4"/>
      <c r="FO923" s="4"/>
      <c r="FP923" s="4"/>
      <c r="FQ923" s="4"/>
      <c r="FR923" s="4"/>
      <c r="FS923" s="4"/>
      <c r="FT923" s="4"/>
      <c r="FU923" s="4"/>
      <c r="FV923" s="4"/>
      <c r="FW923" s="4">
        <v>150</v>
      </c>
      <c r="FX923" s="4"/>
      <c r="FY923" s="4"/>
      <c r="FZ923" s="4"/>
      <c r="GA923" s="4"/>
      <c r="GB923" s="4"/>
      <c r="GC923" s="4"/>
      <c r="GD923" s="4"/>
      <c r="GE923" s="4"/>
      <c r="GF923" s="4"/>
      <c r="GG923" s="4"/>
      <c r="GH923" s="4"/>
      <c r="GI923" s="4"/>
      <c r="GJ923" s="4"/>
      <c r="GK923" s="4"/>
      <c r="GL923" s="4"/>
      <c r="GM923" s="4"/>
      <c r="GN923" s="4"/>
      <c r="GO923" s="4"/>
      <c r="GP923" s="4"/>
      <c r="GQ923" s="4"/>
      <c r="GR923" s="4"/>
      <c r="GS923" s="4"/>
      <c r="GT923" s="4"/>
      <c r="GU923" s="4"/>
      <c r="GV923" s="4"/>
      <c r="GW923" s="4"/>
      <c r="GX923" s="4"/>
    </row>
    <row r="924">
      <c r="A924" s="2" t="s">
        <v>5450</v>
      </c>
      <c r="B924" s="2" t="s">
        <v>667</v>
      </c>
      <c r="C924" s="2" t="s">
        <v>360</v>
      </c>
      <c r="D924" s="2" t="s">
        <v>620</v>
      </c>
      <c r="E924" s="2" t="s">
        <v>669</v>
      </c>
      <c r="F924" s="2" t="s">
        <v>1414</v>
      </c>
      <c r="G924" s="2" t="s">
        <v>5451</v>
      </c>
      <c r="H924" s="2" t="s">
        <v>5452</v>
      </c>
      <c r="I924" s="2" t="s">
        <v>5453</v>
      </c>
      <c r="J924" s="2" t="s">
        <v>626</v>
      </c>
      <c r="K924" s="2" t="s">
        <v>5454</v>
      </c>
      <c r="L924" s="3">
        <v>27.42</v>
      </c>
      <c r="M924" s="3">
        <v>28.79</v>
      </c>
      <c r="N924" s="3">
        <v>59.99</v>
      </c>
      <c r="O924" s="2" t="s">
        <v>224</v>
      </c>
      <c r="P924" s="2" t="s">
        <v>225</v>
      </c>
      <c r="Q924" s="2" t="s">
        <v>226</v>
      </c>
      <c r="R924" s="2" t="s">
        <v>227</v>
      </c>
      <c r="S924" s="2" t="s">
        <v>5455</v>
      </c>
      <c r="T924" s="2" t="s">
        <v>286</v>
      </c>
      <c r="U924" s="2" t="s">
        <v>674</v>
      </c>
      <c r="V924" s="2" t="s">
        <v>288</v>
      </c>
      <c r="W924" s="2" t="s">
        <v>1008</v>
      </c>
      <c r="X924" s="2" t="s">
        <v>836</v>
      </c>
      <c r="Y924" s="2" t="s">
        <v>5456</v>
      </c>
      <c r="Z924" s="4">
        <v>82</v>
      </c>
      <c r="AA924" s="4">
        <f>=ROUNDDOWN(41,0)</f>
      </c>
      <c r="AB924" s="5">
        <v>2</v>
      </c>
      <c r="AC924" s="2" t="s">
        <v>211</v>
      </c>
      <c r="AD924" s="4">
        <v>30</v>
      </c>
      <c r="AE924" s="4">
        <v>30</v>
      </c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227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227</v>
      </c>
      <c r="AW924" s="8" t="s">
        <v>227</v>
      </c>
      <c r="AX924" s="4" t="s">
        <v>227</v>
      </c>
      <c r="AY924" s="8" t="s">
        <v>227</v>
      </c>
      <c r="AZ924" s="7" t="s">
        <v>227</v>
      </c>
      <c r="BA924" s="7" t="s">
        <v>227</v>
      </c>
      <c r="BB924" s="7"/>
      <c r="BC924" s="4" t="s">
        <v>227</v>
      </c>
      <c r="BD924" s="8" t="s">
        <v>227</v>
      </c>
      <c r="BE924" s="4" t="s">
        <v>227</v>
      </c>
      <c r="BF924" s="8" t="s">
        <v>227</v>
      </c>
      <c r="BG924" s="7" t="s">
        <v>227</v>
      </c>
      <c r="BH924" s="7" t="s">
        <v>227</v>
      </c>
      <c r="BI924" s="7"/>
      <c r="BJ924" s="4">
        <v>7</v>
      </c>
      <c r="BK924" s="8">
        <v>218.21</v>
      </c>
      <c r="BL924" s="2" t="s">
        <v>266</v>
      </c>
      <c r="BM924" s="7"/>
      <c r="BN924" s="7"/>
      <c r="BO924" s="4"/>
      <c r="BP924" s="8"/>
      <c r="BQ924" s="4"/>
      <c r="BR924" s="8"/>
      <c r="BS924" s="7"/>
      <c r="BT924" s="7"/>
      <c r="BU924" s="2" t="s">
        <v>5457</v>
      </c>
      <c r="BV924" s="2" t="s">
        <v>227</v>
      </c>
      <c r="BW924" s="2" t="s">
        <v>227</v>
      </c>
      <c r="BX924" s="2" t="s">
        <v>235</v>
      </c>
      <c r="BY924" s="2" t="s">
        <v>236</v>
      </c>
      <c r="BZ924" s="2" t="s">
        <v>224</v>
      </c>
      <c r="CA924" s="2" t="s">
        <v>5329</v>
      </c>
      <c r="CB924" s="2" t="s">
        <v>2708</v>
      </c>
      <c r="CC924" s="2" t="s">
        <v>239</v>
      </c>
      <c r="CD924" s="2" t="s">
        <v>227</v>
      </c>
      <c r="CE924" s="4">
        <v>82</v>
      </c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/>
      <c r="FB924" s="4"/>
      <c r="FC924" s="4"/>
      <c r="FD924" s="4"/>
      <c r="FE924" s="4"/>
      <c r="FF924" s="4"/>
      <c r="FG924" s="4"/>
      <c r="FH924" s="4"/>
      <c r="FI924" s="4"/>
      <c r="FJ924" s="4"/>
      <c r="FK924" s="4"/>
      <c r="FL924" s="4"/>
      <c r="FM924" s="4"/>
      <c r="FN924" s="4"/>
      <c r="FO924" s="4"/>
      <c r="FP924" s="4"/>
      <c r="FQ924" s="4"/>
      <c r="FR924" s="4"/>
      <c r="FS924" s="4"/>
      <c r="FT924" s="4"/>
      <c r="FU924" s="4"/>
      <c r="FV924" s="4"/>
      <c r="FW924" s="4"/>
      <c r="FX924" s="4"/>
      <c r="FY924" s="4"/>
      <c r="FZ924" s="4"/>
      <c r="GA924" s="4"/>
      <c r="GB924" s="4"/>
      <c r="GC924" s="4"/>
      <c r="GD924" s="4"/>
      <c r="GE924" s="4"/>
      <c r="GF924" s="4"/>
      <c r="GG924" s="4"/>
      <c r="GH924" s="4"/>
      <c r="GI924" s="4"/>
      <c r="GJ924" s="4"/>
      <c r="GK924" s="4"/>
      <c r="GL924" s="4"/>
      <c r="GM924" s="4"/>
      <c r="GN924" s="4"/>
      <c r="GO924" s="4"/>
      <c r="GP924" s="4"/>
      <c r="GQ924" s="4"/>
      <c r="GR924" s="4"/>
      <c r="GS924" s="4"/>
      <c r="GT924" s="4"/>
      <c r="GU924" s="4">
        <v>30</v>
      </c>
      <c r="GV924" s="4"/>
      <c r="GW924" s="4"/>
      <c r="GX924" s="4"/>
    </row>
    <row r="925">
      <c r="A925" s="2" t="s">
        <v>5458</v>
      </c>
      <c r="B925" s="2" t="s">
        <v>667</v>
      </c>
      <c r="C925" s="2" t="s">
        <v>360</v>
      </c>
      <c r="D925" s="2" t="s">
        <v>687</v>
      </c>
      <c r="E925" s="2" t="s">
        <v>699</v>
      </c>
      <c r="F925" s="2" t="s">
        <v>1414</v>
      </c>
      <c r="G925" s="2" t="s">
        <v>5451</v>
      </c>
      <c r="H925" s="2" t="s">
        <v>5452</v>
      </c>
      <c r="I925" s="2" t="s">
        <v>5459</v>
      </c>
      <c r="J925" s="2" t="s">
        <v>682</v>
      </c>
      <c r="K925" s="2" t="s">
        <v>5454</v>
      </c>
      <c r="L925" s="3">
        <v>41.14</v>
      </c>
      <c r="M925" s="3">
        <v>43.2</v>
      </c>
      <c r="N925" s="3">
        <v>89.99</v>
      </c>
      <c r="O925" s="2" t="s">
        <v>224</v>
      </c>
      <c r="P925" s="2" t="s">
        <v>225</v>
      </c>
      <c r="Q925" s="2" t="s">
        <v>226</v>
      </c>
      <c r="R925" s="2" t="s">
        <v>227</v>
      </c>
      <c r="S925" s="2" t="s">
        <v>5455</v>
      </c>
      <c r="T925" s="2" t="s">
        <v>286</v>
      </c>
      <c r="U925" s="2" t="s">
        <v>287</v>
      </c>
      <c r="V925" s="2" t="s">
        <v>288</v>
      </c>
      <c r="W925" s="2" t="s">
        <v>1008</v>
      </c>
      <c r="X925" s="2" t="s">
        <v>836</v>
      </c>
      <c r="Y925" s="2" t="s">
        <v>5460</v>
      </c>
      <c r="Z925" s="4">
        <v>148</v>
      </c>
      <c r="AA925" s="4">
        <f>=ROUNDDOWN(14.8,0)</f>
      </c>
      <c r="AB925" s="5">
        <v>10</v>
      </c>
      <c r="AC925" s="2" t="s">
        <v>211</v>
      </c>
      <c r="AD925" s="4">
        <v>320</v>
      </c>
      <c r="AE925" s="4">
        <v>320</v>
      </c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227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227</v>
      </c>
      <c r="AW925" s="8" t="s">
        <v>227</v>
      </c>
      <c r="AX925" s="4" t="s">
        <v>227</v>
      </c>
      <c r="AY925" s="8" t="s">
        <v>227</v>
      </c>
      <c r="AZ925" s="7" t="s">
        <v>227</v>
      </c>
      <c r="BA925" s="7" t="s">
        <v>227</v>
      </c>
      <c r="BB925" s="7" t="s">
        <v>227</v>
      </c>
      <c r="BC925" s="4" t="s">
        <v>227</v>
      </c>
      <c r="BD925" s="8" t="s">
        <v>227</v>
      </c>
      <c r="BE925" s="4" t="s">
        <v>227</v>
      </c>
      <c r="BF925" s="8" t="s">
        <v>227</v>
      </c>
      <c r="BG925" s="7" t="s">
        <v>227</v>
      </c>
      <c r="BH925" s="7" t="s">
        <v>227</v>
      </c>
      <c r="BI925" s="7"/>
      <c r="BJ925" s="4">
        <v>36</v>
      </c>
      <c r="BK925" s="8">
        <v>1689.52</v>
      </c>
      <c r="BL925" s="2" t="s">
        <v>5461</v>
      </c>
      <c r="BM925" s="7"/>
      <c r="BN925" s="7"/>
      <c r="BO925" s="4"/>
      <c r="BP925" s="8"/>
      <c r="BQ925" s="4"/>
      <c r="BR925" s="8"/>
      <c r="BS925" s="7"/>
      <c r="BT925" s="7"/>
      <c r="BU925" s="2" t="s">
        <v>5462</v>
      </c>
      <c r="BV925" s="2" t="s">
        <v>227</v>
      </c>
      <c r="BW925" s="2" t="s">
        <v>227</v>
      </c>
      <c r="BX925" s="2" t="s">
        <v>235</v>
      </c>
      <c r="BY925" s="2" t="s">
        <v>236</v>
      </c>
      <c r="BZ925" s="2" t="s">
        <v>224</v>
      </c>
      <c r="CA925" s="2" t="s">
        <v>3689</v>
      </c>
      <c r="CB925" s="2" t="s">
        <v>3740</v>
      </c>
      <c r="CC925" s="2" t="s">
        <v>239</v>
      </c>
      <c r="CD925" s="2" t="s">
        <v>227</v>
      </c>
      <c r="CE925" s="4">
        <v>148</v>
      </c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  <c r="EM925" s="4"/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/>
      <c r="FD925" s="4"/>
      <c r="FE925" s="4"/>
      <c r="FF925" s="4"/>
      <c r="FG925" s="4"/>
      <c r="FH925" s="4"/>
      <c r="FI925" s="4"/>
      <c r="FJ925" s="4"/>
      <c r="FK925" s="4"/>
      <c r="FL925" s="4"/>
      <c r="FM925" s="4"/>
      <c r="FN925" s="4"/>
      <c r="FO925" s="4"/>
      <c r="FP925" s="4"/>
      <c r="FQ925" s="4"/>
      <c r="FR925" s="4"/>
      <c r="FS925" s="4"/>
      <c r="FT925" s="4"/>
      <c r="FU925" s="4"/>
      <c r="FV925" s="4"/>
      <c r="FW925" s="4"/>
      <c r="FX925" s="4"/>
      <c r="FY925" s="4"/>
      <c r="FZ925" s="4"/>
      <c r="GA925" s="4"/>
      <c r="GB925" s="4"/>
      <c r="GC925" s="4"/>
      <c r="GD925" s="4"/>
      <c r="GE925" s="4"/>
      <c r="GF925" s="4"/>
      <c r="GG925" s="4"/>
      <c r="GH925" s="4"/>
      <c r="GI925" s="4"/>
      <c r="GJ925" s="4"/>
      <c r="GK925" s="4"/>
      <c r="GL925" s="4"/>
      <c r="GM925" s="4"/>
      <c r="GN925" s="4"/>
      <c r="GO925" s="4"/>
      <c r="GP925" s="4"/>
      <c r="GQ925" s="4"/>
      <c r="GR925" s="4"/>
      <c r="GS925" s="4"/>
      <c r="GT925" s="4"/>
      <c r="GU925" s="4">
        <v>320</v>
      </c>
      <c r="GV925" s="4"/>
      <c r="GW925" s="4"/>
      <c r="GX925" s="4"/>
    </row>
    <row r="926">
      <c r="A926" s="2" t="s">
        <v>5463</v>
      </c>
      <c r="B926" s="2" t="s">
        <v>667</v>
      </c>
      <c r="C926" s="2" t="s">
        <v>360</v>
      </c>
      <c r="D926" s="2" t="s">
        <v>620</v>
      </c>
      <c r="E926" s="2" t="s">
        <v>669</v>
      </c>
      <c r="F926" s="2" t="s">
        <v>1414</v>
      </c>
      <c r="G926" s="2" t="s">
        <v>5451</v>
      </c>
      <c r="H926" s="2" t="s">
        <v>5452</v>
      </c>
      <c r="I926" s="2" t="s">
        <v>5453</v>
      </c>
      <c r="J926" s="2" t="s">
        <v>682</v>
      </c>
      <c r="K926" s="2" t="s">
        <v>5454</v>
      </c>
      <c r="L926" s="3">
        <v>32</v>
      </c>
      <c r="M926" s="3">
        <v>33.6</v>
      </c>
      <c r="N926" s="3">
        <v>69.99</v>
      </c>
      <c r="O926" s="2" t="s">
        <v>224</v>
      </c>
      <c r="P926" s="2" t="s">
        <v>225</v>
      </c>
      <c r="Q926" s="2" t="s">
        <v>226</v>
      </c>
      <c r="R926" s="2" t="s">
        <v>227</v>
      </c>
      <c r="S926" s="2" t="s">
        <v>5455</v>
      </c>
      <c r="T926" s="2" t="s">
        <v>286</v>
      </c>
      <c r="U926" s="2" t="s">
        <v>674</v>
      </c>
      <c r="V926" s="2" t="s">
        <v>288</v>
      </c>
      <c r="W926" s="2" t="s">
        <v>1008</v>
      </c>
      <c r="X926" s="2" t="s">
        <v>836</v>
      </c>
      <c r="Y926" s="2" t="s">
        <v>5456</v>
      </c>
      <c r="Z926" s="4">
        <v>85</v>
      </c>
      <c r="AA926" s="4">
        <f>=ROUNDDOWN(42.5,0)</f>
      </c>
      <c r="AB926" s="5">
        <v>2</v>
      </c>
      <c r="AC926" s="2" t="s">
        <v>211</v>
      </c>
      <c r="AD926" s="4">
        <v>30</v>
      </c>
      <c r="AE926" s="4">
        <v>30</v>
      </c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227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227</v>
      </c>
      <c r="AW926" s="8" t="s">
        <v>227</v>
      </c>
      <c r="AX926" s="4" t="s">
        <v>227</v>
      </c>
      <c r="AY926" s="8" t="s">
        <v>227</v>
      </c>
      <c r="AZ926" s="7" t="s">
        <v>227</v>
      </c>
      <c r="BA926" s="7" t="s">
        <v>227</v>
      </c>
      <c r="BB926" s="7" t="s">
        <v>227</v>
      </c>
      <c r="BC926" s="4" t="s">
        <v>227</v>
      </c>
      <c r="BD926" s="8" t="s">
        <v>227</v>
      </c>
      <c r="BE926" s="4" t="s">
        <v>227</v>
      </c>
      <c r="BF926" s="8" t="s">
        <v>227</v>
      </c>
      <c r="BG926" s="7" t="s">
        <v>227</v>
      </c>
      <c r="BH926" s="7" t="s">
        <v>227</v>
      </c>
      <c r="BI926" s="7"/>
      <c r="BJ926" s="4">
        <v>3</v>
      </c>
      <c r="BK926" s="8">
        <v>103.49</v>
      </c>
      <c r="BL926" s="2" t="s">
        <v>2971</v>
      </c>
      <c r="BM926" s="7"/>
      <c r="BN926" s="7"/>
      <c r="BO926" s="4"/>
      <c r="BP926" s="8"/>
      <c r="BQ926" s="4"/>
      <c r="BR926" s="8"/>
      <c r="BS926" s="7"/>
      <c r="BT926" s="7"/>
      <c r="BU926" s="2" t="s">
        <v>5464</v>
      </c>
      <c r="BV926" s="2" t="s">
        <v>227</v>
      </c>
      <c r="BW926" s="2" t="s">
        <v>227</v>
      </c>
      <c r="BX926" s="2" t="s">
        <v>235</v>
      </c>
      <c r="BY926" s="2" t="s">
        <v>236</v>
      </c>
      <c r="BZ926" s="2" t="s">
        <v>224</v>
      </c>
      <c r="CA926" s="2" t="s">
        <v>5329</v>
      </c>
      <c r="CB926" s="2" t="s">
        <v>227</v>
      </c>
      <c r="CC926" s="2" t="s">
        <v>239</v>
      </c>
      <c r="CD926" s="2" t="s">
        <v>227</v>
      </c>
      <c r="CE926" s="4">
        <v>85</v>
      </c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/>
      <c r="FA926" s="4"/>
      <c r="FB926" s="4"/>
      <c r="FC926" s="4"/>
      <c r="FD926" s="4"/>
      <c r="FE926" s="4"/>
      <c r="FF926" s="4"/>
      <c r="FG926" s="4"/>
      <c r="FH926" s="4"/>
      <c r="FI926" s="4"/>
      <c r="FJ926" s="4"/>
      <c r="FK926" s="4"/>
      <c r="FL926" s="4"/>
      <c r="FM926" s="4"/>
      <c r="FN926" s="4"/>
      <c r="FO926" s="4"/>
      <c r="FP926" s="4"/>
      <c r="FQ926" s="4"/>
      <c r="FR926" s="4"/>
      <c r="FS926" s="4"/>
      <c r="FT926" s="4"/>
      <c r="FU926" s="4"/>
      <c r="FV926" s="4"/>
      <c r="FW926" s="4"/>
      <c r="FX926" s="4"/>
      <c r="FY926" s="4"/>
      <c r="FZ926" s="4"/>
      <c r="GA926" s="4"/>
      <c r="GB926" s="4"/>
      <c r="GC926" s="4"/>
      <c r="GD926" s="4"/>
      <c r="GE926" s="4"/>
      <c r="GF926" s="4"/>
      <c r="GG926" s="4"/>
      <c r="GH926" s="4"/>
      <c r="GI926" s="4"/>
      <c r="GJ926" s="4"/>
      <c r="GK926" s="4"/>
      <c r="GL926" s="4"/>
      <c r="GM926" s="4"/>
      <c r="GN926" s="4"/>
      <c r="GO926" s="4"/>
      <c r="GP926" s="4"/>
      <c r="GQ926" s="4"/>
      <c r="GR926" s="4"/>
      <c r="GS926" s="4"/>
      <c r="GT926" s="4"/>
      <c r="GU926" s="4">
        <v>30</v>
      </c>
      <c r="GV926" s="4"/>
      <c r="GW926" s="4"/>
      <c r="GX926" s="4"/>
    </row>
    <row r="927">
      <c r="A927" s="2" t="s">
        <v>5465</v>
      </c>
      <c r="B927" s="2" t="s">
        <v>667</v>
      </c>
      <c r="C927" s="2" t="s">
        <v>360</v>
      </c>
      <c r="D927" s="2" t="s">
        <v>620</v>
      </c>
      <c r="E927" s="2" t="s">
        <v>621</v>
      </c>
      <c r="F927" s="2" t="s">
        <v>5466</v>
      </c>
      <c r="G927" s="2" t="s">
        <v>5467</v>
      </c>
      <c r="H927" s="2" t="s">
        <v>5468</v>
      </c>
      <c r="I927" s="2" t="s">
        <v>5469</v>
      </c>
      <c r="J927" s="2" t="s">
        <v>626</v>
      </c>
      <c r="K927" s="2" t="s">
        <v>762</v>
      </c>
      <c r="L927" s="3">
        <v>53.9</v>
      </c>
      <c r="M927" s="3">
        <v>56.59</v>
      </c>
      <c r="N927" s="3">
        <v>109.99</v>
      </c>
      <c r="O927" s="2" t="s">
        <v>224</v>
      </c>
      <c r="P927" s="2" t="s">
        <v>225</v>
      </c>
      <c r="Q927" s="2" t="s">
        <v>226</v>
      </c>
      <c r="R927" s="2" t="s">
        <v>227</v>
      </c>
      <c r="S927" s="2" t="s">
        <v>227</v>
      </c>
      <c r="T927" s="2" t="s">
        <v>227</v>
      </c>
      <c r="U927" s="2" t="s">
        <v>594</v>
      </c>
      <c r="V927" s="2" t="s">
        <v>782</v>
      </c>
      <c r="W927" s="2" t="s">
        <v>705</v>
      </c>
      <c r="X927" s="2" t="s">
        <v>4439</v>
      </c>
      <c r="Y927" s="2" t="s">
        <v>5470</v>
      </c>
      <c r="Z927" s="4">
        <v>99</v>
      </c>
      <c r="AA927" s="4">
        <f>=ROUNDDOWN(33,0)</f>
      </c>
      <c r="AB927" s="5">
        <v>3</v>
      </c>
      <c r="AC927" s="2" t="s">
        <v>839</v>
      </c>
      <c r="AD927" s="4">
        <v>50</v>
      </c>
      <c r="AE927" s="4">
        <v>170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227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/>
      <c r="AW927" s="8"/>
      <c r="AX927" s="4"/>
      <c r="AY927" s="8"/>
      <c r="AZ927" s="7"/>
      <c r="BA927" s="7"/>
      <c r="BB927" s="7"/>
      <c r="BC927" s="4"/>
      <c r="BD927" s="8"/>
      <c r="BE927" s="4"/>
      <c r="BF927" s="8"/>
      <c r="BG927" s="7"/>
      <c r="BH927" s="7"/>
      <c r="BI927" s="7"/>
      <c r="BJ927" s="4">
        <v>6</v>
      </c>
      <c r="BK927" s="8">
        <v>323.33</v>
      </c>
      <c r="BL927" s="2" t="s">
        <v>3540</v>
      </c>
      <c r="BM927" s="7"/>
      <c r="BN927" s="7"/>
      <c r="BO927" s="4"/>
      <c r="BP927" s="8"/>
      <c r="BQ927" s="4"/>
      <c r="BR927" s="8"/>
      <c r="BS927" s="7"/>
      <c r="BT927" s="7"/>
      <c r="BU927" s="2" t="s">
        <v>5471</v>
      </c>
      <c r="BV927" s="2" t="s">
        <v>227</v>
      </c>
      <c r="BW927" s="2" t="s">
        <v>227</v>
      </c>
      <c r="BX927" s="2" t="s">
        <v>235</v>
      </c>
      <c r="BY927" s="2" t="s">
        <v>236</v>
      </c>
      <c r="BZ927" s="2" t="s">
        <v>224</v>
      </c>
      <c r="CA927" s="2" t="s">
        <v>5472</v>
      </c>
      <c r="CB927" s="2" t="s">
        <v>2963</v>
      </c>
      <c r="CC927" s="2" t="s">
        <v>239</v>
      </c>
      <c r="CD927" s="2" t="s">
        <v>227</v>
      </c>
      <c r="CE927" s="4">
        <v>99</v>
      </c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>
        <v>50</v>
      </c>
      <c r="ED927" s="4"/>
      <c r="EE927" s="4"/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/>
      <c r="FA927" s="4"/>
      <c r="FB927" s="4"/>
      <c r="FC927" s="4"/>
      <c r="FD927" s="4"/>
      <c r="FE927" s="4"/>
      <c r="FF927" s="4"/>
      <c r="FG927" s="4">
        <v>120</v>
      </c>
      <c r="FH927" s="4"/>
      <c r="FI927" s="4"/>
      <c r="FJ927" s="4"/>
      <c r="FK927" s="4"/>
      <c r="FL927" s="4"/>
      <c r="FM927" s="4"/>
      <c r="FN927" s="4"/>
      <c r="FO927" s="4"/>
      <c r="FP927" s="4"/>
      <c r="FQ927" s="4"/>
      <c r="FR927" s="4"/>
      <c r="FS927" s="4"/>
      <c r="FT927" s="4"/>
      <c r="FU927" s="4"/>
      <c r="FV927" s="4"/>
      <c r="FW927" s="4"/>
      <c r="FX927" s="4"/>
      <c r="FY927" s="4"/>
      <c r="FZ927" s="4"/>
      <c r="GA927" s="4"/>
      <c r="GB927" s="4"/>
      <c r="GC927" s="4"/>
      <c r="GD927" s="4"/>
      <c r="GE927" s="4"/>
      <c r="GF927" s="4"/>
      <c r="GG927" s="4"/>
      <c r="GH927" s="4"/>
      <c r="GI927" s="4"/>
      <c r="GJ927" s="4"/>
      <c r="GK927" s="4"/>
      <c r="GL927" s="4"/>
      <c r="GM927" s="4"/>
      <c r="GN927" s="4"/>
      <c r="GO927" s="4"/>
      <c r="GP927" s="4"/>
      <c r="GQ927" s="4"/>
      <c r="GR927" s="4"/>
      <c r="GS927" s="4"/>
      <c r="GT927" s="4"/>
      <c r="GU927" s="4"/>
      <c r="GV927" s="4"/>
      <c r="GW927" s="4"/>
      <c r="GX927" s="4"/>
    </row>
    <row r="928">
      <c r="A928" s="2" t="s">
        <v>5473</v>
      </c>
      <c r="B928" s="2" t="s">
        <v>618</v>
      </c>
      <c r="C928" s="2" t="s">
        <v>1299</v>
      </c>
      <c r="D928" s="2" t="s">
        <v>687</v>
      </c>
      <c r="E928" s="2" t="s">
        <v>990</v>
      </c>
      <c r="F928" s="2" t="s">
        <v>5474</v>
      </c>
      <c r="G928" s="2" t="s">
        <v>5475</v>
      </c>
      <c r="H928" s="2" t="s">
        <v>5476</v>
      </c>
      <c r="I928" s="2" t="s">
        <v>5477</v>
      </c>
      <c r="J928" s="2" t="s">
        <v>222</v>
      </c>
      <c r="K928" s="2" t="s">
        <v>5478</v>
      </c>
      <c r="L928" s="3">
        <v>33.6</v>
      </c>
      <c r="M928" s="3">
        <v>35.28</v>
      </c>
      <c r="N928" s="3">
        <v>74.99</v>
      </c>
      <c r="O928" s="2" t="s">
        <v>224</v>
      </c>
      <c r="P928" s="2" t="s">
        <v>225</v>
      </c>
      <c r="Q928" s="2" t="s">
        <v>226</v>
      </c>
      <c r="R928" s="2" t="s">
        <v>227</v>
      </c>
      <c r="S928" s="2" t="s">
        <v>5479</v>
      </c>
      <c r="T928" s="2" t="s">
        <v>375</v>
      </c>
      <c r="U928" s="2" t="s">
        <v>1069</v>
      </c>
      <c r="V928" s="2" t="s">
        <v>782</v>
      </c>
      <c r="W928" s="2" t="s">
        <v>231</v>
      </c>
      <c r="X928" s="2" t="s">
        <v>705</v>
      </c>
      <c r="Y928" s="2" t="s">
        <v>1630</v>
      </c>
      <c r="Z928" s="4">
        <v>195</v>
      </c>
      <c r="AA928" s="4">
        <f>=ROUNDDOWN(24.375,0)</f>
      </c>
      <c r="AB928" s="5">
        <v>8</v>
      </c>
      <c r="AC928" s="2" t="s">
        <v>227</v>
      </c>
      <c r="AD928" s="4"/>
      <c r="AE928" s="4"/>
      <c r="AF928" s="6">
        <v>64</v>
      </c>
      <c r="AG928" s="6"/>
      <c r="AH928" s="7">
        <v>1</v>
      </c>
      <c r="AI928" s="4"/>
      <c r="AJ928" s="4">
        <f>=ROUNDDOWN({0},0)</f>
      </c>
      <c r="AK928" s="5"/>
      <c r="AL928" s="2" t="s">
        <v>227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227</v>
      </c>
      <c r="AW928" s="8" t="s">
        <v>227</v>
      </c>
      <c r="AX928" s="4" t="s">
        <v>227</v>
      </c>
      <c r="AY928" s="8" t="s">
        <v>227</v>
      </c>
      <c r="AZ928" s="7" t="s">
        <v>227</v>
      </c>
      <c r="BA928" s="7" t="s">
        <v>227</v>
      </c>
      <c r="BB928" s="7"/>
      <c r="BC928" s="4" t="s">
        <v>227</v>
      </c>
      <c r="BD928" s="8" t="s">
        <v>227</v>
      </c>
      <c r="BE928" s="4" t="s">
        <v>227</v>
      </c>
      <c r="BF928" s="8" t="s">
        <v>227</v>
      </c>
      <c r="BG928" s="7" t="s">
        <v>227</v>
      </c>
      <c r="BH928" s="7" t="s">
        <v>227</v>
      </c>
      <c r="BI928" s="7"/>
      <c r="BJ928" s="4">
        <v>4</v>
      </c>
      <c r="BK928" s="8">
        <v>153.48</v>
      </c>
      <c r="BL928" s="2" t="s">
        <v>5480</v>
      </c>
      <c r="BM928" s="7"/>
      <c r="BN928" s="7"/>
      <c r="BO928" s="4"/>
      <c r="BP928" s="8"/>
      <c r="BQ928" s="4"/>
      <c r="BR928" s="8"/>
      <c r="BS928" s="7"/>
      <c r="BT928" s="7"/>
      <c r="BU928" s="2" t="s">
        <v>5481</v>
      </c>
      <c r="BV928" s="2" t="s">
        <v>227</v>
      </c>
      <c r="BW928" s="2" t="s">
        <v>227</v>
      </c>
      <c r="BX928" s="2" t="s">
        <v>1621</v>
      </c>
      <c r="BY928" s="2" t="s">
        <v>236</v>
      </c>
      <c r="BZ928" s="2" t="s">
        <v>224</v>
      </c>
      <c r="CA928" s="2" t="s">
        <v>1635</v>
      </c>
      <c r="CB928" s="2" t="s">
        <v>227</v>
      </c>
      <c r="CC928" s="2" t="s">
        <v>239</v>
      </c>
      <c r="CD928" s="2" t="s">
        <v>227</v>
      </c>
      <c r="CE928" s="4">
        <v>95</v>
      </c>
      <c r="CF928" s="4"/>
      <c r="CG928" s="4"/>
      <c r="CH928" s="4"/>
      <c r="CI928" s="4"/>
      <c r="CJ928" s="4"/>
      <c r="CK928" s="4">
        <v>100</v>
      </c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/>
      <c r="FE928" s="4"/>
      <c r="FF928" s="4"/>
      <c r="FG928" s="4"/>
      <c r="FH928" s="4"/>
      <c r="FI928" s="4"/>
      <c r="FJ928" s="4"/>
      <c r="FK928" s="4"/>
      <c r="FL928" s="4"/>
      <c r="FM928" s="4"/>
      <c r="FN928" s="4"/>
      <c r="FO928" s="4"/>
      <c r="FP928" s="4"/>
      <c r="FQ928" s="4"/>
      <c r="FR928" s="4"/>
      <c r="FS928" s="4"/>
      <c r="FT928" s="4"/>
      <c r="FU928" s="4"/>
      <c r="FV928" s="4"/>
      <c r="FW928" s="4"/>
      <c r="FX928" s="4"/>
      <c r="FY928" s="4"/>
      <c r="FZ928" s="4"/>
      <c r="GA928" s="4"/>
      <c r="GB928" s="4"/>
      <c r="GC928" s="4"/>
      <c r="GD928" s="4"/>
      <c r="GE928" s="4"/>
      <c r="GF928" s="4"/>
      <c r="GG928" s="4"/>
      <c r="GH928" s="4"/>
      <c r="GI928" s="4"/>
      <c r="GJ928" s="4"/>
      <c r="GK928" s="4"/>
      <c r="GL928" s="4"/>
      <c r="GM928" s="4"/>
      <c r="GN928" s="4"/>
      <c r="GO928" s="4"/>
      <c r="GP928" s="4"/>
      <c r="GQ928" s="4"/>
      <c r="GR928" s="4"/>
      <c r="GS928" s="4"/>
      <c r="GT928" s="4"/>
      <c r="GU928" s="4"/>
      <c r="GV928" s="4"/>
      <c r="GW928" s="4"/>
      <c r="GX928" s="4"/>
    </row>
    <row r="929">
      <c r="A929" s="2" t="s">
        <v>5482</v>
      </c>
      <c r="B929" s="2" t="s">
        <v>618</v>
      </c>
      <c r="C929" s="2" t="s">
        <v>1299</v>
      </c>
      <c r="D929" s="2" t="s">
        <v>687</v>
      </c>
      <c r="E929" s="2" t="s">
        <v>990</v>
      </c>
      <c r="F929" s="2" t="s">
        <v>5474</v>
      </c>
      <c r="G929" s="2" t="s">
        <v>5475</v>
      </c>
      <c r="H929" s="2" t="s">
        <v>5476</v>
      </c>
      <c r="I929" s="2" t="s">
        <v>5477</v>
      </c>
      <c r="J929" s="2" t="s">
        <v>241</v>
      </c>
      <c r="K929" s="2" t="s">
        <v>5478</v>
      </c>
      <c r="L929" s="3">
        <v>35.52</v>
      </c>
      <c r="M929" s="3">
        <v>37.3</v>
      </c>
      <c r="N929" s="3">
        <v>78.99</v>
      </c>
      <c r="O929" s="2" t="s">
        <v>224</v>
      </c>
      <c r="P929" s="2" t="s">
        <v>225</v>
      </c>
      <c r="Q929" s="2" t="s">
        <v>226</v>
      </c>
      <c r="R929" s="2" t="s">
        <v>227</v>
      </c>
      <c r="S929" s="2" t="s">
        <v>5479</v>
      </c>
      <c r="T929" s="2" t="s">
        <v>375</v>
      </c>
      <c r="U929" s="2" t="s">
        <v>1069</v>
      </c>
      <c r="V929" s="2" t="s">
        <v>782</v>
      </c>
      <c r="W929" s="2" t="s">
        <v>231</v>
      </c>
      <c r="X929" s="2" t="s">
        <v>705</v>
      </c>
      <c r="Y929" s="2" t="s">
        <v>1630</v>
      </c>
      <c r="Z929" s="4">
        <v>241</v>
      </c>
      <c r="AA929" s="4">
        <f>=ROUNDDOWN(16.0666666666667,0)</f>
      </c>
      <c r="AB929" s="5">
        <v>15</v>
      </c>
      <c r="AC929" s="2" t="s">
        <v>227</v>
      </c>
      <c r="AD929" s="4"/>
      <c r="AE929" s="4"/>
      <c r="AF929" s="6">
        <v>64</v>
      </c>
      <c r="AG929" s="6"/>
      <c r="AH929" s="7">
        <v>1</v>
      </c>
      <c r="AI929" s="4"/>
      <c r="AJ929" s="4">
        <f>=ROUNDDOWN({0},0)</f>
      </c>
      <c r="AK929" s="5"/>
      <c r="AL929" s="2" t="s">
        <v>227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227</v>
      </c>
      <c r="AW929" s="8" t="s">
        <v>227</v>
      </c>
      <c r="AX929" s="4" t="s">
        <v>227</v>
      </c>
      <c r="AY929" s="8" t="s">
        <v>227</v>
      </c>
      <c r="AZ929" s="7" t="s">
        <v>227</v>
      </c>
      <c r="BA929" s="7" t="s">
        <v>227</v>
      </c>
      <c r="BB929" s="7"/>
      <c r="BC929" s="4" t="s">
        <v>227</v>
      </c>
      <c r="BD929" s="8" t="s">
        <v>227</v>
      </c>
      <c r="BE929" s="4" t="s">
        <v>227</v>
      </c>
      <c r="BF929" s="8" t="s">
        <v>227</v>
      </c>
      <c r="BG929" s="7" t="s">
        <v>227</v>
      </c>
      <c r="BH929" s="7" t="s">
        <v>227</v>
      </c>
      <c r="BI929" s="7"/>
      <c r="BJ929" s="4">
        <v>36</v>
      </c>
      <c r="BK929" s="8">
        <v>1469.46</v>
      </c>
      <c r="BL929" s="2" t="s">
        <v>5483</v>
      </c>
      <c r="BM929" s="7"/>
      <c r="BN929" s="7"/>
      <c r="BO929" s="4"/>
      <c r="BP929" s="8"/>
      <c r="BQ929" s="4"/>
      <c r="BR929" s="8"/>
      <c r="BS929" s="7"/>
      <c r="BT929" s="7"/>
      <c r="BU929" s="2" t="s">
        <v>5484</v>
      </c>
      <c r="BV929" s="2" t="s">
        <v>227</v>
      </c>
      <c r="BW929" s="2" t="s">
        <v>227</v>
      </c>
      <c r="BX929" s="2" t="s">
        <v>1621</v>
      </c>
      <c r="BY929" s="2" t="s">
        <v>236</v>
      </c>
      <c r="BZ929" s="2" t="s">
        <v>224</v>
      </c>
      <c r="CA929" s="2" t="s">
        <v>1635</v>
      </c>
      <c r="CB929" s="2" t="s">
        <v>227</v>
      </c>
      <c r="CC929" s="2" t="s">
        <v>239</v>
      </c>
      <c r="CD929" s="2" t="s">
        <v>227</v>
      </c>
      <c r="CE929" s="4">
        <v>101</v>
      </c>
      <c r="CF929" s="4"/>
      <c r="CG929" s="4"/>
      <c r="CH929" s="4"/>
      <c r="CI929" s="4"/>
      <c r="CJ929" s="4"/>
      <c r="CK929" s="4">
        <v>140</v>
      </c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/>
      <c r="FB929" s="4"/>
      <c r="FC929" s="4"/>
      <c r="FD929" s="4"/>
      <c r="FE929" s="4"/>
      <c r="FF929" s="4"/>
      <c r="FG929" s="4"/>
      <c r="FH929" s="4"/>
      <c r="FI929" s="4"/>
      <c r="FJ929" s="4"/>
      <c r="FK929" s="4"/>
      <c r="FL929" s="4"/>
      <c r="FM929" s="4"/>
      <c r="FN929" s="4"/>
      <c r="FO929" s="4"/>
      <c r="FP929" s="4"/>
      <c r="FQ929" s="4"/>
      <c r="FR929" s="4"/>
      <c r="FS929" s="4"/>
      <c r="FT929" s="4"/>
      <c r="FU929" s="4"/>
      <c r="FV929" s="4"/>
      <c r="FW929" s="4"/>
      <c r="FX929" s="4"/>
      <c r="FY929" s="4"/>
      <c r="FZ929" s="4"/>
      <c r="GA929" s="4"/>
      <c r="GB929" s="4"/>
      <c r="GC929" s="4"/>
      <c r="GD929" s="4"/>
      <c r="GE929" s="4"/>
      <c r="GF929" s="4"/>
      <c r="GG929" s="4"/>
      <c r="GH929" s="4"/>
      <c r="GI929" s="4"/>
      <c r="GJ929" s="4"/>
      <c r="GK929" s="4"/>
      <c r="GL929" s="4"/>
      <c r="GM929" s="4"/>
      <c r="GN929" s="4"/>
      <c r="GO929" s="4"/>
      <c r="GP929" s="4"/>
      <c r="GQ929" s="4"/>
      <c r="GR929" s="4"/>
      <c r="GS929" s="4"/>
      <c r="GT929" s="4"/>
      <c r="GU929" s="4"/>
      <c r="GV929" s="4"/>
      <c r="GW929" s="4"/>
      <c r="GX929" s="4"/>
    </row>
    <row r="930">
      <c r="A930" s="2" t="s">
        <v>5485</v>
      </c>
      <c r="B930" s="2" t="s">
        <v>542</v>
      </c>
      <c r="C930" s="2" t="s">
        <v>668</v>
      </c>
      <c r="D930" s="2" t="s">
        <v>1052</v>
      </c>
      <c r="E930" s="2" t="s">
        <v>1053</v>
      </c>
      <c r="F930" s="2" t="s">
        <v>5486</v>
      </c>
      <c r="G930" s="2" t="s">
        <v>5486</v>
      </c>
      <c r="H930" s="2" t="s">
        <v>5486</v>
      </c>
      <c r="I930" s="2" t="s">
        <v>5487</v>
      </c>
      <c r="J930" s="2" t="s">
        <v>548</v>
      </c>
      <c r="K930" s="2" t="s">
        <v>223</v>
      </c>
      <c r="L930" s="3">
        <v>41.27</v>
      </c>
      <c r="M930" s="3">
        <v>43.33</v>
      </c>
      <c r="N930" s="3">
        <v>84.99</v>
      </c>
      <c r="O930" s="2" t="s">
        <v>224</v>
      </c>
      <c r="P930" s="2" t="s">
        <v>225</v>
      </c>
      <c r="Q930" s="2" t="s">
        <v>226</v>
      </c>
      <c r="R930" s="2" t="s">
        <v>227</v>
      </c>
      <c r="S930" s="2" t="s">
        <v>5488</v>
      </c>
      <c r="T930" s="2" t="s">
        <v>227</v>
      </c>
      <c r="U930" s="2" t="s">
        <v>674</v>
      </c>
      <c r="V930" s="2" t="s">
        <v>945</v>
      </c>
      <c r="W930" s="2" t="s">
        <v>836</v>
      </c>
      <c r="X930" s="2" t="s">
        <v>227</v>
      </c>
      <c r="Y930" s="2" t="s">
        <v>232</v>
      </c>
      <c r="Z930" s="4">
        <v>72</v>
      </c>
      <c r="AA930" s="4">
        <f>=ROUNDDOWN(24,0)</f>
      </c>
      <c r="AB930" s="5">
        <v>3</v>
      </c>
      <c r="AC930" s="2" t="s">
        <v>227</v>
      </c>
      <c r="AD930" s="4"/>
      <c r="AE930" s="4"/>
      <c r="AF930" s="6">
        <v>63</v>
      </c>
      <c r="AG930" s="6"/>
      <c r="AH930" s="7">
        <v>1</v>
      </c>
      <c r="AI930" s="4"/>
      <c r="AJ930" s="4">
        <f>=ROUNDDOWN({0},0)</f>
      </c>
      <c r="AK930" s="5"/>
      <c r="AL930" s="2" t="s">
        <v>227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/>
      <c r="AW930" s="8"/>
      <c r="AX930" s="4"/>
      <c r="AY930" s="8"/>
      <c r="AZ930" s="7"/>
      <c r="BA930" s="7"/>
      <c r="BB930" s="7"/>
      <c r="BC930" s="4"/>
      <c r="BD930" s="8"/>
      <c r="BE930" s="4"/>
      <c r="BF930" s="8"/>
      <c r="BG930" s="7"/>
      <c r="BH930" s="7"/>
      <c r="BI930" s="7"/>
      <c r="BJ930" s="4">
        <v>14</v>
      </c>
      <c r="BK930" s="8">
        <v>690.41</v>
      </c>
      <c r="BL930" s="2" t="s">
        <v>5489</v>
      </c>
      <c r="BM930" s="7"/>
      <c r="BN930" s="7"/>
      <c r="BO930" s="4"/>
      <c r="BP930" s="8"/>
      <c r="BQ930" s="4"/>
      <c r="BR930" s="8"/>
      <c r="BS930" s="7"/>
      <c r="BT930" s="7"/>
      <c r="BU930" s="2" t="s">
        <v>5490</v>
      </c>
      <c r="BV930" s="2" t="s">
        <v>227</v>
      </c>
      <c r="BW930" s="2" t="s">
        <v>227</v>
      </c>
      <c r="BX930" s="2" t="s">
        <v>235</v>
      </c>
      <c r="BY930" s="2" t="s">
        <v>236</v>
      </c>
      <c r="BZ930" s="2" t="s">
        <v>224</v>
      </c>
      <c r="CA930" s="2" t="s">
        <v>237</v>
      </c>
      <c r="CB930" s="2" t="s">
        <v>5491</v>
      </c>
      <c r="CC930" s="2" t="s">
        <v>239</v>
      </c>
      <c r="CD930" s="2" t="s">
        <v>227</v>
      </c>
      <c r="CE930" s="4">
        <v>2</v>
      </c>
      <c r="CF930" s="4">
        <v>70</v>
      </c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/>
      <c r="FA930" s="4"/>
      <c r="FB930" s="4"/>
      <c r="FC930" s="4"/>
      <c r="FD930" s="4"/>
      <c r="FE930" s="4"/>
      <c r="FF930" s="4"/>
      <c r="FG930" s="4"/>
      <c r="FH930" s="4"/>
      <c r="FI930" s="4"/>
      <c r="FJ930" s="4"/>
      <c r="FK930" s="4"/>
      <c r="FL930" s="4"/>
      <c r="FM930" s="4"/>
      <c r="FN930" s="4"/>
      <c r="FO930" s="4"/>
      <c r="FP930" s="4"/>
      <c r="FQ930" s="4"/>
      <c r="FR930" s="4"/>
      <c r="FS930" s="4"/>
      <c r="FT930" s="4"/>
      <c r="FU930" s="4"/>
      <c r="FV930" s="4"/>
      <c r="FW930" s="4"/>
      <c r="FX930" s="4"/>
      <c r="FY930" s="4"/>
      <c r="FZ930" s="4"/>
      <c r="GA930" s="4"/>
      <c r="GB930" s="4"/>
      <c r="GC930" s="4"/>
      <c r="GD930" s="4"/>
      <c r="GE930" s="4"/>
      <c r="GF930" s="4"/>
      <c r="GG930" s="4"/>
      <c r="GH930" s="4"/>
      <c r="GI930" s="4"/>
      <c r="GJ930" s="4"/>
      <c r="GK930" s="4"/>
      <c r="GL930" s="4"/>
      <c r="GM930" s="4"/>
      <c r="GN930" s="4"/>
      <c r="GO930" s="4"/>
      <c r="GP930" s="4"/>
      <c r="GQ930" s="4"/>
      <c r="GR930" s="4"/>
      <c r="GS930" s="4"/>
      <c r="GT930" s="4"/>
      <c r="GU930" s="4"/>
      <c r="GV930" s="4"/>
      <c r="GW930" s="4"/>
      <c r="GX930" s="4"/>
    </row>
    <row r="931">
      <c r="A931" s="2" t="s">
        <v>5492</v>
      </c>
      <c r="B931" s="2" t="s">
        <v>618</v>
      </c>
      <c r="C931" s="2" t="s">
        <v>619</v>
      </c>
      <c r="D931" s="2" t="s">
        <v>687</v>
      </c>
      <c r="E931" s="2" t="s">
        <v>699</v>
      </c>
      <c r="F931" s="2" t="s">
        <v>5493</v>
      </c>
      <c r="G931" s="2" t="s">
        <v>5494</v>
      </c>
      <c r="H931" s="2" t="s">
        <v>5495</v>
      </c>
      <c r="I931" s="2" t="s">
        <v>5496</v>
      </c>
      <c r="J931" s="2" t="s">
        <v>626</v>
      </c>
      <c r="K931" s="2" t="s">
        <v>5497</v>
      </c>
      <c r="L931" s="3">
        <v>38.09</v>
      </c>
      <c r="M931" s="3">
        <v>39.99</v>
      </c>
      <c r="N931" s="3">
        <v>79.99</v>
      </c>
      <c r="O931" s="2" t="s">
        <v>224</v>
      </c>
      <c r="P931" s="2" t="s">
        <v>225</v>
      </c>
      <c r="Q931" s="2" t="s">
        <v>226</v>
      </c>
      <c r="R931" s="2" t="s">
        <v>227</v>
      </c>
      <c r="S931" s="2" t="s">
        <v>5498</v>
      </c>
      <c r="T931" s="2" t="s">
        <v>1698</v>
      </c>
      <c r="U931" s="2" t="s">
        <v>287</v>
      </c>
      <c r="V931" s="2" t="s">
        <v>230</v>
      </c>
      <c r="W931" s="2" t="s">
        <v>231</v>
      </c>
      <c r="X931" s="2" t="s">
        <v>581</v>
      </c>
      <c r="Y931" s="2" t="s">
        <v>5499</v>
      </c>
      <c r="Z931" s="4">
        <v>514</v>
      </c>
      <c r="AA931" s="4">
        <f>=ROUNDDOWN(23.3636363636364,0)</f>
      </c>
      <c r="AB931" s="5">
        <v>22</v>
      </c>
      <c r="AC931" s="2" t="s">
        <v>203</v>
      </c>
      <c r="AD931" s="4">
        <v>300</v>
      </c>
      <c r="AE931" s="4">
        <v>600</v>
      </c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227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/>
      <c r="AW931" s="8"/>
      <c r="AX931" s="4"/>
      <c r="AY931" s="8"/>
      <c r="AZ931" s="7"/>
      <c r="BA931" s="7"/>
      <c r="BB931" s="7"/>
      <c r="BC931" s="4" t="s">
        <v>227</v>
      </c>
      <c r="BD931" s="8" t="s">
        <v>227</v>
      </c>
      <c r="BE931" s="4" t="s">
        <v>227</v>
      </c>
      <c r="BF931" s="8" t="s">
        <v>227</v>
      </c>
      <c r="BG931" s="7" t="s">
        <v>227</v>
      </c>
      <c r="BH931" s="7" t="s">
        <v>227</v>
      </c>
      <c r="BI931" s="7"/>
      <c r="BJ931" s="4">
        <v>51</v>
      </c>
      <c r="BK931" s="8">
        <v>2230.14</v>
      </c>
      <c r="BL931" s="2" t="s">
        <v>1731</v>
      </c>
      <c r="BM931" s="7"/>
      <c r="BN931" s="7"/>
      <c r="BO931" s="4"/>
      <c r="BP931" s="8"/>
      <c r="BQ931" s="4"/>
      <c r="BR931" s="8"/>
      <c r="BS931" s="7"/>
      <c r="BT931" s="7"/>
      <c r="BU931" s="2" t="s">
        <v>5500</v>
      </c>
      <c r="BV931" s="2" t="s">
        <v>227</v>
      </c>
      <c r="BW931" s="2" t="s">
        <v>227</v>
      </c>
      <c r="BX931" s="2" t="s">
        <v>711</v>
      </c>
      <c r="BY931" s="2" t="s">
        <v>236</v>
      </c>
      <c r="BZ931" s="2" t="s">
        <v>224</v>
      </c>
      <c r="CA931" s="2" t="s">
        <v>5501</v>
      </c>
      <c r="CB931" s="2" t="s">
        <v>227</v>
      </c>
      <c r="CC931" s="2" t="s">
        <v>239</v>
      </c>
      <c r="CD931" s="2" t="s">
        <v>227</v>
      </c>
      <c r="CE931" s="4">
        <v>514</v>
      </c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/>
      <c r="FB931" s="4"/>
      <c r="FC931" s="4"/>
      <c r="FD931" s="4"/>
      <c r="FE931" s="4"/>
      <c r="FF931" s="4"/>
      <c r="FG931" s="4"/>
      <c r="FH931" s="4"/>
      <c r="FI931" s="4"/>
      <c r="FJ931" s="4"/>
      <c r="FK931" s="4"/>
      <c r="FL931" s="4"/>
      <c r="FM931" s="4"/>
      <c r="FN931" s="4"/>
      <c r="FO931" s="4"/>
      <c r="FP931" s="4"/>
      <c r="FQ931" s="4"/>
      <c r="FR931" s="4"/>
      <c r="FS931" s="4"/>
      <c r="FT931" s="4"/>
      <c r="FU931" s="4"/>
      <c r="FV931" s="4"/>
      <c r="FW931" s="4"/>
      <c r="FX931" s="4"/>
      <c r="FY931" s="4"/>
      <c r="FZ931" s="4"/>
      <c r="GA931" s="4"/>
      <c r="GB931" s="4"/>
      <c r="GC931" s="4"/>
      <c r="GD931" s="4"/>
      <c r="GE931" s="4"/>
      <c r="GF931" s="4"/>
      <c r="GG931" s="4"/>
      <c r="GH931" s="4"/>
      <c r="GI931" s="4"/>
      <c r="GJ931" s="4"/>
      <c r="GK931" s="4"/>
      <c r="GL931" s="4"/>
      <c r="GM931" s="4">
        <v>300</v>
      </c>
      <c r="GN931" s="4"/>
      <c r="GO931" s="4"/>
      <c r="GP931" s="4"/>
      <c r="GQ931" s="4"/>
      <c r="GR931" s="4"/>
      <c r="GS931" s="4">
        <v>300</v>
      </c>
      <c r="GT931" s="4"/>
      <c r="GU931" s="4"/>
      <c r="GV931" s="4"/>
      <c r="GW931" s="4"/>
      <c r="GX931" s="4"/>
    </row>
    <row r="932">
      <c r="A932" s="2" t="s">
        <v>5502</v>
      </c>
      <c r="B932" s="2" t="s">
        <v>618</v>
      </c>
      <c r="C932" s="2" t="s">
        <v>619</v>
      </c>
      <c r="D932" s="2" t="s">
        <v>687</v>
      </c>
      <c r="E932" s="2" t="s">
        <v>699</v>
      </c>
      <c r="F932" s="2" t="s">
        <v>5493</v>
      </c>
      <c r="G932" s="2" t="s">
        <v>5494</v>
      </c>
      <c r="H932" s="2" t="s">
        <v>5495</v>
      </c>
      <c r="I932" s="2" t="s">
        <v>5496</v>
      </c>
      <c r="J932" s="2" t="s">
        <v>1304</v>
      </c>
      <c r="K932" s="2" t="s">
        <v>5503</v>
      </c>
      <c r="L932" s="3">
        <v>33.33</v>
      </c>
      <c r="M932" s="3">
        <v>35</v>
      </c>
      <c r="N932" s="3">
        <v>69.99</v>
      </c>
      <c r="O932" s="2" t="s">
        <v>224</v>
      </c>
      <c r="P932" s="2" t="s">
        <v>225</v>
      </c>
      <c r="Q932" s="2" t="s">
        <v>226</v>
      </c>
      <c r="R932" s="2" t="s">
        <v>227</v>
      </c>
      <c r="S932" s="2" t="s">
        <v>5504</v>
      </c>
      <c r="T932" s="2" t="s">
        <v>1698</v>
      </c>
      <c r="U932" s="2" t="s">
        <v>674</v>
      </c>
      <c r="V932" s="2" t="s">
        <v>230</v>
      </c>
      <c r="W932" s="2" t="s">
        <v>231</v>
      </c>
      <c r="X932" s="2" t="s">
        <v>581</v>
      </c>
      <c r="Y932" s="2" t="s">
        <v>5505</v>
      </c>
      <c r="Z932" s="4">
        <v>411</v>
      </c>
      <c r="AA932" s="4">
        <f>=ROUNDDOWN(27.4,0)</f>
      </c>
      <c r="AB932" s="5">
        <v>15</v>
      </c>
      <c r="AC932" s="2" t="s">
        <v>203</v>
      </c>
      <c r="AD932" s="4">
        <v>200</v>
      </c>
      <c r="AE932" s="4">
        <v>400</v>
      </c>
      <c r="AF932" s="6">
        <v>65</v>
      </c>
      <c r="AG932" s="6"/>
      <c r="AH932" s="7">
        <v>1</v>
      </c>
      <c r="AI932" s="4"/>
      <c r="AJ932" s="4">
        <f>=ROUNDDOWN({0},0)</f>
      </c>
      <c r="AK932" s="5"/>
      <c r="AL932" s="2" t="s">
        <v>227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227</v>
      </c>
      <c r="AW932" s="8" t="s">
        <v>227</v>
      </c>
      <c r="AX932" s="4" t="s">
        <v>227</v>
      </c>
      <c r="AY932" s="8" t="s">
        <v>227</v>
      </c>
      <c r="AZ932" s="7" t="s">
        <v>227</v>
      </c>
      <c r="BA932" s="7" t="s">
        <v>227</v>
      </c>
      <c r="BB932" s="7"/>
      <c r="BC932" s="4" t="s">
        <v>227</v>
      </c>
      <c r="BD932" s="8" t="s">
        <v>227</v>
      </c>
      <c r="BE932" s="4" t="s">
        <v>227</v>
      </c>
      <c r="BF932" s="8" t="s">
        <v>227</v>
      </c>
      <c r="BG932" s="7" t="s">
        <v>227</v>
      </c>
      <c r="BH932" s="7" t="s">
        <v>227</v>
      </c>
      <c r="BI932" s="7"/>
      <c r="BJ932" s="4">
        <v>36</v>
      </c>
      <c r="BK932" s="8">
        <v>1378.3</v>
      </c>
      <c r="BL932" s="2" t="s">
        <v>1091</v>
      </c>
      <c r="BM932" s="7"/>
      <c r="BN932" s="7"/>
      <c r="BO932" s="4"/>
      <c r="BP932" s="8"/>
      <c r="BQ932" s="4"/>
      <c r="BR932" s="8"/>
      <c r="BS932" s="7"/>
      <c r="BT932" s="7"/>
      <c r="BU932" s="2" t="s">
        <v>5506</v>
      </c>
      <c r="BV932" s="2" t="s">
        <v>227</v>
      </c>
      <c r="BW932" s="2" t="s">
        <v>227</v>
      </c>
      <c r="BX932" s="2" t="s">
        <v>711</v>
      </c>
      <c r="BY932" s="2" t="s">
        <v>236</v>
      </c>
      <c r="BZ932" s="2" t="s">
        <v>224</v>
      </c>
      <c r="CA932" s="2" t="s">
        <v>5501</v>
      </c>
      <c r="CB932" s="2" t="s">
        <v>227</v>
      </c>
      <c r="CC932" s="2" t="s">
        <v>239</v>
      </c>
      <c r="CD932" s="2" t="s">
        <v>227</v>
      </c>
      <c r="CE932" s="4">
        <v>411</v>
      </c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/>
      <c r="FB932" s="4"/>
      <c r="FC932" s="4"/>
      <c r="FD932" s="4"/>
      <c r="FE932" s="4"/>
      <c r="FF932" s="4"/>
      <c r="FG932" s="4"/>
      <c r="FH932" s="4"/>
      <c r="FI932" s="4"/>
      <c r="FJ932" s="4"/>
      <c r="FK932" s="4"/>
      <c r="FL932" s="4"/>
      <c r="FM932" s="4"/>
      <c r="FN932" s="4"/>
      <c r="FO932" s="4"/>
      <c r="FP932" s="4"/>
      <c r="FQ932" s="4"/>
      <c r="FR932" s="4"/>
      <c r="FS932" s="4"/>
      <c r="FT932" s="4"/>
      <c r="FU932" s="4"/>
      <c r="FV932" s="4"/>
      <c r="FW932" s="4"/>
      <c r="FX932" s="4"/>
      <c r="FY932" s="4"/>
      <c r="FZ932" s="4"/>
      <c r="GA932" s="4"/>
      <c r="GB932" s="4"/>
      <c r="GC932" s="4"/>
      <c r="GD932" s="4"/>
      <c r="GE932" s="4"/>
      <c r="GF932" s="4"/>
      <c r="GG932" s="4"/>
      <c r="GH932" s="4"/>
      <c r="GI932" s="4"/>
      <c r="GJ932" s="4"/>
      <c r="GK932" s="4"/>
      <c r="GL932" s="4"/>
      <c r="GM932" s="4">
        <v>200</v>
      </c>
      <c r="GN932" s="4"/>
      <c r="GO932" s="4"/>
      <c r="GP932" s="4"/>
      <c r="GQ932" s="4"/>
      <c r="GR932" s="4"/>
      <c r="GS932" s="4">
        <v>200</v>
      </c>
      <c r="GT932" s="4"/>
      <c r="GU932" s="4"/>
      <c r="GV932" s="4"/>
      <c r="GW932" s="4"/>
      <c r="GX932" s="4"/>
    </row>
    <row r="933">
      <c r="A933" s="2" t="s">
        <v>5507</v>
      </c>
      <c r="B933" s="2" t="s">
        <v>618</v>
      </c>
      <c r="C933" s="2" t="s">
        <v>619</v>
      </c>
      <c r="D933" s="2" t="s">
        <v>687</v>
      </c>
      <c r="E933" s="2" t="s">
        <v>699</v>
      </c>
      <c r="F933" s="2" t="s">
        <v>5493</v>
      </c>
      <c r="G933" s="2" t="s">
        <v>5494</v>
      </c>
      <c r="H933" s="2" t="s">
        <v>5495</v>
      </c>
      <c r="I933" s="2" t="s">
        <v>5496</v>
      </c>
      <c r="J933" s="2" t="s">
        <v>626</v>
      </c>
      <c r="K933" s="2" t="s">
        <v>5503</v>
      </c>
      <c r="L933" s="3">
        <v>38.09</v>
      </c>
      <c r="M933" s="3">
        <v>39.99</v>
      </c>
      <c r="N933" s="3">
        <v>79.99</v>
      </c>
      <c r="O933" s="2" t="s">
        <v>224</v>
      </c>
      <c r="P933" s="2" t="s">
        <v>225</v>
      </c>
      <c r="Q933" s="2" t="s">
        <v>226</v>
      </c>
      <c r="R933" s="2" t="s">
        <v>227</v>
      </c>
      <c r="S933" s="2" t="s">
        <v>5504</v>
      </c>
      <c r="T933" s="2" t="s">
        <v>1698</v>
      </c>
      <c r="U933" s="2" t="s">
        <v>287</v>
      </c>
      <c r="V933" s="2" t="s">
        <v>230</v>
      </c>
      <c r="W933" s="2" t="s">
        <v>231</v>
      </c>
      <c r="X933" s="2" t="s">
        <v>581</v>
      </c>
      <c r="Y933" s="2" t="s">
        <v>5505</v>
      </c>
      <c r="Z933" s="4">
        <v>542</v>
      </c>
      <c r="AA933" s="4">
        <f>=ROUNDDOWN(20.8461538461538,0)</f>
      </c>
      <c r="AB933" s="5">
        <v>26</v>
      </c>
      <c r="AC933" s="2" t="s">
        <v>203</v>
      </c>
      <c r="AD933" s="4">
        <v>300</v>
      </c>
      <c r="AE933" s="4">
        <v>600</v>
      </c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227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227</v>
      </c>
      <c r="AW933" s="8" t="s">
        <v>227</v>
      </c>
      <c r="AX933" s="4" t="s">
        <v>227</v>
      </c>
      <c r="AY933" s="8" t="s">
        <v>227</v>
      </c>
      <c r="AZ933" s="7" t="s">
        <v>227</v>
      </c>
      <c r="BA933" s="7" t="s">
        <v>227</v>
      </c>
      <c r="BB933" s="7"/>
      <c r="BC933" s="4" t="s">
        <v>227</v>
      </c>
      <c r="BD933" s="8" t="s">
        <v>227</v>
      </c>
      <c r="BE933" s="4" t="s">
        <v>227</v>
      </c>
      <c r="BF933" s="8" t="s">
        <v>227</v>
      </c>
      <c r="BG933" s="7" t="s">
        <v>227</v>
      </c>
      <c r="BH933" s="7" t="s">
        <v>227</v>
      </c>
      <c r="BI933" s="7"/>
      <c r="BJ933" s="4">
        <v>56</v>
      </c>
      <c r="BK933" s="8">
        <v>2441.55</v>
      </c>
      <c r="BL933" s="2" t="s">
        <v>3806</v>
      </c>
      <c r="BM933" s="7"/>
      <c r="BN933" s="7"/>
      <c r="BO933" s="4"/>
      <c r="BP933" s="8"/>
      <c r="BQ933" s="4"/>
      <c r="BR933" s="8"/>
      <c r="BS933" s="7"/>
      <c r="BT933" s="7"/>
      <c r="BU933" s="2" t="s">
        <v>5508</v>
      </c>
      <c r="BV933" s="2" t="s">
        <v>227</v>
      </c>
      <c r="BW933" s="2" t="s">
        <v>227</v>
      </c>
      <c r="BX933" s="2" t="s">
        <v>711</v>
      </c>
      <c r="BY933" s="2" t="s">
        <v>236</v>
      </c>
      <c r="BZ933" s="2" t="s">
        <v>224</v>
      </c>
      <c r="CA933" s="2" t="s">
        <v>5501</v>
      </c>
      <c r="CB933" s="2" t="s">
        <v>227</v>
      </c>
      <c r="CC933" s="2" t="s">
        <v>239</v>
      </c>
      <c r="CD933" s="2" t="s">
        <v>227</v>
      </c>
      <c r="CE933" s="4">
        <v>542</v>
      </c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/>
      <c r="FB933" s="4"/>
      <c r="FC933" s="4"/>
      <c r="FD933" s="4"/>
      <c r="FE933" s="4"/>
      <c r="FF933" s="4"/>
      <c r="FG933" s="4"/>
      <c r="FH933" s="4"/>
      <c r="FI933" s="4"/>
      <c r="FJ933" s="4"/>
      <c r="FK933" s="4"/>
      <c r="FL933" s="4"/>
      <c r="FM933" s="4"/>
      <c r="FN933" s="4"/>
      <c r="FO933" s="4"/>
      <c r="FP933" s="4"/>
      <c r="FQ933" s="4"/>
      <c r="FR933" s="4"/>
      <c r="FS933" s="4"/>
      <c r="FT933" s="4"/>
      <c r="FU933" s="4"/>
      <c r="FV933" s="4"/>
      <c r="FW933" s="4"/>
      <c r="FX933" s="4"/>
      <c r="FY933" s="4"/>
      <c r="FZ933" s="4"/>
      <c r="GA933" s="4"/>
      <c r="GB933" s="4"/>
      <c r="GC933" s="4"/>
      <c r="GD933" s="4"/>
      <c r="GE933" s="4"/>
      <c r="GF933" s="4"/>
      <c r="GG933" s="4"/>
      <c r="GH933" s="4"/>
      <c r="GI933" s="4"/>
      <c r="GJ933" s="4"/>
      <c r="GK933" s="4"/>
      <c r="GL933" s="4"/>
      <c r="GM933" s="4">
        <v>300</v>
      </c>
      <c r="GN933" s="4"/>
      <c r="GO933" s="4"/>
      <c r="GP933" s="4"/>
      <c r="GQ933" s="4"/>
      <c r="GR933" s="4"/>
      <c r="GS933" s="4">
        <v>300</v>
      </c>
      <c r="GT933" s="4"/>
      <c r="GU933" s="4"/>
      <c r="GV933" s="4"/>
      <c r="GW933" s="4"/>
      <c r="GX933" s="4"/>
    </row>
    <row r="934">
      <c r="A934" s="2" t="s">
        <v>5509</v>
      </c>
      <c r="B934" s="2" t="s">
        <v>715</v>
      </c>
      <c r="C934" s="2" t="s">
        <v>360</v>
      </c>
      <c r="D934" s="2" t="s">
        <v>716</v>
      </c>
      <c r="E934" s="2" t="s">
        <v>1078</v>
      </c>
      <c r="F934" s="2" t="s">
        <v>5510</v>
      </c>
      <c r="G934" s="2" t="s">
        <v>5511</v>
      </c>
      <c r="H934" s="2" t="s">
        <v>5512</v>
      </c>
      <c r="I934" s="2" t="s">
        <v>5513</v>
      </c>
      <c r="J934" s="2" t="s">
        <v>848</v>
      </c>
      <c r="K934" s="2" t="s">
        <v>389</v>
      </c>
      <c r="L934" s="3">
        <v>13.5</v>
      </c>
      <c r="M934" s="3">
        <v>14.18</v>
      </c>
      <c r="N934" s="3">
        <v>29.99</v>
      </c>
      <c r="O934" s="2" t="s">
        <v>224</v>
      </c>
      <c r="P934" s="2" t="s">
        <v>225</v>
      </c>
      <c r="Q934" s="2" t="s">
        <v>226</v>
      </c>
      <c r="R934" s="2" t="s">
        <v>227</v>
      </c>
      <c r="S934" s="2" t="s">
        <v>5514</v>
      </c>
      <c r="T934" s="2" t="s">
        <v>227</v>
      </c>
      <c r="U934" s="2" t="s">
        <v>552</v>
      </c>
      <c r="V934" s="2" t="s">
        <v>230</v>
      </c>
      <c r="W934" s="2" t="s">
        <v>1552</v>
      </c>
      <c r="X934" s="2" t="s">
        <v>1078</v>
      </c>
      <c r="Y934" s="2" t="s">
        <v>4146</v>
      </c>
      <c r="Z934" s="4">
        <v>63</v>
      </c>
      <c r="AA934" s="4">
        <f>=ROUNDDOWN(12.6,0)</f>
      </c>
      <c r="AB934" s="5">
        <v>5</v>
      </c>
      <c r="AC934" s="2" t="s">
        <v>1085</v>
      </c>
      <c r="AD934" s="4">
        <v>188</v>
      </c>
      <c r="AE934" s="4">
        <v>188</v>
      </c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227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/>
      <c r="AW934" s="8"/>
      <c r="AX934" s="4"/>
      <c r="AY934" s="8"/>
      <c r="AZ934" s="7"/>
      <c r="BA934" s="7"/>
      <c r="BB934" s="7"/>
      <c r="BC934" s="4" t="s">
        <v>227</v>
      </c>
      <c r="BD934" s="8" t="s">
        <v>227</v>
      </c>
      <c r="BE934" s="4" t="s">
        <v>227</v>
      </c>
      <c r="BF934" s="8" t="s">
        <v>227</v>
      </c>
      <c r="BG934" s="7" t="s">
        <v>227</v>
      </c>
      <c r="BH934" s="7" t="s">
        <v>227</v>
      </c>
      <c r="BI934" s="7"/>
      <c r="BJ934" s="4">
        <v>4</v>
      </c>
      <c r="BK934" s="8">
        <v>59.52</v>
      </c>
      <c r="BL934" s="2" t="s">
        <v>5515</v>
      </c>
      <c r="BM934" s="7"/>
      <c r="BN934" s="7"/>
      <c r="BO934" s="4"/>
      <c r="BP934" s="8"/>
      <c r="BQ934" s="4"/>
      <c r="BR934" s="8"/>
      <c r="BS934" s="7"/>
      <c r="BT934" s="7"/>
      <c r="BU934" s="2" t="s">
        <v>5516</v>
      </c>
      <c r="BV934" s="2" t="s">
        <v>227</v>
      </c>
      <c r="BW934" s="2" t="s">
        <v>227</v>
      </c>
      <c r="BX934" s="2" t="s">
        <v>235</v>
      </c>
      <c r="BY934" s="2" t="s">
        <v>236</v>
      </c>
      <c r="BZ934" s="2" t="s">
        <v>224</v>
      </c>
      <c r="CA934" s="2" t="s">
        <v>5517</v>
      </c>
      <c r="CB934" s="2" t="s">
        <v>5518</v>
      </c>
      <c r="CC934" s="2" t="s">
        <v>239</v>
      </c>
      <c r="CD934" s="2" t="s">
        <v>227</v>
      </c>
      <c r="CE934" s="4">
        <v>63</v>
      </c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>
        <v>188</v>
      </c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/>
      <c r="FB934" s="4"/>
      <c r="FC934" s="4"/>
      <c r="FD934" s="4"/>
      <c r="FE934" s="4"/>
      <c r="FF934" s="4"/>
      <c r="FG934" s="4"/>
      <c r="FH934" s="4"/>
      <c r="FI934" s="4"/>
      <c r="FJ934" s="4"/>
      <c r="FK934" s="4"/>
      <c r="FL934" s="4"/>
      <c r="FM934" s="4"/>
      <c r="FN934" s="4"/>
      <c r="FO934" s="4"/>
      <c r="FP934" s="4"/>
      <c r="FQ934" s="4"/>
      <c r="FR934" s="4"/>
      <c r="FS934" s="4"/>
      <c r="FT934" s="4"/>
      <c r="FU934" s="4"/>
      <c r="FV934" s="4"/>
      <c r="FW934" s="4"/>
      <c r="FX934" s="4"/>
      <c r="FY934" s="4"/>
      <c r="FZ934" s="4"/>
      <c r="GA934" s="4"/>
      <c r="GB934" s="4"/>
      <c r="GC934" s="4"/>
      <c r="GD934" s="4"/>
      <c r="GE934" s="4"/>
      <c r="GF934" s="4"/>
      <c r="GG934" s="4"/>
      <c r="GH934" s="4"/>
      <c r="GI934" s="4"/>
      <c r="GJ934" s="4"/>
      <c r="GK934" s="4"/>
      <c r="GL934" s="4"/>
      <c r="GM934" s="4"/>
      <c r="GN934" s="4"/>
      <c r="GO934" s="4"/>
      <c r="GP934" s="4"/>
      <c r="GQ934" s="4"/>
      <c r="GR934" s="4"/>
      <c r="GS934" s="4"/>
      <c r="GT934" s="4"/>
      <c r="GU934" s="4"/>
      <c r="GV934" s="4"/>
      <c r="GW934" s="4"/>
      <c r="GX934" s="4"/>
    </row>
    <row r="935">
      <c r="A935" s="2" t="s">
        <v>5519</v>
      </c>
      <c r="B935" s="2" t="s">
        <v>715</v>
      </c>
      <c r="C935" s="2" t="s">
        <v>360</v>
      </c>
      <c r="D935" s="2" t="s">
        <v>716</v>
      </c>
      <c r="E935" s="2" t="s">
        <v>1078</v>
      </c>
      <c r="F935" s="2" t="s">
        <v>5510</v>
      </c>
      <c r="G935" s="2" t="s">
        <v>5511</v>
      </c>
      <c r="H935" s="2" t="s">
        <v>5512</v>
      </c>
      <c r="I935" s="2" t="s">
        <v>5513</v>
      </c>
      <c r="J935" s="2" t="s">
        <v>808</v>
      </c>
      <c r="K935" s="2" t="s">
        <v>410</v>
      </c>
      <c r="L935" s="3">
        <v>17.2</v>
      </c>
      <c r="M935" s="3">
        <v>18.06</v>
      </c>
      <c r="N935" s="3">
        <v>39.99</v>
      </c>
      <c r="O935" s="2" t="s">
        <v>224</v>
      </c>
      <c r="P935" s="2" t="s">
        <v>225</v>
      </c>
      <c r="Q935" s="2" t="s">
        <v>226</v>
      </c>
      <c r="R935" s="2" t="s">
        <v>227</v>
      </c>
      <c r="S935" s="2" t="s">
        <v>5520</v>
      </c>
      <c r="T935" s="2" t="s">
        <v>227</v>
      </c>
      <c r="U935" s="2" t="s">
        <v>552</v>
      </c>
      <c r="V935" s="2" t="s">
        <v>230</v>
      </c>
      <c r="W935" s="2" t="s">
        <v>1552</v>
      </c>
      <c r="X935" s="2" t="s">
        <v>1078</v>
      </c>
      <c r="Y935" s="2" t="s">
        <v>5521</v>
      </c>
      <c r="Z935" s="4">
        <v>165</v>
      </c>
      <c r="AA935" s="4">
        <f>=ROUNDDOWN(20.625,0)</f>
      </c>
      <c r="AB935" s="5">
        <v>8</v>
      </c>
      <c r="AC935" s="2" t="s">
        <v>1085</v>
      </c>
      <c r="AD935" s="4">
        <v>208</v>
      </c>
      <c r="AE935" s="4">
        <v>212</v>
      </c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227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/>
      <c r="AW935" s="8"/>
      <c r="AX935" s="4"/>
      <c r="AY935" s="8"/>
      <c r="AZ935" s="7"/>
      <c r="BA935" s="7"/>
      <c r="BB935" s="7"/>
      <c r="BC935" s="4" t="s">
        <v>227</v>
      </c>
      <c r="BD935" s="8" t="s">
        <v>227</v>
      </c>
      <c r="BE935" s="4" t="s">
        <v>227</v>
      </c>
      <c r="BF935" s="8" t="s">
        <v>227</v>
      </c>
      <c r="BG935" s="7" t="s">
        <v>227</v>
      </c>
      <c r="BH935" s="7" t="s">
        <v>227</v>
      </c>
      <c r="BI935" s="7"/>
      <c r="BJ935" s="4">
        <v>24</v>
      </c>
      <c r="BK935" s="8">
        <v>442.84</v>
      </c>
      <c r="BL935" s="2" t="s">
        <v>5522</v>
      </c>
      <c r="BM935" s="7"/>
      <c r="BN935" s="7"/>
      <c r="BO935" s="4"/>
      <c r="BP935" s="8"/>
      <c r="BQ935" s="4"/>
      <c r="BR935" s="8"/>
      <c r="BS935" s="7"/>
      <c r="BT935" s="7"/>
      <c r="BU935" s="2" t="s">
        <v>5523</v>
      </c>
      <c r="BV935" s="2" t="s">
        <v>227</v>
      </c>
      <c r="BW935" s="2" t="s">
        <v>227</v>
      </c>
      <c r="BX935" s="2" t="s">
        <v>235</v>
      </c>
      <c r="BY935" s="2" t="s">
        <v>236</v>
      </c>
      <c r="BZ935" s="2" t="s">
        <v>224</v>
      </c>
      <c r="CA935" s="2" t="s">
        <v>5517</v>
      </c>
      <c r="CB935" s="2" t="s">
        <v>2498</v>
      </c>
      <c r="CC935" s="2" t="s">
        <v>239</v>
      </c>
      <c r="CD935" s="2" t="s">
        <v>227</v>
      </c>
      <c r="CE935" s="4">
        <v>165</v>
      </c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>
        <v>208</v>
      </c>
      <c r="DX935" s="4"/>
      <c r="DY935" s="4"/>
      <c r="DZ935" s="4"/>
      <c r="EA935" s="4"/>
      <c r="EB935" s="4"/>
      <c r="EC935" s="4"/>
      <c r="ED935" s="4">
        <v>4</v>
      </c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/>
      <c r="FB935" s="4"/>
      <c r="FC935" s="4"/>
      <c r="FD935" s="4"/>
      <c r="FE935" s="4"/>
      <c r="FF935" s="4"/>
      <c r="FG935" s="4"/>
      <c r="FH935" s="4"/>
      <c r="FI935" s="4"/>
      <c r="FJ935" s="4"/>
      <c r="FK935" s="4"/>
      <c r="FL935" s="4"/>
      <c r="FM935" s="4"/>
      <c r="FN935" s="4"/>
      <c r="FO935" s="4"/>
      <c r="FP935" s="4"/>
      <c r="FQ935" s="4"/>
      <c r="FR935" s="4"/>
      <c r="FS935" s="4"/>
      <c r="FT935" s="4"/>
      <c r="FU935" s="4"/>
      <c r="FV935" s="4"/>
      <c r="FW935" s="4"/>
      <c r="FX935" s="4"/>
      <c r="FY935" s="4"/>
      <c r="FZ935" s="4"/>
      <c r="GA935" s="4"/>
      <c r="GB935" s="4"/>
      <c r="GC935" s="4"/>
      <c r="GD935" s="4"/>
      <c r="GE935" s="4"/>
      <c r="GF935" s="4"/>
      <c r="GG935" s="4"/>
      <c r="GH935" s="4"/>
      <c r="GI935" s="4"/>
      <c r="GJ935" s="4"/>
      <c r="GK935" s="4"/>
      <c r="GL935" s="4"/>
      <c r="GM935" s="4"/>
      <c r="GN935" s="4"/>
      <c r="GO935" s="4"/>
      <c r="GP935" s="4"/>
      <c r="GQ935" s="4"/>
      <c r="GR935" s="4"/>
      <c r="GS935" s="4"/>
      <c r="GT935" s="4"/>
      <c r="GU935" s="4"/>
      <c r="GV935" s="4"/>
      <c r="GW935" s="4"/>
      <c r="GX935" s="4"/>
    </row>
    <row r="936">
      <c r="A936" s="2" t="s">
        <v>5524</v>
      </c>
      <c r="B936" s="2" t="s">
        <v>715</v>
      </c>
      <c r="C936" s="2" t="s">
        <v>360</v>
      </c>
      <c r="D936" s="2" t="s">
        <v>716</v>
      </c>
      <c r="E936" s="2" t="s">
        <v>1078</v>
      </c>
      <c r="F936" s="2" t="s">
        <v>5510</v>
      </c>
      <c r="G936" s="2" t="s">
        <v>5511</v>
      </c>
      <c r="H936" s="2" t="s">
        <v>5512</v>
      </c>
      <c r="I936" s="2" t="s">
        <v>5513</v>
      </c>
      <c r="J936" s="2" t="s">
        <v>808</v>
      </c>
      <c r="K936" s="2" t="s">
        <v>4093</v>
      </c>
      <c r="L936" s="3">
        <v>17.2</v>
      </c>
      <c r="M936" s="3">
        <v>18.06</v>
      </c>
      <c r="N936" s="3">
        <v>39.99</v>
      </c>
      <c r="O936" s="2" t="s">
        <v>224</v>
      </c>
      <c r="P936" s="2" t="s">
        <v>225</v>
      </c>
      <c r="Q936" s="2" t="s">
        <v>226</v>
      </c>
      <c r="R936" s="2" t="s">
        <v>227</v>
      </c>
      <c r="S936" s="2" t="s">
        <v>5525</v>
      </c>
      <c r="T936" s="2" t="s">
        <v>227</v>
      </c>
      <c r="U936" s="2" t="s">
        <v>552</v>
      </c>
      <c r="V936" s="2" t="s">
        <v>230</v>
      </c>
      <c r="W936" s="2" t="s">
        <v>1552</v>
      </c>
      <c r="X936" s="2" t="s">
        <v>1078</v>
      </c>
      <c r="Y936" s="2" t="s">
        <v>558</v>
      </c>
      <c r="Z936" s="4">
        <v>318</v>
      </c>
      <c r="AA936" s="4">
        <f>=ROUNDDOWN(45.4285714285714,0)</f>
      </c>
      <c r="AB936" s="5">
        <v>7</v>
      </c>
      <c r="AC936" s="2" t="s">
        <v>227</v>
      </c>
      <c r="AD936" s="4"/>
      <c r="AE936" s="4"/>
      <c r="AF936" s="6">
        <v>65</v>
      </c>
      <c r="AG936" s="6"/>
      <c r="AH936" s="7">
        <v>1</v>
      </c>
      <c r="AI936" s="4"/>
      <c r="AJ936" s="4">
        <f>=ROUNDDOWN({0},0)</f>
      </c>
      <c r="AK936" s="5"/>
      <c r="AL936" s="2" t="s">
        <v>227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/>
      <c r="AW936" s="8"/>
      <c r="AX936" s="4"/>
      <c r="AY936" s="8"/>
      <c r="AZ936" s="7"/>
      <c r="BA936" s="7"/>
      <c r="BB936" s="7"/>
      <c r="BC936" s="4" t="s">
        <v>227</v>
      </c>
      <c r="BD936" s="8" t="s">
        <v>227</v>
      </c>
      <c r="BE936" s="4" t="s">
        <v>227</v>
      </c>
      <c r="BF936" s="8" t="s">
        <v>227</v>
      </c>
      <c r="BG936" s="7" t="s">
        <v>227</v>
      </c>
      <c r="BH936" s="7" t="s">
        <v>227</v>
      </c>
      <c r="BI936" s="7"/>
      <c r="BJ936" s="4">
        <v>17</v>
      </c>
      <c r="BK936" s="8">
        <v>302.42</v>
      </c>
      <c r="BL936" s="2" t="s">
        <v>5526</v>
      </c>
      <c r="BM936" s="7"/>
      <c r="BN936" s="7"/>
      <c r="BO936" s="4"/>
      <c r="BP936" s="8"/>
      <c r="BQ936" s="4"/>
      <c r="BR936" s="8"/>
      <c r="BS936" s="7"/>
      <c r="BT936" s="7"/>
      <c r="BU936" s="2" t="s">
        <v>5527</v>
      </c>
      <c r="BV936" s="2" t="s">
        <v>227</v>
      </c>
      <c r="BW936" s="2" t="s">
        <v>227</v>
      </c>
      <c r="BX936" s="2" t="s">
        <v>235</v>
      </c>
      <c r="BY936" s="2" t="s">
        <v>236</v>
      </c>
      <c r="BZ936" s="2" t="s">
        <v>224</v>
      </c>
      <c r="CA936" s="2" t="s">
        <v>5528</v>
      </c>
      <c r="CB936" s="2" t="s">
        <v>5529</v>
      </c>
      <c r="CC936" s="2" t="s">
        <v>239</v>
      </c>
      <c r="CD936" s="2" t="s">
        <v>227</v>
      </c>
      <c r="CE936" s="4">
        <v>318</v>
      </c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/>
      <c r="FA936" s="4"/>
      <c r="FB936" s="4"/>
      <c r="FC936" s="4"/>
      <c r="FD936" s="4"/>
      <c r="FE936" s="4"/>
      <c r="FF936" s="4"/>
      <c r="FG936" s="4"/>
      <c r="FH936" s="4"/>
      <c r="FI936" s="4"/>
      <c r="FJ936" s="4"/>
      <c r="FK936" s="4"/>
      <c r="FL936" s="4"/>
      <c r="FM936" s="4"/>
      <c r="FN936" s="4"/>
      <c r="FO936" s="4"/>
      <c r="FP936" s="4"/>
      <c r="FQ936" s="4"/>
      <c r="FR936" s="4"/>
      <c r="FS936" s="4"/>
      <c r="FT936" s="4"/>
      <c r="FU936" s="4"/>
      <c r="FV936" s="4"/>
      <c r="FW936" s="4"/>
      <c r="FX936" s="4"/>
      <c r="FY936" s="4"/>
      <c r="FZ936" s="4"/>
      <c r="GA936" s="4"/>
      <c r="GB936" s="4"/>
      <c r="GC936" s="4"/>
      <c r="GD936" s="4"/>
      <c r="GE936" s="4"/>
      <c r="GF936" s="4"/>
      <c r="GG936" s="4"/>
      <c r="GH936" s="4"/>
      <c r="GI936" s="4"/>
      <c r="GJ936" s="4"/>
      <c r="GK936" s="4"/>
      <c r="GL936" s="4"/>
      <c r="GM936" s="4"/>
      <c r="GN936" s="4"/>
      <c r="GO936" s="4"/>
      <c r="GP936" s="4"/>
      <c r="GQ936" s="4"/>
      <c r="GR936" s="4"/>
      <c r="GS936" s="4"/>
      <c r="GT936" s="4"/>
      <c r="GU936" s="4"/>
      <c r="GV936" s="4"/>
      <c r="GW936" s="4"/>
      <c r="GX936" s="4"/>
    </row>
    <row r="937">
      <c r="A937" s="2" t="s">
        <v>5530</v>
      </c>
      <c r="B937" s="2" t="s">
        <v>715</v>
      </c>
      <c r="C937" s="2" t="s">
        <v>360</v>
      </c>
      <c r="D937" s="2" t="s">
        <v>716</v>
      </c>
      <c r="E937" s="2" t="s">
        <v>1078</v>
      </c>
      <c r="F937" s="2" t="s">
        <v>5510</v>
      </c>
      <c r="G937" s="2" t="s">
        <v>5511</v>
      </c>
      <c r="H937" s="2" t="s">
        <v>5512</v>
      </c>
      <c r="I937" s="2" t="s">
        <v>5513</v>
      </c>
      <c r="J937" s="2" t="s">
        <v>848</v>
      </c>
      <c r="K937" s="2" t="s">
        <v>264</v>
      </c>
      <c r="L937" s="3">
        <v>13.5</v>
      </c>
      <c r="M937" s="3">
        <v>14.18</v>
      </c>
      <c r="N937" s="3">
        <v>29.99</v>
      </c>
      <c r="O937" s="2" t="s">
        <v>224</v>
      </c>
      <c r="P937" s="2" t="s">
        <v>485</v>
      </c>
      <c r="Q937" s="2" t="s">
        <v>226</v>
      </c>
      <c r="R937" s="2" t="s">
        <v>227</v>
      </c>
      <c r="S937" s="2" t="s">
        <v>5531</v>
      </c>
      <c r="T937" s="2" t="s">
        <v>227</v>
      </c>
      <c r="U937" s="2" t="s">
        <v>552</v>
      </c>
      <c r="V937" s="2" t="s">
        <v>230</v>
      </c>
      <c r="W937" s="2" t="s">
        <v>1552</v>
      </c>
      <c r="X937" s="2" t="s">
        <v>1078</v>
      </c>
      <c r="Y937" s="2" t="s">
        <v>4146</v>
      </c>
      <c r="Z937" s="4">
        <v>145</v>
      </c>
      <c r="AA937" s="4">
        <f>=ROUNDDOWN(20.7142857142857,0)</f>
      </c>
      <c r="AB937" s="5">
        <v>7</v>
      </c>
      <c r="AC937" s="2" t="s">
        <v>2866</v>
      </c>
      <c r="AD937" s="4">
        <v>94</v>
      </c>
      <c r="AE937" s="4">
        <v>94</v>
      </c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227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/>
      <c r="AW937" s="8"/>
      <c r="AX937" s="4"/>
      <c r="AY937" s="8"/>
      <c r="AZ937" s="7"/>
      <c r="BA937" s="7"/>
      <c r="BB937" s="7"/>
      <c r="BC937" s="4" t="s">
        <v>227</v>
      </c>
      <c r="BD937" s="8" t="s">
        <v>227</v>
      </c>
      <c r="BE937" s="4" t="s">
        <v>227</v>
      </c>
      <c r="BF937" s="8" t="s">
        <v>227</v>
      </c>
      <c r="BG937" s="7" t="s">
        <v>227</v>
      </c>
      <c r="BH937" s="7" t="s">
        <v>227</v>
      </c>
      <c r="BI937" s="7"/>
      <c r="BJ937" s="4">
        <v>20</v>
      </c>
      <c r="BK937" s="8">
        <v>287.54</v>
      </c>
      <c r="BL937" s="2" t="s">
        <v>3218</v>
      </c>
      <c r="BM937" s="7"/>
      <c r="BN937" s="7"/>
      <c r="BO937" s="4"/>
      <c r="BP937" s="8"/>
      <c r="BQ937" s="4"/>
      <c r="BR937" s="8"/>
      <c r="BS937" s="7"/>
      <c r="BT937" s="7"/>
      <c r="BU937" s="2" t="s">
        <v>5532</v>
      </c>
      <c r="BV937" s="2" t="s">
        <v>227</v>
      </c>
      <c r="BW937" s="2" t="s">
        <v>227</v>
      </c>
      <c r="BX937" s="2" t="s">
        <v>235</v>
      </c>
      <c r="BY937" s="2" t="s">
        <v>236</v>
      </c>
      <c r="BZ937" s="2" t="s">
        <v>224</v>
      </c>
      <c r="CA937" s="2" t="s">
        <v>5517</v>
      </c>
      <c r="CB937" s="2" t="s">
        <v>2085</v>
      </c>
      <c r="CC937" s="2" t="s">
        <v>239</v>
      </c>
      <c r="CD937" s="2" t="s">
        <v>227</v>
      </c>
      <c r="CE937" s="4">
        <v>145</v>
      </c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>
        <v>94</v>
      </c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/>
      <c r="FD937" s="4"/>
      <c r="FE937" s="4"/>
      <c r="FF937" s="4"/>
      <c r="FG937" s="4"/>
      <c r="FH937" s="4"/>
      <c r="FI937" s="4"/>
      <c r="FJ937" s="4"/>
      <c r="FK937" s="4"/>
      <c r="FL937" s="4"/>
      <c r="FM937" s="4"/>
      <c r="FN937" s="4"/>
      <c r="FO937" s="4"/>
      <c r="FP937" s="4"/>
      <c r="FQ937" s="4"/>
      <c r="FR937" s="4"/>
      <c r="FS937" s="4"/>
      <c r="FT937" s="4"/>
      <c r="FU937" s="4"/>
      <c r="FV937" s="4"/>
      <c r="FW937" s="4"/>
      <c r="FX937" s="4"/>
      <c r="FY937" s="4"/>
      <c r="FZ937" s="4"/>
      <c r="GA937" s="4"/>
      <c r="GB937" s="4"/>
      <c r="GC937" s="4"/>
      <c r="GD937" s="4"/>
      <c r="GE937" s="4"/>
      <c r="GF937" s="4"/>
      <c r="GG937" s="4"/>
      <c r="GH937" s="4"/>
      <c r="GI937" s="4"/>
      <c r="GJ937" s="4"/>
      <c r="GK937" s="4"/>
      <c r="GL937" s="4"/>
      <c r="GM937" s="4"/>
      <c r="GN937" s="4"/>
      <c r="GO937" s="4"/>
      <c r="GP937" s="4"/>
      <c r="GQ937" s="4"/>
      <c r="GR937" s="4"/>
      <c r="GS937" s="4"/>
      <c r="GT937" s="4"/>
      <c r="GU937" s="4"/>
      <c r="GV937" s="4"/>
      <c r="GW937" s="4"/>
      <c r="GX937" s="4"/>
    </row>
    <row r="938">
      <c r="A938" s="2" t="s">
        <v>5533</v>
      </c>
      <c r="B938" s="2" t="s">
        <v>542</v>
      </c>
      <c r="C938" s="2" t="s">
        <v>360</v>
      </c>
      <c r="D938" s="2" t="s">
        <v>1039</v>
      </c>
      <c r="E938" s="2" t="s">
        <v>1377</v>
      </c>
      <c r="F938" s="2" t="s">
        <v>5534</v>
      </c>
      <c r="G938" s="2" t="s">
        <v>5493</v>
      </c>
      <c r="H938" s="2" t="s">
        <v>5535</v>
      </c>
      <c r="I938" s="2" t="s">
        <v>5536</v>
      </c>
      <c r="J938" s="2" t="s">
        <v>548</v>
      </c>
      <c r="K938" s="2" t="s">
        <v>5411</v>
      </c>
      <c r="L938" s="3">
        <v>43.01</v>
      </c>
      <c r="M938" s="3">
        <v>45.16</v>
      </c>
      <c r="N938" s="3">
        <v>79.04</v>
      </c>
      <c r="O938" s="2" t="s">
        <v>224</v>
      </c>
      <c r="P938" s="2" t="s">
        <v>225</v>
      </c>
      <c r="Q938" s="2" t="s">
        <v>226</v>
      </c>
      <c r="R938" s="2" t="s">
        <v>227</v>
      </c>
      <c r="S938" s="2" t="s">
        <v>5537</v>
      </c>
      <c r="T938" s="2" t="s">
        <v>227</v>
      </c>
      <c r="U938" s="2" t="s">
        <v>674</v>
      </c>
      <c r="V938" s="2" t="s">
        <v>301</v>
      </c>
      <c r="W938" s="2" t="s">
        <v>581</v>
      </c>
      <c r="X938" s="2" t="s">
        <v>836</v>
      </c>
      <c r="Y938" s="2" t="s">
        <v>3031</v>
      </c>
      <c r="Z938" s="4">
        <v>129</v>
      </c>
      <c r="AA938" s="4">
        <f>=ROUNDDOWN(18.4285714285714,0)</f>
      </c>
      <c r="AB938" s="5">
        <v>7</v>
      </c>
      <c r="AC938" s="2" t="s">
        <v>5538</v>
      </c>
      <c r="AD938" s="4">
        <v>50</v>
      </c>
      <c r="AE938" s="4">
        <v>100</v>
      </c>
      <c r="AF938" s="6">
        <v>65</v>
      </c>
      <c r="AG938" s="6">
        <v>48</v>
      </c>
      <c r="AH938" s="7">
        <v>1</v>
      </c>
      <c r="AI938" s="4"/>
      <c r="AJ938" s="4">
        <f>=ROUNDDOWN({0},0)</f>
      </c>
      <c r="AK938" s="5"/>
      <c r="AL938" s="2" t="s">
        <v>227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/>
      <c r="AW938" s="8"/>
      <c r="AX938" s="4"/>
      <c r="AY938" s="8"/>
      <c r="AZ938" s="7"/>
      <c r="BA938" s="7"/>
      <c r="BB938" s="7"/>
      <c r="BC938" s="4"/>
      <c r="BD938" s="8"/>
      <c r="BE938" s="4"/>
      <c r="BF938" s="8"/>
      <c r="BG938" s="7"/>
      <c r="BH938" s="7"/>
      <c r="BI938" s="7"/>
      <c r="BJ938" s="4">
        <v>34</v>
      </c>
      <c r="BK938" s="8">
        <v>1783.79</v>
      </c>
      <c r="BL938" s="2" t="s">
        <v>5539</v>
      </c>
      <c r="BM938" s="7"/>
      <c r="BN938" s="7"/>
      <c r="BO938" s="4"/>
      <c r="BP938" s="8"/>
      <c r="BQ938" s="4"/>
      <c r="BR938" s="8"/>
      <c r="BS938" s="7"/>
      <c r="BT938" s="7"/>
      <c r="BU938" s="2" t="s">
        <v>5540</v>
      </c>
      <c r="BV938" s="2" t="s">
        <v>227</v>
      </c>
      <c r="BW938" s="2" t="s">
        <v>227</v>
      </c>
      <c r="BX938" s="2" t="s">
        <v>235</v>
      </c>
      <c r="BY938" s="2" t="s">
        <v>236</v>
      </c>
      <c r="BZ938" s="2" t="s">
        <v>224</v>
      </c>
      <c r="CA938" s="2" t="s">
        <v>3031</v>
      </c>
      <c r="CB938" s="2" t="s">
        <v>5541</v>
      </c>
      <c r="CC938" s="2" t="s">
        <v>239</v>
      </c>
      <c r="CD938" s="2" t="s">
        <v>227</v>
      </c>
      <c r="CE938" s="4"/>
      <c r="CF938" s="4">
        <v>129</v>
      </c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/>
      <c r="FD938" s="4"/>
      <c r="FE938" s="4"/>
      <c r="FF938" s="4"/>
      <c r="FG938" s="4"/>
      <c r="FH938" s="4"/>
      <c r="FI938" s="4">
        <v>50</v>
      </c>
      <c r="FJ938" s="4"/>
      <c r="FK938" s="4"/>
      <c r="FL938" s="4"/>
      <c r="FM938" s="4"/>
      <c r="FN938" s="4"/>
      <c r="FO938" s="4"/>
      <c r="FP938" s="4"/>
      <c r="FQ938" s="4"/>
      <c r="FR938" s="4"/>
      <c r="FS938" s="4"/>
      <c r="FT938" s="4"/>
      <c r="FU938" s="4"/>
      <c r="FV938" s="4"/>
      <c r="FW938" s="4">
        <v>50</v>
      </c>
      <c r="FX938" s="4"/>
      <c r="FY938" s="4"/>
      <c r="FZ938" s="4"/>
      <c r="GA938" s="4"/>
      <c r="GB938" s="4"/>
      <c r="GC938" s="4"/>
      <c r="GD938" s="4"/>
      <c r="GE938" s="4"/>
      <c r="GF938" s="4"/>
      <c r="GG938" s="4"/>
      <c r="GH938" s="4"/>
      <c r="GI938" s="4"/>
      <c r="GJ938" s="4"/>
      <c r="GK938" s="4"/>
      <c r="GL938" s="4"/>
      <c r="GM938" s="4"/>
      <c r="GN938" s="4"/>
      <c r="GO938" s="4"/>
      <c r="GP938" s="4"/>
      <c r="GQ938" s="4"/>
      <c r="GR938" s="4"/>
      <c r="GS938" s="4"/>
      <c r="GT938" s="4"/>
      <c r="GU938" s="4"/>
      <c r="GV938" s="4"/>
      <c r="GW938" s="4"/>
      <c r="GX938" s="4"/>
    </row>
    <row r="939">
      <c r="A939" s="2" t="s">
        <v>5542</v>
      </c>
      <c r="B939" s="2" t="s">
        <v>618</v>
      </c>
      <c r="C939" s="2" t="s">
        <v>1546</v>
      </c>
      <c r="D939" s="2" t="s">
        <v>687</v>
      </c>
      <c r="E939" s="2" t="s">
        <v>688</v>
      </c>
      <c r="F939" s="2" t="s">
        <v>5543</v>
      </c>
      <c r="G939" s="2" t="s">
        <v>5544</v>
      </c>
      <c r="H939" s="2" t="s">
        <v>5545</v>
      </c>
      <c r="I939" s="2" t="s">
        <v>5546</v>
      </c>
      <c r="J939" s="2" t="s">
        <v>1304</v>
      </c>
      <c r="K939" s="2" t="s">
        <v>223</v>
      </c>
      <c r="L939" s="3">
        <v>28.57</v>
      </c>
      <c r="M939" s="3">
        <v>30</v>
      </c>
      <c r="N939" s="3">
        <v>59.99</v>
      </c>
      <c r="O939" s="2" t="s">
        <v>224</v>
      </c>
      <c r="P939" s="2" t="s">
        <v>580</v>
      </c>
      <c r="Q939" s="2" t="s">
        <v>226</v>
      </c>
      <c r="R939" s="2" t="s">
        <v>227</v>
      </c>
      <c r="S939" s="2" t="s">
        <v>5547</v>
      </c>
      <c r="T939" s="2" t="s">
        <v>993</v>
      </c>
      <c r="U939" s="2" t="s">
        <v>1044</v>
      </c>
      <c r="V939" s="2" t="s">
        <v>288</v>
      </c>
      <c r="W939" s="2" t="s">
        <v>836</v>
      </c>
      <c r="X939" s="2" t="s">
        <v>231</v>
      </c>
      <c r="Y939" s="2" t="s">
        <v>3636</v>
      </c>
      <c r="Z939" s="4"/>
      <c r="AA939" s="4">
        <f>=ROUNDDOWN({0},0)</f>
      </c>
      <c r="AB939" s="5">
        <v>5.3</v>
      </c>
      <c r="AC939" s="2" t="s">
        <v>227</v>
      </c>
      <c r="AD939" s="4"/>
      <c r="AE939" s="4"/>
      <c r="AF939" s="6">
        <v>65</v>
      </c>
      <c r="AG939" s="6"/>
      <c r="AH939" s="7">
        <v>0.2258</v>
      </c>
      <c r="AI939" s="4"/>
      <c r="AJ939" s="4">
        <f>=ROUNDDOWN({0},0)</f>
      </c>
      <c r="AK939" s="5"/>
      <c r="AL939" s="2" t="s">
        <v>227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227</v>
      </c>
      <c r="AW939" s="8" t="s">
        <v>227</v>
      </c>
      <c r="AX939" s="4" t="s">
        <v>227</v>
      </c>
      <c r="AY939" s="8" t="s">
        <v>227</v>
      </c>
      <c r="AZ939" s="7" t="s">
        <v>227</v>
      </c>
      <c r="BA939" s="7" t="s">
        <v>227</v>
      </c>
      <c r="BB939" s="7"/>
      <c r="BC939" s="4" t="s">
        <v>227</v>
      </c>
      <c r="BD939" s="8" t="s">
        <v>227</v>
      </c>
      <c r="BE939" s="4" t="s">
        <v>227</v>
      </c>
      <c r="BF939" s="8" t="s">
        <v>227</v>
      </c>
      <c r="BG939" s="7" t="s">
        <v>227</v>
      </c>
      <c r="BH939" s="7" t="s">
        <v>227</v>
      </c>
      <c r="BI939" s="7"/>
      <c r="BJ939" s="4">
        <v>13</v>
      </c>
      <c r="BK939" s="8">
        <v>420.32</v>
      </c>
      <c r="BL939" s="2" t="s">
        <v>2107</v>
      </c>
      <c r="BM939" s="7"/>
      <c r="BN939" s="7"/>
      <c r="BO939" s="4"/>
      <c r="BP939" s="8"/>
      <c r="BQ939" s="4"/>
      <c r="BR939" s="8"/>
      <c r="BS939" s="7"/>
      <c r="BT939" s="7"/>
      <c r="BU939" s="2" t="s">
        <v>5548</v>
      </c>
      <c r="BV939" s="2" t="s">
        <v>227</v>
      </c>
      <c r="BW939" s="2" t="s">
        <v>227</v>
      </c>
      <c r="BX939" s="2" t="s">
        <v>235</v>
      </c>
      <c r="BY939" s="2" t="s">
        <v>236</v>
      </c>
      <c r="BZ939" s="2" t="s">
        <v>224</v>
      </c>
      <c r="CA939" s="2" t="s">
        <v>5549</v>
      </c>
      <c r="CB939" s="2" t="s">
        <v>2711</v>
      </c>
      <c r="CC939" s="2" t="s">
        <v>239</v>
      </c>
      <c r="CD939" s="2" t="s">
        <v>227</v>
      </c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/>
      <c r="FD939" s="4"/>
      <c r="FE939" s="4"/>
      <c r="FF939" s="4"/>
      <c r="FG939" s="4"/>
      <c r="FH939" s="4"/>
      <c r="FI939" s="4"/>
      <c r="FJ939" s="4"/>
      <c r="FK939" s="4"/>
      <c r="FL939" s="4"/>
      <c r="FM939" s="4"/>
      <c r="FN939" s="4"/>
      <c r="FO939" s="4"/>
      <c r="FP939" s="4"/>
      <c r="FQ939" s="4"/>
      <c r="FR939" s="4"/>
      <c r="FS939" s="4"/>
      <c r="FT939" s="4"/>
      <c r="FU939" s="4"/>
      <c r="FV939" s="4"/>
      <c r="FW939" s="4"/>
      <c r="FX939" s="4"/>
      <c r="FY939" s="4"/>
      <c r="FZ939" s="4"/>
      <c r="GA939" s="4"/>
      <c r="GB939" s="4"/>
      <c r="GC939" s="4"/>
      <c r="GD939" s="4"/>
      <c r="GE939" s="4"/>
      <c r="GF939" s="4"/>
      <c r="GG939" s="4"/>
      <c r="GH939" s="4"/>
      <c r="GI939" s="4"/>
      <c r="GJ939" s="4"/>
      <c r="GK939" s="4"/>
      <c r="GL939" s="4"/>
      <c r="GM939" s="4"/>
      <c r="GN939" s="4"/>
      <c r="GO939" s="4"/>
      <c r="GP939" s="4"/>
      <c r="GQ939" s="4"/>
      <c r="GR939" s="4"/>
      <c r="GS939" s="4"/>
      <c r="GT939" s="4"/>
      <c r="GU939" s="4"/>
      <c r="GV939" s="4"/>
      <c r="GW939" s="4"/>
      <c r="GX939" s="4"/>
    </row>
    <row r="940">
      <c r="A940" s="2" t="s">
        <v>5550</v>
      </c>
      <c r="B940" s="2" t="s">
        <v>618</v>
      </c>
      <c r="C940" s="2" t="s">
        <v>1546</v>
      </c>
      <c r="D940" s="2" t="s">
        <v>620</v>
      </c>
      <c r="E940" s="2" t="s">
        <v>669</v>
      </c>
      <c r="F940" s="2" t="s">
        <v>5543</v>
      </c>
      <c r="G940" s="2" t="s">
        <v>5544</v>
      </c>
      <c r="H940" s="2" t="s">
        <v>5545</v>
      </c>
      <c r="I940" s="2" t="s">
        <v>5551</v>
      </c>
      <c r="J940" s="2" t="s">
        <v>626</v>
      </c>
      <c r="K940" s="2" t="s">
        <v>223</v>
      </c>
      <c r="L940" s="3">
        <v>23.8</v>
      </c>
      <c r="M940" s="3">
        <v>24.99</v>
      </c>
      <c r="N940" s="3">
        <v>49.99</v>
      </c>
      <c r="O940" s="2" t="s">
        <v>224</v>
      </c>
      <c r="P940" s="2" t="s">
        <v>580</v>
      </c>
      <c r="Q940" s="2" t="s">
        <v>226</v>
      </c>
      <c r="R940" s="2" t="s">
        <v>227</v>
      </c>
      <c r="S940" s="2" t="s">
        <v>5547</v>
      </c>
      <c r="T940" s="2" t="s">
        <v>993</v>
      </c>
      <c r="U940" s="2" t="s">
        <v>674</v>
      </c>
      <c r="V940" s="2" t="s">
        <v>288</v>
      </c>
      <c r="W940" s="2" t="s">
        <v>836</v>
      </c>
      <c r="X940" s="2" t="s">
        <v>231</v>
      </c>
      <c r="Y940" s="2" t="s">
        <v>3636</v>
      </c>
      <c r="Z940" s="4">
        <v>43</v>
      </c>
      <c r="AA940" s="4">
        <f>=ROUNDDOWN(13.8709677419355,0)</f>
      </c>
      <c r="AB940" s="5">
        <v>3.1</v>
      </c>
      <c r="AC940" s="2" t="s">
        <v>227</v>
      </c>
      <c r="AD940" s="4"/>
      <c r="AE940" s="4"/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227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227</v>
      </c>
      <c r="AW940" s="8" t="s">
        <v>227</v>
      </c>
      <c r="AX940" s="4" t="s">
        <v>227</v>
      </c>
      <c r="AY940" s="8" t="s">
        <v>227</v>
      </c>
      <c r="AZ940" s="7" t="s">
        <v>227</v>
      </c>
      <c r="BA940" s="7" t="s">
        <v>227</v>
      </c>
      <c r="BB940" s="7"/>
      <c r="BC940" s="4" t="s">
        <v>227</v>
      </c>
      <c r="BD940" s="8" t="s">
        <v>227</v>
      </c>
      <c r="BE940" s="4" t="s">
        <v>227</v>
      </c>
      <c r="BF940" s="8" t="s">
        <v>227</v>
      </c>
      <c r="BG940" s="7" t="s">
        <v>227</v>
      </c>
      <c r="BH940" s="7" t="s">
        <v>227</v>
      </c>
      <c r="BI940" s="7"/>
      <c r="BJ940" s="4">
        <v>13</v>
      </c>
      <c r="BK940" s="8">
        <v>352.02</v>
      </c>
      <c r="BL940" s="2" t="s">
        <v>2320</v>
      </c>
      <c r="BM940" s="7"/>
      <c r="BN940" s="7"/>
      <c r="BO940" s="4"/>
      <c r="BP940" s="8"/>
      <c r="BQ940" s="4"/>
      <c r="BR940" s="8"/>
      <c r="BS940" s="7"/>
      <c r="BT940" s="7"/>
      <c r="BU940" s="2" t="s">
        <v>5552</v>
      </c>
      <c r="BV940" s="2" t="s">
        <v>227</v>
      </c>
      <c r="BW940" s="2" t="s">
        <v>227</v>
      </c>
      <c r="BX940" s="2" t="s">
        <v>235</v>
      </c>
      <c r="BY940" s="2" t="s">
        <v>236</v>
      </c>
      <c r="BZ940" s="2" t="s">
        <v>224</v>
      </c>
      <c r="CA940" s="2" t="s">
        <v>5549</v>
      </c>
      <c r="CB940" s="2" t="s">
        <v>5553</v>
      </c>
      <c r="CC940" s="2" t="s">
        <v>239</v>
      </c>
      <c r="CD940" s="2" t="s">
        <v>227</v>
      </c>
      <c r="CE940" s="4">
        <v>43</v>
      </c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/>
      <c r="FB940" s="4"/>
      <c r="FC940" s="4"/>
      <c r="FD940" s="4"/>
      <c r="FE940" s="4"/>
      <c r="FF940" s="4"/>
      <c r="FG940" s="4"/>
      <c r="FH940" s="4"/>
      <c r="FI940" s="4"/>
      <c r="FJ940" s="4"/>
      <c r="FK940" s="4"/>
      <c r="FL940" s="4"/>
      <c r="FM940" s="4"/>
      <c r="FN940" s="4"/>
      <c r="FO940" s="4"/>
      <c r="FP940" s="4"/>
      <c r="FQ940" s="4"/>
      <c r="FR940" s="4"/>
      <c r="FS940" s="4"/>
      <c r="FT940" s="4"/>
      <c r="FU940" s="4"/>
      <c r="FV940" s="4"/>
      <c r="FW940" s="4"/>
      <c r="FX940" s="4"/>
      <c r="FY940" s="4"/>
      <c r="FZ940" s="4"/>
      <c r="GA940" s="4"/>
      <c r="GB940" s="4"/>
      <c r="GC940" s="4"/>
      <c r="GD940" s="4"/>
      <c r="GE940" s="4"/>
      <c r="GF940" s="4"/>
      <c r="GG940" s="4"/>
      <c r="GH940" s="4"/>
      <c r="GI940" s="4"/>
      <c r="GJ940" s="4"/>
      <c r="GK940" s="4"/>
      <c r="GL940" s="4"/>
      <c r="GM940" s="4"/>
      <c r="GN940" s="4"/>
      <c r="GO940" s="4"/>
      <c r="GP940" s="4"/>
      <c r="GQ940" s="4"/>
      <c r="GR940" s="4"/>
      <c r="GS940" s="4"/>
      <c r="GT940" s="4"/>
      <c r="GU940" s="4"/>
      <c r="GV940" s="4"/>
      <c r="GW940" s="4"/>
      <c r="GX940" s="4"/>
    </row>
    <row r="941">
      <c r="A941" s="2" t="s">
        <v>5554</v>
      </c>
      <c r="B941" s="2" t="s">
        <v>618</v>
      </c>
      <c r="C941" s="2" t="s">
        <v>1546</v>
      </c>
      <c r="D941" s="2" t="s">
        <v>620</v>
      </c>
      <c r="E941" s="2" t="s">
        <v>669</v>
      </c>
      <c r="F941" s="2" t="s">
        <v>5543</v>
      </c>
      <c r="G941" s="2" t="s">
        <v>5544</v>
      </c>
      <c r="H941" s="2" t="s">
        <v>5545</v>
      </c>
      <c r="I941" s="2" t="s">
        <v>5551</v>
      </c>
      <c r="J941" s="2" t="s">
        <v>682</v>
      </c>
      <c r="K941" s="2" t="s">
        <v>223</v>
      </c>
      <c r="L941" s="3">
        <v>28.57</v>
      </c>
      <c r="M941" s="3">
        <v>30</v>
      </c>
      <c r="N941" s="3">
        <v>59.99</v>
      </c>
      <c r="O941" s="2" t="s">
        <v>224</v>
      </c>
      <c r="P941" s="2" t="s">
        <v>580</v>
      </c>
      <c r="Q941" s="2" t="s">
        <v>226</v>
      </c>
      <c r="R941" s="2" t="s">
        <v>227</v>
      </c>
      <c r="S941" s="2" t="s">
        <v>5547</v>
      </c>
      <c r="T941" s="2" t="s">
        <v>993</v>
      </c>
      <c r="U941" s="2" t="s">
        <v>674</v>
      </c>
      <c r="V941" s="2" t="s">
        <v>288</v>
      </c>
      <c r="W941" s="2" t="s">
        <v>836</v>
      </c>
      <c r="X941" s="2" t="s">
        <v>231</v>
      </c>
      <c r="Y941" s="2" t="s">
        <v>1341</v>
      </c>
      <c r="Z941" s="4">
        <v>63</v>
      </c>
      <c r="AA941" s="4">
        <f>=ROUNDDOWN(31.5,0)</f>
      </c>
      <c r="AB941" s="5">
        <v>2</v>
      </c>
      <c r="AC941" s="2" t="s">
        <v>227</v>
      </c>
      <c r="AD941" s="4"/>
      <c r="AE941" s="4"/>
      <c r="AF941" s="6">
        <v>65</v>
      </c>
      <c r="AG941" s="6"/>
      <c r="AH941" s="7">
        <v>1</v>
      </c>
      <c r="AI941" s="4"/>
      <c r="AJ941" s="4">
        <f>=ROUNDDOWN({0},0)</f>
      </c>
      <c r="AK941" s="5"/>
      <c r="AL941" s="2" t="s">
        <v>227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227</v>
      </c>
      <c r="AW941" s="8" t="s">
        <v>227</v>
      </c>
      <c r="AX941" s="4" t="s">
        <v>227</v>
      </c>
      <c r="AY941" s="8" t="s">
        <v>227</v>
      </c>
      <c r="AZ941" s="7" t="s">
        <v>227</v>
      </c>
      <c r="BA941" s="7" t="s">
        <v>227</v>
      </c>
      <c r="BB941" s="7"/>
      <c r="BC941" s="4" t="s">
        <v>227</v>
      </c>
      <c r="BD941" s="8" t="s">
        <v>227</v>
      </c>
      <c r="BE941" s="4" t="s">
        <v>227</v>
      </c>
      <c r="BF941" s="8" t="s">
        <v>227</v>
      </c>
      <c r="BG941" s="7" t="s">
        <v>227</v>
      </c>
      <c r="BH941" s="7" t="s">
        <v>227</v>
      </c>
      <c r="BI941" s="7"/>
      <c r="BJ941" s="4">
        <v>2</v>
      </c>
      <c r="BK941" s="8">
        <v>63.9</v>
      </c>
      <c r="BL941" s="2" t="s">
        <v>2155</v>
      </c>
      <c r="BM941" s="7"/>
      <c r="BN941" s="7"/>
      <c r="BO941" s="4"/>
      <c r="BP941" s="8"/>
      <c r="BQ941" s="4"/>
      <c r="BR941" s="8"/>
      <c r="BS941" s="7"/>
      <c r="BT941" s="7"/>
      <c r="BU941" s="2" t="s">
        <v>5555</v>
      </c>
      <c r="BV941" s="2" t="s">
        <v>227</v>
      </c>
      <c r="BW941" s="2" t="s">
        <v>227</v>
      </c>
      <c r="BX941" s="2" t="s">
        <v>235</v>
      </c>
      <c r="BY941" s="2" t="s">
        <v>236</v>
      </c>
      <c r="BZ941" s="2" t="s">
        <v>224</v>
      </c>
      <c r="CA941" s="2" t="s">
        <v>5549</v>
      </c>
      <c r="CB941" s="2" t="s">
        <v>2655</v>
      </c>
      <c r="CC941" s="2" t="s">
        <v>239</v>
      </c>
      <c r="CD941" s="2" t="s">
        <v>227</v>
      </c>
      <c r="CE941" s="4">
        <v>63</v>
      </c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/>
      <c r="FD941" s="4"/>
      <c r="FE941" s="4"/>
      <c r="FF941" s="4"/>
      <c r="FG941" s="4"/>
      <c r="FH941" s="4"/>
      <c r="FI941" s="4"/>
      <c r="FJ941" s="4"/>
      <c r="FK941" s="4"/>
      <c r="FL941" s="4"/>
      <c r="FM941" s="4"/>
      <c r="FN941" s="4"/>
      <c r="FO941" s="4"/>
      <c r="FP941" s="4"/>
      <c r="FQ941" s="4"/>
      <c r="FR941" s="4"/>
      <c r="FS941" s="4"/>
      <c r="FT941" s="4"/>
      <c r="FU941" s="4"/>
      <c r="FV941" s="4"/>
      <c r="FW941" s="4"/>
      <c r="FX941" s="4"/>
      <c r="FY941" s="4"/>
      <c r="FZ941" s="4"/>
      <c r="GA941" s="4"/>
      <c r="GB941" s="4"/>
      <c r="GC941" s="4"/>
      <c r="GD941" s="4"/>
      <c r="GE941" s="4"/>
      <c r="GF941" s="4"/>
      <c r="GG941" s="4"/>
      <c r="GH941" s="4"/>
      <c r="GI941" s="4"/>
      <c r="GJ941" s="4"/>
      <c r="GK941" s="4"/>
      <c r="GL941" s="4"/>
      <c r="GM941" s="4"/>
      <c r="GN941" s="4"/>
      <c r="GO941" s="4"/>
      <c r="GP941" s="4"/>
      <c r="GQ941" s="4"/>
      <c r="GR941" s="4"/>
      <c r="GS941" s="4"/>
      <c r="GT941" s="4"/>
      <c r="GU941" s="4"/>
      <c r="GV941" s="4"/>
      <c r="GW941" s="4"/>
      <c r="GX941" s="4"/>
    </row>
    <row r="942">
      <c r="A942" s="2" t="s">
        <v>5556</v>
      </c>
      <c r="B942" s="2" t="s">
        <v>697</v>
      </c>
      <c r="C942" s="2" t="s">
        <v>360</v>
      </c>
      <c r="D942" s="2" t="s">
        <v>868</v>
      </c>
      <c r="E942" s="2" t="s">
        <v>1334</v>
      </c>
      <c r="F942" s="2" t="s">
        <v>5543</v>
      </c>
      <c r="G942" s="2" t="s">
        <v>2795</v>
      </c>
      <c r="H942" s="2" t="s">
        <v>2795</v>
      </c>
      <c r="I942" s="2" t="s">
        <v>5557</v>
      </c>
      <c r="J942" s="2" t="s">
        <v>873</v>
      </c>
      <c r="K942" s="2" t="s">
        <v>1428</v>
      </c>
      <c r="L942" s="3">
        <v>23.8</v>
      </c>
      <c r="M942" s="3">
        <v>24.99</v>
      </c>
      <c r="N942" s="3">
        <v>49.99</v>
      </c>
      <c r="O942" s="2" t="s">
        <v>224</v>
      </c>
      <c r="P942" s="2" t="s">
        <v>225</v>
      </c>
      <c r="Q942" s="2" t="s">
        <v>226</v>
      </c>
      <c r="R942" s="2" t="s">
        <v>227</v>
      </c>
      <c r="S942" s="2" t="s">
        <v>5558</v>
      </c>
      <c r="T942" s="2" t="s">
        <v>227</v>
      </c>
      <c r="U942" s="2" t="s">
        <v>552</v>
      </c>
      <c r="V942" s="2" t="s">
        <v>230</v>
      </c>
      <c r="W942" s="2" t="s">
        <v>231</v>
      </c>
      <c r="X942" s="2" t="s">
        <v>227</v>
      </c>
      <c r="Y942" s="2" t="s">
        <v>1109</v>
      </c>
      <c r="Z942" s="4">
        <v>319</v>
      </c>
      <c r="AA942" s="4">
        <f>=ROUNDDOWN(63.8,0)</f>
      </c>
      <c r="AB942" s="5">
        <v>5</v>
      </c>
      <c r="AC942" s="2" t="s">
        <v>227</v>
      </c>
      <c r="AD942" s="4"/>
      <c r="AE942" s="4"/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227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/>
      <c r="AW942" s="8"/>
      <c r="AX942" s="4"/>
      <c r="AY942" s="8"/>
      <c r="AZ942" s="7"/>
      <c r="BA942" s="7"/>
      <c r="BB942" s="7"/>
      <c r="BC942" s="4" t="s">
        <v>227</v>
      </c>
      <c r="BD942" s="8" t="s">
        <v>227</v>
      </c>
      <c r="BE942" s="4" t="s">
        <v>227</v>
      </c>
      <c r="BF942" s="8" t="s">
        <v>227</v>
      </c>
      <c r="BG942" s="7" t="s">
        <v>227</v>
      </c>
      <c r="BH942" s="7" t="s">
        <v>227</v>
      </c>
      <c r="BI942" s="7"/>
      <c r="BJ942" s="4">
        <v>29</v>
      </c>
      <c r="BK942" s="8">
        <v>827.83</v>
      </c>
      <c r="BL942" s="2" t="s">
        <v>5559</v>
      </c>
      <c r="BM942" s="7"/>
      <c r="BN942" s="7"/>
      <c r="BO942" s="4"/>
      <c r="BP942" s="8"/>
      <c r="BQ942" s="4"/>
      <c r="BR942" s="8"/>
      <c r="BS942" s="7"/>
      <c r="BT942" s="7"/>
      <c r="BU942" s="2" t="s">
        <v>5560</v>
      </c>
      <c r="BV942" s="2" t="s">
        <v>227</v>
      </c>
      <c r="BW942" s="2" t="s">
        <v>227</v>
      </c>
      <c r="BX942" s="2" t="s">
        <v>235</v>
      </c>
      <c r="BY942" s="2" t="s">
        <v>236</v>
      </c>
      <c r="BZ942" s="2" t="s">
        <v>224</v>
      </c>
      <c r="CA942" s="2" t="s">
        <v>5561</v>
      </c>
      <c r="CB942" s="2" t="s">
        <v>310</v>
      </c>
      <c r="CC942" s="2" t="s">
        <v>239</v>
      </c>
      <c r="CD942" s="2" t="s">
        <v>227</v>
      </c>
      <c r="CE942" s="4">
        <v>319</v>
      </c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/>
      <c r="FD942" s="4"/>
      <c r="FE942" s="4"/>
      <c r="FF942" s="4"/>
      <c r="FG942" s="4"/>
      <c r="FH942" s="4"/>
      <c r="FI942" s="4"/>
      <c r="FJ942" s="4"/>
      <c r="FK942" s="4"/>
      <c r="FL942" s="4"/>
      <c r="FM942" s="4"/>
      <c r="FN942" s="4"/>
      <c r="FO942" s="4"/>
      <c r="FP942" s="4"/>
      <c r="FQ942" s="4"/>
      <c r="FR942" s="4"/>
      <c r="FS942" s="4"/>
      <c r="FT942" s="4"/>
      <c r="FU942" s="4"/>
      <c r="FV942" s="4"/>
      <c r="FW942" s="4"/>
      <c r="FX942" s="4"/>
      <c r="FY942" s="4"/>
      <c r="FZ942" s="4"/>
      <c r="GA942" s="4"/>
      <c r="GB942" s="4"/>
      <c r="GC942" s="4"/>
      <c r="GD942" s="4"/>
      <c r="GE942" s="4"/>
      <c r="GF942" s="4"/>
      <c r="GG942" s="4"/>
      <c r="GH942" s="4"/>
      <c r="GI942" s="4"/>
      <c r="GJ942" s="4"/>
      <c r="GK942" s="4"/>
      <c r="GL942" s="4"/>
      <c r="GM942" s="4"/>
      <c r="GN942" s="4"/>
      <c r="GO942" s="4"/>
      <c r="GP942" s="4"/>
      <c r="GQ942" s="4"/>
      <c r="GR942" s="4"/>
      <c r="GS942" s="4"/>
      <c r="GT942" s="4"/>
      <c r="GU942" s="4"/>
      <c r="GV942" s="4"/>
      <c r="GW942" s="4"/>
      <c r="GX942" s="4"/>
    </row>
    <row r="943">
      <c r="A943" s="2" t="s">
        <v>5562</v>
      </c>
      <c r="B943" s="2" t="s">
        <v>618</v>
      </c>
      <c r="C943" s="2" t="s">
        <v>1546</v>
      </c>
      <c r="D943" s="2" t="s">
        <v>687</v>
      </c>
      <c r="E943" s="2" t="s">
        <v>688</v>
      </c>
      <c r="F943" s="2" t="s">
        <v>5543</v>
      </c>
      <c r="G943" s="2" t="s">
        <v>5544</v>
      </c>
      <c r="H943" s="2" t="s">
        <v>5545</v>
      </c>
      <c r="I943" s="2" t="s">
        <v>5546</v>
      </c>
      <c r="J943" s="2" t="s">
        <v>1304</v>
      </c>
      <c r="K943" s="2" t="s">
        <v>410</v>
      </c>
      <c r="L943" s="3">
        <v>28.57</v>
      </c>
      <c r="M943" s="3">
        <v>30</v>
      </c>
      <c r="N943" s="3">
        <v>59.99</v>
      </c>
      <c r="O943" s="2" t="s">
        <v>224</v>
      </c>
      <c r="P943" s="2" t="s">
        <v>580</v>
      </c>
      <c r="Q943" s="2" t="s">
        <v>226</v>
      </c>
      <c r="R943" s="2" t="s">
        <v>227</v>
      </c>
      <c r="S943" s="2" t="s">
        <v>5563</v>
      </c>
      <c r="T943" s="2" t="s">
        <v>993</v>
      </c>
      <c r="U943" s="2" t="s">
        <v>1044</v>
      </c>
      <c r="V943" s="2" t="s">
        <v>288</v>
      </c>
      <c r="W943" s="2" t="s">
        <v>836</v>
      </c>
      <c r="X943" s="2" t="s">
        <v>231</v>
      </c>
      <c r="Y943" s="2" t="s">
        <v>1341</v>
      </c>
      <c r="Z943" s="4">
        <v>1</v>
      </c>
      <c r="AA943" s="4">
        <f>=ROUNDDOWN(0.333333333333333,0)</f>
      </c>
      <c r="AB943" s="5">
        <v>3</v>
      </c>
      <c r="AC943" s="2" t="s">
        <v>227</v>
      </c>
      <c r="AD943" s="4"/>
      <c r="AE943" s="4"/>
      <c r="AF943" s="6">
        <v>65</v>
      </c>
      <c r="AG943" s="6"/>
      <c r="AH943" s="7">
        <v>0</v>
      </c>
      <c r="AI943" s="4"/>
      <c r="AJ943" s="4">
        <f>=ROUNDDOWN({0},0)</f>
      </c>
      <c r="AK943" s="5"/>
      <c r="AL943" s="2" t="s">
        <v>227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227</v>
      </c>
      <c r="AW943" s="8" t="s">
        <v>227</v>
      </c>
      <c r="AX943" s="4" t="s">
        <v>227</v>
      </c>
      <c r="AY943" s="8" t="s">
        <v>227</v>
      </c>
      <c r="AZ943" s="7" t="s">
        <v>227</v>
      </c>
      <c r="BA943" s="7" t="s">
        <v>227</v>
      </c>
      <c r="BB943" s="7"/>
      <c r="BC943" s="4" t="s">
        <v>227</v>
      </c>
      <c r="BD943" s="8" t="s">
        <v>227</v>
      </c>
      <c r="BE943" s="4" t="s">
        <v>227</v>
      </c>
      <c r="BF943" s="8" t="s">
        <v>227</v>
      </c>
      <c r="BG943" s="7" t="s">
        <v>227</v>
      </c>
      <c r="BH943" s="7" t="s">
        <v>227</v>
      </c>
      <c r="BI943" s="7"/>
      <c r="BJ943" s="4">
        <v>2</v>
      </c>
      <c r="BK943" s="8">
        <v>65.72</v>
      </c>
      <c r="BL943" s="2" t="s">
        <v>498</v>
      </c>
      <c r="BM943" s="7"/>
      <c r="BN943" s="7"/>
      <c r="BO943" s="4"/>
      <c r="BP943" s="8"/>
      <c r="BQ943" s="4"/>
      <c r="BR943" s="8"/>
      <c r="BS943" s="7"/>
      <c r="BT943" s="7"/>
      <c r="BU943" s="2" t="s">
        <v>5564</v>
      </c>
      <c r="BV943" s="2" t="s">
        <v>227</v>
      </c>
      <c r="BW943" s="2" t="s">
        <v>227</v>
      </c>
      <c r="BX943" s="2" t="s">
        <v>235</v>
      </c>
      <c r="BY943" s="2" t="s">
        <v>236</v>
      </c>
      <c r="BZ943" s="2" t="s">
        <v>224</v>
      </c>
      <c r="CA943" s="2" t="s">
        <v>5549</v>
      </c>
      <c r="CB943" s="2" t="s">
        <v>5565</v>
      </c>
      <c r="CC943" s="2" t="s">
        <v>239</v>
      </c>
      <c r="CD943" s="2" t="s">
        <v>227</v>
      </c>
      <c r="CE943" s="4">
        <v>1</v>
      </c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/>
      <c r="FB943" s="4"/>
      <c r="FC943" s="4"/>
      <c r="FD943" s="4"/>
      <c r="FE943" s="4"/>
      <c r="FF943" s="4"/>
      <c r="FG943" s="4"/>
      <c r="FH943" s="4"/>
      <c r="FI943" s="4"/>
      <c r="FJ943" s="4"/>
      <c r="FK943" s="4"/>
      <c r="FL943" s="4"/>
      <c r="FM943" s="4"/>
      <c r="FN943" s="4"/>
      <c r="FO943" s="4"/>
      <c r="FP943" s="4"/>
      <c r="FQ943" s="4"/>
      <c r="FR943" s="4"/>
      <c r="FS943" s="4"/>
      <c r="FT943" s="4"/>
      <c r="FU943" s="4"/>
      <c r="FV943" s="4"/>
      <c r="FW943" s="4"/>
      <c r="FX943" s="4"/>
      <c r="FY943" s="4"/>
      <c r="FZ943" s="4"/>
      <c r="GA943" s="4"/>
      <c r="GB943" s="4"/>
      <c r="GC943" s="4"/>
      <c r="GD943" s="4"/>
      <c r="GE943" s="4"/>
      <c r="GF943" s="4"/>
      <c r="GG943" s="4"/>
      <c r="GH943" s="4"/>
      <c r="GI943" s="4"/>
      <c r="GJ943" s="4"/>
      <c r="GK943" s="4"/>
      <c r="GL943" s="4"/>
      <c r="GM943" s="4"/>
      <c r="GN943" s="4"/>
      <c r="GO943" s="4"/>
      <c r="GP943" s="4"/>
      <c r="GQ943" s="4"/>
      <c r="GR943" s="4"/>
      <c r="GS943" s="4"/>
      <c r="GT943" s="4"/>
      <c r="GU943" s="4"/>
      <c r="GV943" s="4"/>
      <c r="GW943" s="4"/>
      <c r="GX943" s="4"/>
    </row>
    <row r="944">
      <c r="A944" s="2" t="s">
        <v>5566</v>
      </c>
      <c r="B944" s="2" t="s">
        <v>618</v>
      </c>
      <c r="C944" s="2" t="s">
        <v>1546</v>
      </c>
      <c r="D944" s="2" t="s">
        <v>620</v>
      </c>
      <c r="E944" s="2" t="s">
        <v>669</v>
      </c>
      <c r="F944" s="2" t="s">
        <v>5543</v>
      </c>
      <c r="G944" s="2" t="s">
        <v>5544</v>
      </c>
      <c r="H944" s="2" t="s">
        <v>5545</v>
      </c>
      <c r="I944" s="2" t="s">
        <v>5551</v>
      </c>
      <c r="J944" s="2" t="s">
        <v>626</v>
      </c>
      <c r="K944" s="2" t="s">
        <v>410</v>
      </c>
      <c r="L944" s="3">
        <v>23.8</v>
      </c>
      <c r="M944" s="3">
        <v>24.99</v>
      </c>
      <c r="N944" s="3">
        <v>49.99</v>
      </c>
      <c r="O944" s="2" t="s">
        <v>224</v>
      </c>
      <c r="P944" s="2" t="s">
        <v>580</v>
      </c>
      <c r="Q944" s="2" t="s">
        <v>226</v>
      </c>
      <c r="R944" s="2" t="s">
        <v>227</v>
      </c>
      <c r="S944" s="2" t="s">
        <v>5563</v>
      </c>
      <c r="T944" s="2" t="s">
        <v>993</v>
      </c>
      <c r="U944" s="2" t="s">
        <v>674</v>
      </c>
      <c r="V944" s="2" t="s">
        <v>288</v>
      </c>
      <c r="W944" s="2" t="s">
        <v>836</v>
      </c>
      <c r="X944" s="2" t="s">
        <v>231</v>
      </c>
      <c r="Y944" s="2" t="s">
        <v>1341</v>
      </c>
      <c r="Z944" s="4">
        <v>98</v>
      </c>
      <c r="AA944" s="4">
        <f>=ROUNDDOWN(49,0)</f>
      </c>
      <c r="AB944" s="5">
        <v>2</v>
      </c>
      <c r="AC944" s="2" t="s">
        <v>227</v>
      </c>
      <c r="AD944" s="4"/>
      <c r="AE944" s="4"/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227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 t="s">
        <v>227</v>
      </c>
      <c r="AW944" s="8" t="s">
        <v>227</v>
      </c>
      <c r="AX944" s="4" t="s">
        <v>227</v>
      </c>
      <c r="AY944" s="8" t="s">
        <v>227</v>
      </c>
      <c r="AZ944" s="7" t="s">
        <v>227</v>
      </c>
      <c r="BA944" s="7" t="s">
        <v>227</v>
      </c>
      <c r="BB944" s="7"/>
      <c r="BC944" s="4" t="s">
        <v>227</v>
      </c>
      <c r="BD944" s="8" t="s">
        <v>227</v>
      </c>
      <c r="BE944" s="4" t="s">
        <v>227</v>
      </c>
      <c r="BF944" s="8" t="s">
        <v>227</v>
      </c>
      <c r="BG944" s="7" t="s">
        <v>227</v>
      </c>
      <c r="BH944" s="7" t="s">
        <v>227</v>
      </c>
      <c r="BI944" s="7"/>
      <c r="BJ944" s="4">
        <v>8</v>
      </c>
      <c r="BK944" s="8">
        <v>212.68</v>
      </c>
      <c r="BL944" s="2" t="s">
        <v>5280</v>
      </c>
      <c r="BM944" s="7"/>
      <c r="BN944" s="7"/>
      <c r="BO944" s="4"/>
      <c r="BP944" s="8"/>
      <c r="BQ944" s="4"/>
      <c r="BR944" s="8"/>
      <c r="BS944" s="7"/>
      <c r="BT944" s="7"/>
      <c r="BU944" s="2" t="s">
        <v>5567</v>
      </c>
      <c r="BV944" s="2" t="s">
        <v>227</v>
      </c>
      <c r="BW944" s="2" t="s">
        <v>227</v>
      </c>
      <c r="BX944" s="2" t="s">
        <v>235</v>
      </c>
      <c r="BY944" s="2" t="s">
        <v>236</v>
      </c>
      <c r="BZ944" s="2" t="s">
        <v>224</v>
      </c>
      <c r="CA944" s="2" t="s">
        <v>5549</v>
      </c>
      <c r="CB944" s="2" t="s">
        <v>5568</v>
      </c>
      <c r="CC944" s="2" t="s">
        <v>239</v>
      </c>
      <c r="CD944" s="2" t="s">
        <v>227</v>
      </c>
      <c r="CE944" s="4">
        <v>98</v>
      </c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/>
      <c r="FB944" s="4"/>
      <c r="FC944" s="4"/>
      <c r="FD944" s="4"/>
      <c r="FE944" s="4"/>
      <c r="FF944" s="4"/>
      <c r="FG944" s="4"/>
      <c r="FH944" s="4"/>
      <c r="FI944" s="4"/>
      <c r="FJ944" s="4"/>
      <c r="FK944" s="4"/>
      <c r="FL944" s="4"/>
      <c r="FM944" s="4"/>
      <c r="FN944" s="4"/>
      <c r="FO944" s="4"/>
      <c r="FP944" s="4"/>
      <c r="FQ944" s="4"/>
      <c r="FR944" s="4"/>
      <c r="FS944" s="4"/>
      <c r="FT944" s="4"/>
      <c r="FU944" s="4"/>
      <c r="FV944" s="4"/>
      <c r="FW944" s="4"/>
      <c r="FX944" s="4"/>
      <c r="FY944" s="4"/>
      <c r="FZ944" s="4"/>
      <c r="GA944" s="4"/>
      <c r="GB944" s="4"/>
      <c r="GC944" s="4"/>
      <c r="GD944" s="4"/>
      <c r="GE944" s="4"/>
      <c r="GF944" s="4"/>
      <c r="GG944" s="4"/>
      <c r="GH944" s="4"/>
      <c r="GI944" s="4"/>
      <c r="GJ944" s="4"/>
      <c r="GK944" s="4"/>
      <c r="GL944" s="4"/>
      <c r="GM944" s="4"/>
      <c r="GN944" s="4"/>
      <c r="GO944" s="4"/>
      <c r="GP944" s="4"/>
      <c r="GQ944" s="4"/>
      <c r="GR944" s="4"/>
      <c r="GS944" s="4"/>
      <c r="GT944" s="4"/>
      <c r="GU944" s="4"/>
      <c r="GV944" s="4"/>
      <c r="GW944" s="4"/>
      <c r="GX944" s="4"/>
    </row>
    <row r="945">
      <c r="A945" s="2" t="s">
        <v>5569</v>
      </c>
      <c r="B945" s="2" t="s">
        <v>618</v>
      </c>
      <c r="C945" s="2" t="s">
        <v>1546</v>
      </c>
      <c r="D945" s="2" t="s">
        <v>687</v>
      </c>
      <c r="E945" s="2" t="s">
        <v>688</v>
      </c>
      <c r="F945" s="2" t="s">
        <v>5543</v>
      </c>
      <c r="G945" s="2" t="s">
        <v>5544</v>
      </c>
      <c r="H945" s="2" t="s">
        <v>5545</v>
      </c>
      <c r="I945" s="2" t="s">
        <v>5546</v>
      </c>
      <c r="J945" s="2" t="s">
        <v>682</v>
      </c>
      <c r="K945" s="2" t="s">
        <v>410</v>
      </c>
      <c r="L945" s="3">
        <v>38.09</v>
      </c>
      <c r="M945" s="3">
        <v>39.99</v>
      </c>
      <c r="N945" s="3">
        <v>79.99</v>
      </c>
      <c r="O945" s="2" t="s">
        <v>224</v>
      </c>
      <c r="P945" s="2" t="s">
        <v>580</v>
      </c>
      <c r="Q945" s="2" t="s">
        <v>226</v>
      </c>
      <c r="R945" s="2" t="s">
        <v>227</v>
      </c>
      <c r="S945" s="2" t="s">
        <v>5563</v>
      </c>
      <c r="T945" s="2" t="s">
        <v>993</v>
      </c>
      <c r="U945" s="2" t="s">
        <v>674</v>
      </c>
      <c r="V945" s="2" t="s">
        <v>288</v>
      </c>
      <c r="W945" s="2" t="s">
        <v>836</v>
      </c>
      <c r="X945" s="2" t="s">
        <v>231</v>
      </c>
      <c r="Y945" s="2" t="s">
        <v>1341</v>
      </c>
      <c r="Z945" s="4">
        <v>31</v>
      </c>
      <c r="AA945" s="4">
        <f>=ROUNDDOWN(17.2222222222222,0)</f>
      </c>
      <c r="AB945" s="5">
        <v>1.8</v>
      </c>
      <c r="AC945" s="2" t="s">
        <v>227</v>
      </c>
      <c r="AD945" s="4"/>
      <c r="AE945" s="4"/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227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227</v>
      </c>
      <c r="AW945" s="8" t="s">
        <v>227</v>
      </c>
      <c r="AX945" s="4" t="s">
        <v>227</v>
      </c>
      <c r="AY945" s="8" t="s">
        <v>227</v>
      </c>
      <c r="AZ945" s="7" t="s">
        <v>227</v>
      </c>
      <c r="BA945" s="7" t="s">
        <v>227</v>
      </c>
      <c r="BB945" s="7"/>
      <c r="BC945" s="4" t="s">
        <v>227</v>
      </c>
      <c r="BD945" s="8" t="s">
        <v>227</v>
      </c>
      <c r="BE945" s="4" t="s">
        <v>227</v>
      </c>
      <c r="BF945" s="8" t="s">
        <v>227</v>
      </c>
      <c r="BG945" s="7" t="s">
        <v>227</v>
      </c>
      <c r="BH945" s="7" t="s">
        <v>227</v>
      </c>
      <c r="BI945" s="7"/>
      <c r="BJ945" s="4">
        <v>14</v>
      </c>
      <c r="BK945" s="8">
        <v>616.66</v>
      </c>
      <c r="BL945" s="2" t="s">
        <v>5570</v>
      </c>
      <c r="BM945" s="7"/>
      <c r="BN945" s="7"/>
      <c r="BO945" s="4"/>
      <c r="BP945" s="8"/>
      <c r="BQ945" s="4"/>
      <c r="BR945" s="8"/>
      <c r="BS945" s="7"/>
      <c r="BT945" s="7"/>
      <c r="BU945" s="2" t="s">
        <v>5571</v>
      </c>
      <c r="BV945" s="2" t="s">
        <v>227</v>
      </c>
      <c r="BW945" s="2" t="s">
        <v>227</v>
      </c>
      <c r="BX945" s="2" t="s">
        <v>235</v>
      </c>
      <c r="BY945" s="2" t="s">
        <v>236</v>
      </c>
      <c r="BZ945" s="2" t="s">
        <v>224</v>
      </c>
      <c r="CA945" s="2" t="s">
        <v>5549</v>
      </c>
      <c r="CB945" s="2" t="s">
        <v>1699</v>
      </c>
      <c r="CC945" s="2" t="s">
        <v>239</v>
      </c>
      <c r="CD945" s="2" t="s">
        <v>227</v>
      </c>
      <c r="CE945" s="4">
        <v>31</v>
      </c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/>
      <c r="FB945" s="4"/>
      <c r="FC945" s="4"/>
      <c r="FD945" s="4"/>
      <c r="FE945" s="4"/>
      <c r="FF945" s="4"/>
      <c r="FG945" s="4"/>
      <c r="FH945" s="4"/>
      <c r="FI945" s="4"/>
      <c r="FJ945" s="4"/>
      <c r="FK945" s="4"/>
      <c r="FL945" s="4"/>
      <c r="FM945" s="4"/>
      <c r="FN945" s="4"/>
      <c r="FO945" s="4"/>
      <c r="FP945" s="4"/>
      <c r="FQ945" s="4"/>
      <c r="FR945" s="4"/>
      <c r="FS945" s="4"/>
      <c r="FT945" s="4"/>
      <c r="FU945" s="4"/>
      <c r="FV945" s="4"/>
      <c r="FW945" s="4"/>
      <c r="FX945" s="4"/>
      <c r="FY945" s="4"/>
      <c r="FZ945" s="4"/>
      <c r="GA945" s="4"/>
      <c r="GB945" s="4"/>
      <c r="GC945" s="4"/>
      <c r="GD945" s="4"/>
      <c r="GE945" s="4"/>
      <c r="GF945" s="4"/>
      <c r="GG945" s="4"/>
      <c r="GH945" s="4"/>
      <c r="GI945" s="4"/>
      <c r="GJ945" s="4"/>
      <c r="GK945" s="4"/>
      <c r="GL945" s="4"/>
      <c r="GM945" s="4"/>
      <c r="GN945" s="4"/>
      <c r="GO945" s="4"/>
      <c r="GP945" s="4"/>
      <c r="GQ945" s="4"/>
      <c r="GR945" s="4"/>
      <c r="GS945" s="4"/>
      <c r="GT945" s="4"/>
      <c r="GU945" s="4"/>
      <c r="GV945" s="4"/>
      <c r="GW945" s="4"/>
      <c r="GX945" s="4"/>
    </row>
    <row r="946">
      <c r="A946" s="2" t="s">
        <v>5572</v>
      </c>
      <c r="B946" s="2" t="s">
        <v>697</v>
      </c>
      <c r="C946" s="2" t="s">
        <v>360</v>
      </c>
      <c r="D946" s="2" t="s">
        <v>868</v>
      </c>
      <c r="E946" s="2" t="s">
        <v>1334</v>
      </c>
      <c r="F946" s="2" t="s">
        <v>5543</v>
      </c>
      <c r="G946" s="2" t="s">
        <v>2795</v>
      </c>
      <c r="H946" s="2" t="s">
        <v>2795</v>
      </c>
      <c r="I946" s="2" t="s">
        <v>5557</v>
      </c>
      <c r="J946" s="2" t="s">
        <v>873</v>
      </c>
      <c r="K946" s="2" t="s">
        <v>2700</v>
      </c>
      <c r="L946" s="3">
        <v>23.8</v>
      </c>
      <c r="M946" s="3">
        <v>24.99</v>
      </c>
      <c r="N946" s="3">
        <v>49.99</v>
      </c>
      <c r="O946" s="2" t="s">
        <v>224</v>
      </c>
      <c r="P946" s="2" t="s">
        <v>580</v>
      </c>
      <c r="Q946" s="2" t="s">
        <v>226</v>
      </c>
      <c r="R946" s="2" t="s">
        <v>227</v>
      </c>
      <c r="S946" s="2" t="s">
        <v>5573</v>
      </c>
      <c r="T946" s="2" t="s">
        <v>227</v>
      </c>
      <c r="U946" s="2" t="s">
        <v>552</v>
      </c>
      <c r="V946" s="2" t="s">
        <v>230</v>
      </c>
      <c r="W946" s="2" t="s">
        <v>231</v>
      </c>
      <c r="X946" s="2" t="s">
        <v>227</v>
      </c>
      <c r="Y946" s="2" t="s">
        <v>5574</v>
      </c>
      <c r="Z946" s="4">
        <v>433</v>
      </c>
      <c r="AA946" s="4">
        <f>=ROUNDDOWN(144.333333333333,0)</f>
      </c>
      <c r="AB946" s="5">
        <v>3</v>
      </c>
      <c r="AC946" s="2" t="s">
        <v>227</v>
      </c>
      <c r="AD946" s="4"/>
      <c r="AE946" s="4"/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227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/>
      <c r="AW946" s="8"/>
      <c r="AX946" s="4"/>
      <c r="AY946" s="8"/>
      <c r="AZ946" s="7"/>
      <c r="BA946" s="7"/>
      <c r="BB946" s="7"/>
      <c r="BC946" s="4" t="s">
        <v>227</v>
      </c>
      <c r="BD946" s="8" t="s">
        <v>227</v>
      </c>
      <c r="BE946" s="4" t="s">
        <v>227</v>
      </c>
      <c r="BF946" s="8" t="s">
        <v>227</v>
      </c>
      <c r="BG946" s="7" t="s">
        <v>227</v>
      </c>
      <c r="BH946" s="7" t="s">
        <v>227</v>
      </c>
      <c r="BI946" s="7"/>
      <c r="BJ946" s="4">
        <v>5</v>
      </c>
      <c r="BK946" s="8">
        <v>132.7</v>
      </c>
      <c r="BL946" s="2" t="s">
        <v>1435</v>
      </c>
      <c r="BM946" s="7"/>
      <c r="BN946" s="7"/>
      <c r="BO946" s="4"/>
      <c r="BP946" s="8"/>
      <c r="BQ946" s="4"/>
      <c r="BR946" s="8"/>
      <c r="BS946" s="7"/>
      <c r="BT946" s="7"/>
      <c r="BU946" s="2" t="s">
        <v>5575</v>
      </c>
      <c r="BV946" s="2" t="s">
        <v>227</v>
      </c>
      <c r="BW946" s="2" t="s">
        <v>227</v>
      </c>
      <c r="BX946" s="2" t="s">
        <v>235</v>
      </c>
      <c r="BY946" s="2" t="s">
        <v>236</v>
      </c>
      <c r="BZ946" s="2" t="s">
        <v>224</v>
      </c>
      <c r="CA946" s="2" t="s">
        <v>5561</v>
      </c>
      <c r="CB946" s="2" t="s">
        <v>3706</v>
      </c>
      <c r="CC946" s="2" t="s">
        <v>239</v>
      </c>
      <c r="CD946" s="2" t="s">
        <v>227</v>
      </c>
      <c r="CE946" s="4">
        <v>433</v>
      </c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/>
      <c r="FA946" s="4"/>
      <c r="FB946" s="4"/>
      <c r="FC946" s="4"/>
      <c r="FD946" s="4"/>
      <c r="FE946" s="4"/>
      <c r="FF946" s="4"/>
      <c r="FG946" s="4"/>
      <c r="FH946" s="4"/>
      <c r="FI946" s="4"/>
      <c r="FJ946" s="4"/>
      <c r="FK946" s="4"/>
      <c r="FL946" s="4"/>
      <c r="FM946" s="4"/>
      <c r="FN946" s="4"/>
      <c r="FO946" s="4"/>
      <c r="FP946" s="4"/>
      <c r="FQ946" s="4"/>
      <c r="FR946" s="4"/>
      <c r="FS946" s="4"/>
      <c r="FT946" s="4"/>
      <c r="FU946" s="4"/>
      <c r="FV946" s="4"/>
      <c r="FW946" s="4"/>
      <c r="FX946" s="4"/>
      <c r="FY946" s="4"/>
      <c r="FZ946" s="4"/>
      <c r="GA946" s="4"/>
      <c r="GB946" s="4"/>
      <c r="GC946" s="4"/>
      <c r="GD946" s="4"/>
      <c r="GE946" s="4"/>
      <c r="GF946" s="4"/>
      <c r="GG946" s="4"/>
      <c r="GH946" s="4"/>
      <c r="GI946" s="4"/>
      <c r="GJ946" s="4"/>
      <c r="GK946" s="4"/>
      <c r="GL946" s="4"/>
      <c r="GM946" s="4"/>
      <c r="GN946" s="4"/>
      <c r="GO946" s="4"/>
      <c r="GP946" s="4"/>
      <c r="GQ946" s="4"/>
      <c r="GR946" s="4"/>
      <c r="GS946" s="4"/>
      <c r="GT946" s="4"/>
      <c r="GU946" s="4"/>
      <c r="GV946" s="4"/>
      <c r="GW946" s="4"/>
      <c r="GX946" s="4"/>
    </row>
    <row r="947">
      <c r="A947" s="2" t="s">
        <v>5576</v>
      </c>
      <c r="B947" s="2" t="s">
        <v>667</v>
      </c>
      <c r="C947" s="2" t="s">
        <v>279</v>
      </c>
      <c r="D947" s="2" t="s">
        <v>687</v>
      </c>
      <c r="E947" s="2" t="s">
        <v>990</v>
      </c>
      <c r="F947" s="2" t="s">
        <v>5577</v>
      </c>
      <c r="G947" s="2" t="s">
        <v>5578</v>
      </c>
      <c r="H947" s="2" t="s">
        <v>5579</v>
      </c>
      <c r="I947" s="2" t="s">
        <v>5580</v>
      </c>
      <c r="J947" s="2" t="s">
        <v>384</v>
      </c>
      <c r="K947" s="2" t="s">
        <v>1067</v>
      </c>
      <c r="L947" s="3">
        <v>65.7</v>
      </c>
      <c r="M947" s="3">
        <v>68.98</v>
      </c>
      <c r="N947" s="3">
        <v>119.99</v>
      </c>
      <c r="O947" s="2" t="s">
        <v>224</v>
      </c>
      <c r="P947" s="2" t="s">
        <v>550</v>
      </c>
      <c r="Q947" s="2" t="s">
        <v>226</v>
      </c>
      <c r="R947" s="2" t="s">
        <v>227</v>
      </c>
      <c r="S947" s="2" t="s">
        <v>5581</v>
      </c>
      <c r="T947" s="2" t="s">
        <v>227</v>
      </c>
      <c r="U947" s="2" t="s">
        <v>2608</v>
      </c>
      <c r="V947" s="2" t="s">
        <v>288</v>
      </c>
      <c r="W947" s="2" t="s">
        <v>231</v>
      </c>
      <c r="X947" s="2" t="s">
        <v>836</v>
      </c>
      <c r="Y947" s="2" t="s">
        <v>232</v>
      </c>
      <c r="Z947" s="4">
        <v>123</v>
      </c>
      <c r="AA947" s="4">
        <f>=ROUNDDOWN(30.75,0)</f>
      </c>
      <c r="AB947" s="5">
        <v>4</v>
      </c>
      <c r="AC947" s="2" t="s">
        <v>2082</v>
      </c>
      <c r="AD947" s="4">
        <v>50</v>
      </c>
      <c r="AE947" s="4">
        <v>120</v>
      </c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227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/>
      <c r="AW947" s="8"/>
      <c r="AX947" s="4"/>
      <c r="AY947" s="8"/>
      <c r="AZ947" s="7"/>
      <c r="BA947" s="7"/>
      <c r="BB947" s="7"/>
      <c r="BC947" s="4"/>
      <c r="BD947" s="8"/>
      <c r="BE947" s="4"/>
      <c r="BF947" s="8"/>
      <c r="BG947" s="7"/>
      <c r="BH947" s="7"/>
      <c r="BI947" s="7"/>
      <c r="BJ947" s="4">
        <v>23</v>
      </c>
      <c r="BK947" s="8">
        <v>1850.88</v>
      </c>
      <c r="BL947" s="2" t="s">
        <v>5582</v>
      </c>
      <c r="BM947" s="7"/>
      <c r="BN947" s="7"/>
      <c r="BO947" s="4"/>
      <c r="BP947" s="8"/>
      <c r="BQ947" s="4"/>
      <c r="BR947" s="8"/>
      <c r="BS947" s="7"/>
      <c r="BT947" s="7"/>
      <c r="BU947" s="2" t="s">
        <v>5583</v>
      </c>
      <c r="BV947" s="2" t="s">
        <v>227</v>
      </c>
      <c r="BW947" s="2" t="s">
        <v>227</v>
      </c>
      <c r="BX947" s="2" t="s">
        <v>235</v>
      </c>
      <c r="BY947" s="2" t="s">
        <v>236</v>
      </c>
      <c r="BZ947" s="2" t="s">
        <v>224</v>
      </c>
      <c r="CA947" s="2" t="s">
        <v>237</v>
      </c>
      <c r="CB947" s="2" t="s">
        <v>5584</v>
      </c>
      <c r="CC947" s="2" t="s">
        <v>239</v>
      </c>
      <c r="CD947" s="2" t="s">
        <v>227</v>
      </c>
      <c r="CE947" s="4">
        <v>123</v>
      </c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>
        <v>50</v>
      </c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/>
      <c r="FB947" s="4"/>
      <c r="FC947" s="4"/>
      <c r="FD947" s="4"/>
      <c r="FE947" s="4"/>
      <c r="FF947" s="4"/>
      <c r="FG947" s="4">
        <v>70</v>
      </c>
      <c r="FH947" s="4"/>
      <c r="FI947" s="4"/>
      <c r="FJ947" s="4"/>
      <c r="FK947" s="4"/>
      <c r="FL947" s="4"/>
      <c r="FM947" s="4"/>
      <c r="FN947" s="4"/>
      <c r="FO947" s="4"/>
      <c r="FP947" s="4"/>
      <c r="FQ947" s="4"/>
      <c r="FR947" s="4"/>
      <c r="FS947" s="4"/>
      <c r="FT947" s="4"/>
      <c r="FU947" s="4"/>
      <c r="FV947" s="4"/>
      <c r="FW947" s="4"/>
      <c r="FX947" s="4"/>
      <c r="FY947" s="4"/>
      <c r="FZ947" s="4"/>
      <c r="GA947" s="4"/>
      <c r="GB947" s="4"/>
      <c r="GC947" s="4"/>
      <c r="GD947" s="4"/>
      <c r="GE947" s="4"/>
      <c r="GF947" s="4"/>
      <c r="GG947" s="4"/>
      <c r="GH947" s="4"/>
      <c r="GI947" s="4"/>
      <c r="GJ947" s="4"/>
      <c r="GK947" s="4"/>
      <c r="GL947" s="4"/>
      <c r="GM947" s="4"/>
      <c r="GN947" s="4"/>
      <c r="GO947" s="4"/>
      <c r="GP947" s="4"/>
      <c r="GQ947" s="4"/>
      <c r="GR947" s="4"/>
      <c r="GS947" s="4"/>
      <c r="GT947" s="4"/>
      <c r="GU947" s="4"/>
      <c r="GV947" s="4"/>
      <c r="GW947" s="4"/>
      <c r="GX947" s="4"/>
    </row>
    <row r="948">
      <c r="A948" s="2" t="s">
        <v>5585</v>
      </c>
      <c r="B948" s="2" t="s">
        <v>715</v>
      </c>
      <c r="C948" s="2" t="s">
        <v>360</v>
      </c>
      <c r="D948" s="2" t="s">
        <v>716</v>
      </c>
      <c r="E948" s="2" t="s">
        <v>717</v>
      </c>
      <c r="F948" s="2" t="s">
        <v>5586</v>
      </c>
      <c r="G948" s="2" t="s">
        <v>5587</v>
      </c>
      <c r="H948" s="2" t="s">
        <v>5588</v>
      </c>
      <c r="I948" s="2" t="s">
        <v>5589</v>
      </c>
      <c r="J948" s="2" t="s">
        <v>808</v>
      </c>
      <c r="K948" s="2" t="s">
        <v>904</v>
      </c>
      <c r="L948" s="3">
        <v>18.4</v>
      </c>
      <c r="M948" s="3">
        <v>19.32</v>
      </c>
      <c r="N948" s="3">
        <v>39.99</v>
      </c>
      <c r="O948" s="2" t="s">
        <v>224</v>
      </c>
      <c r="P948" s="2" t="s">
        <v>225</v>
      </c>
      <c r="Q948" s="2" t="s">
        <v>226</v>
      </c>
      <c r="R948" s="2" t="s">
        <v>227</v>
      </c>
      <c r="S948" s="2" t="s">
        <v>5590</v>
      </c>
      <c r="T948" s="2" t="s">
        <v>227</v>
      </c>
      <c r="U948" s="2" t="s">
        <v>552</v>
      </c>
      <c r="V948" s="2" t="s">
        <v>906</v>
      </c>
      <c r="W948" s="2" t="s">
        <v>836</v>
      </c>
      <c r="X948" s="2" t="s">
        <v>725</v>
      </c>
      <c r="Y948" s="2" t="s">
        <v>232</v>
      </c>
      <c r="Z948" s="4">
        <v>140</v>
      </c>
      <c r="AA948" s="4">
        <f>=ROUNDDOWN(23.3333333333333,0)</f>
      </c>
      <c r="AB948" s="5">
        <v>6</v>
      </c>
      <c r="AC948" s="2" t="s">
        <v>187</v>
      </c>
      <c r="AD948" s="4">
        <v>100</v>
      </c>
      <c r="AE948" s="4">
        <v>100</v>
      </c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227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/>
      <c r="AW948" s="8"/>
      <c r="AX948" s="4"/>
      <c r="AY948" s="8"/>
      <c r="AZ948" s="7"/>
      <c r="BA948" s="7"/>
      <c r="BB948" s="7"/>
      <c r="BC948" s="4" t="s">
        <v>227</v>
      </c>
      <c r="BD948" s="8" t="s">
        <v>227</v>
      </c>
      <c r="BE948" s="4" t="s">
        <v>227</v>
      </c>
      <c r="BF948" s="8" t="s">
        <v>227</v>
      </c>
      <c r="BG948" s="7" t="s">
        <v>227</v>
      </c>
      <c r="BH948" s="7" t="s">
        <v>227</v>
      </c>
      <c r="BI948" s="7"/>
      <c r="BJ948" s="4">
        <v>38</v>
      </c>
      <c r="BK948" s="8">
        <v>799.38</v>
      </c>
      <c r="BL948" s="2" t="s">
        <v>5591</v>
      </c>
      <c r="BM948" s="7"/>
      <c r="BN948" s="7"/>
      <c r="BO948" s="4"/>
      <c r="BP948" s="8"/>
      <c r="BQ948" s="4"/>
      <c r="BR948" s="8"/>
      <c r="BS948" s="7"/>
      <c r="BT948" s="7"/>
      <c r="BU948" s="2" t="s">
        <v>5592</v>
      </c>
      <c r="BV948" s="2" t="s">
        <v>227</v>
      </c>
      <c r="BW948" s="2" t="s">
        <v>227</v>
      </c>
      <c r="BX948" s="2" t="s">
        <v>235</v>
      </c>
      <c r="BY948" s="2" t="s">
        <v>236</v>
      </c>
      <c r="BZ948" s="2" t="s">
        <v>224</v>
      </c>
      <c r="CA948" s="2" t="s">
        <v>237</v>
      </c>
      <c r="CB948" s="2" t="s">
        <v>443</v>
      </c>
      <c r="CC948" s="2" t="s">
        <v>239</v>
      </c>
      <c r="CD948" s="2" t="s">
        <v>227</v>
      </c>
      <c r="CE948" s="4">
        <v>140</v>
      </c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/>
      <c r="FB948" s="4"/>
      <c r="FC948" s="4"/>
      <c r="FD948" s="4"/>
      <c r="FE948" s="4"/>
      <c r="FF948" s="4"/>
      <c r="FG948" s="4"/>
      <c r="FH948" s="4"/>
      <c r="FI948" s="4"/>
      <c r="FJ948" s="4"/>
      <c r="FK948" s="4"/>
      <c r="FL948" s="4"/>
      <c r="FM948" s="4"/>
      <c r="FN948" s="4"/>
      <c r="FO948" s="4"/>
      <c r="FP948" s="4"/>
      <c r="FQ948" s="4"/>
      <c r="FR948" s="4"/>
      <c r="FS948" s="4"/>
      <c r="FT948" s="4"/>
      <c r="FU948" s="4"/>
      <c r="FV948" s="4"/>
      <c r="FW948" s="4">
        <v>100</v>
      </c>
      <c r="FX948" s="4"/>
      <c r="FY948" s="4"/>
      <c r="FZ948" s="4"/>
      <c r="GA948" s="4"/>
      <c r="GB948" s="4"/>
      <c r="GC948" s="4"/>
      <c r="GD948" s="4"/>
      <c r="GE948" s="4"/>
      <c r="GF948" s="4"/>
      <c r="GG948" s="4"/>
      <c r="GH948" s="4"/>
      <c r="GI948" s="4"/>
      <c r="GJ948" s="4"/>
      <c r="GK948" s="4"/>
      <c r="GL948" s="4"/>
      <c r="GM948" s="4"/>
      <c r="GN948" s="4"/>
      <c r="GO948" s="4"/>
      <c r="GP948" s="4"/>
      <c r="GQ948" s="4"/>
      <c r="GR948" s="4"/>
      <c r="GS948" s="4"/>
      <c r="GT948" s="4"/>
      <c r="GU948" s="4"/>
      <c r="GV948" s="4"/>
      <c r="GW948" s="4"/>
      <c r="GX948" s="4"/>
    </row>
    <row r="949">
      <c r="A949" s="2" t="s">
        <v>5593</v>
      </c>
      <c r="B949" s="2" t="s">
        <v>715</v>
      </c>
      <c r="C949" s="2" t="s">
        <v>360</v>
      </c>
      <c r="D949" s="2" t="s">
        <v>716</v>
      </c>
      <c r="E949" s="2" t="s">
        <v>717</v>
      </c>
      <c r="F949" s="2" t="s">
        <v>5586</v>
      </c>
      <c r="G949" s="2" t="s">
        <v>5587</v>
      </c>
      <c r="H949" s="2" t="s">
        <v>5588</v>
      </c>
      <c r="I949" s="2" t="s">
        <v>5589</v>
      </c>
      <c r="J949" s="2" t="s">
        <v>983</v>
      </c>
      <c r="K949" s="2" t="s">
        <v>5594</v>
      </c>
      <c r="L949" s="3">
        <v>20.7</v>
      </c>
      <c r="M949" s="3">
        <v>21.74</v>
      </c>
      <c r="N949" s="3">
        <v>44.99</v>
      </c>
      <c r="O949" s="2" t="s">
        <v>224</v>
      </c>
      <c r="P949" s="2" t="s">
        <v>225</v>
      </c>
      <c r="Q949" s="2" t="s">
        <v>226</v>
      </c>
      <c r="R949" s="2" t="s">
        <v>227</v>
      </c>
      <c r="S949" s="2" t="s">
        <v>5595</v>
      </c>
      <c r="T949" s="2" t="s">
        <v>227</v>
      </c>
      <c r="U949" s="2" t="s">
        <v>552</v>
      </c>
      <c r="V949" s="2" t="s">
        <v>906</v>
      </c>
      <c r="W949" s="2" t="s">
        <v>836</v>
      </c>
      <c r="X949" s="2" t="s">
        <v>725</v>
      </c>
      <c r="Y949" s="2" t="s">
        <v>232</v>
      </c>
      <c r="Z949" s="4">
        <v>147</v>
      </c>
      <c r="AA949" s="4">
        <f>=ROUNDDOWN(24.5,0)</f>
      </c>
      <c r="AB949" s="5">
        <v>6</v>
      </c>
      <c r="AC949" s="2" t="s">
        <v>227</v>
      </c>
      <c r="AD949" s="4"/>
      <c r="AE949" s="4"/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227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/>
      <c r="AW949" s="8"/>
      <c r="AX949" s="4"/>
      <c r="AY949" s="8"/>
      <c r="AZ949" s="7"/>
      <c r="BA949" s="7"/>
      <c r="BB949" s="7"/>
      <c r="BC949" s="4" t="s">
        <v>227</v>
      </c>
      <c r="BD949" s="8" t="s">
        <v>227</v>
      </c>
      <c r="BE949" s="4" t="s">
        <v>227</v>
      </c>
      <c r="BF949" s="8" t="s">
        <v>227</v>
      </c>
      <c r="BG949" s="7" t="s">
        <v>227</v>
      </c>
      <c r="BH949" s="7" t="s">
        <v>227</v>
      </c>
      <c r="BI949" s="7"/>
      <c r="BJ949" s="4">
        <v>9</v>
      </c>
      <c r="BK949" s="8">
        <v>193.11</v>
      </c>
      <c r="BL949" s="2" t="s">
        <v>4677</v>
      </c>
      <c r="BM949" s="7"/>
      <c r="BN949" s="7"/>
      <c r="BO949" s="4"/>
      <c r="BP949" s="8"/>
      <c r="BQ949" s="4"/>
      <c r="BR949" s="8"/>
      <c r="BS949" s="7"/>
      <c r="BT949" s="7"/>
      <c r="BU949" s="2" t="s">
        <v>5596</v>
      </c>
      <c r="BV949" s="2" t="s">
        <v>227</v>
      </c>
      <c r="BW949" s="2" t="s">
        <v>227</v>
      </c>
      <c r="BX949" s="2" t="s">
        <v>235</v>
      </c>
      <c r="BY949" s="2" t="s">
        <v>236</v>
      </c>
      <c r="BZ949" s="2" t="s">
        <v>224</v>
      </c>
      <c r="CA949" s="2" t="s">
        <v>237</v>
      </c>
      <c r="CB949" s="2" t="s">
        <v>5597</v>
      </c>
      <c r="CC949" s="2" t="s">
        <v>239</v>
      </c>
      <c r="CD949" s="2" t="s">
        <v>227</v>
      </c>
      <c r="CE949" s="4">
        <v>147</v>
      </c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/>
      <c r="FG949" s="4"/>
      <c r="FH949" s="4"/>
      <c r="FI949" s="4"/>
      <c r="FJ949" s="4"/>
      <c r="FK949" s="4"/>
      <c r="FL949" s="4"/>
      <c r="FM949" s="4"/>
      <c r="FN949" s="4"/>
      <c r="FO949" s="4"/>
      <c r="FP949" s="4"/>
      <c r="FQ949" s="4"/>
      <c r="FR949" s="4"/>
      <c r="FS949" s="4"/>
      <c r="FT949" s="4"/>
      <c r="FU949" s="4"/>
      <c r="FV949" s="4"/>
      <c r="FW949" s="4"/>
      <c r="FX949" s="4"/>
      <c r="FY949" s="4"/>
      <c r="FZ949" s="4"/>
      <c r="GA949" s="4"/>
      <c r="GB949" s="4"/>
      <c r="GC949" s="4"/>
      <c r="GD949" s="4"/>
      <c r="GE949" s="4"/>
      <c r="GF949" s="4"/>
      <c r="GG949" s="4"/>
      <c r="GH949" s="4"/>
      <c r="GI949" s="4"/>
      <c r="GJ949" s="4"/>
      <c r="GK949" s="4"/>
      <c r="GL949" s="4"/>
      <c r="GM949" s="4"/>
      <c r="GN949" s="4"/>
      <c r="GO949" s="4"/>
      <c r="GP949" s="4"/>
      <c r="GQ949" s="4"/>
      <c r="GR949" s="4"/>
      <c r="GS949" s="4"/>
      <c r="GT949" s="4"/>
      <c r="GU949" s="4"/>
      <c r="GV949" s="4"/>
      <c r="GW949" s="4"/>
      <c r="GX949" s="4"/>
    </row>
    <row r="950">
      <c r="A950" s="2" t="s">
        <v>5598</v>
      </c>
      <c r="B950" s="2" t="s">
        <v>573</v>
      </c>
      <c r="C950" s="2" t="s">
        <v>668</v>
      </c>
      <c r="D950" s="2" t="s">
        <v>832</v>
      </c>
      <c r="E950" s="2" t="s">
        <v>833</v>
      </c>
      <c r="F950" s="2" t="s">
        <v>5599</v>
      </c>
      <c r="G950" s="2" t="s">
        <v>5599</v>
      </c>
      <c r="H950" s="2" t="s">
        <v>227</v>
      </c>
      <c r="I950" s="2" t="s">
        <v>1415</v>
      </c>
      <c r="J950" s="2" t="s">
        <v>548</v>
      </c>
      <c r="K950" s="2" t="s">
        <v>5600</v>
      </c>
      <c r="L950" s="3">
        <v>194.75</v>
      </c>
      <c r="M950" s="3">
        <v>204.49</v>
      </c>
      <c r="N950" s="3">
        <v>409</v>
      </c>
      <c r="O950" s="2" t="s">
        <v>224</v>
      </c>
      <c r="P950" s="2" t="s">
        <v>580</v>
      </c>
      <c r="Q950" s="2" t="s">
        <v>226</v>
      </c>
      <c r="R950" s="2" t="s">
        <v>227</v>
      </c>
      <c r="S950" s="2" t="s">
        <v>5601</v>
      </c>
      <c r="T950" s="2" t="s">
        <v>227</v>
      </c>
      <c r="U950" s="2" t="s">
        <v>227</v>
      </c>
      <c r="V950" s="2" t="s">
        <v>230</v>
      </c>
      <c r="W950" s="2" t="s">
        <v>506</v>
      </c>
      <c r="X950" s="2" t="s">
        <v>227</v>
      </c>
      <c r="Y950" s="2" t="s">
        <v>232</v>
      </c>
      <c r="Z950" s="4">
        <v>102</v>
      </c>
      <c r="AA950" s="4">
        <f>=ROUNDDOWN(51,0)</f>
      </c>
      <c r="AB950" s="5">
        <v>2</v>
      </c>
      <c r="AC950" s="2" t="s">
        <v>227</v>
      </c>
      <c r="AD950" s="4"/>
      <c r="AE950" s="4"/>
      <c r="AF950" s="6">
        <v>66</v>
      </c>
      <c r="AG950" s="6">
        <v>49</v>
      </c>
      <c r="AH950" s="7">
        <v>1</v>
      </c>
      <c r="AI950" s="4"/>
      <c r="AJ950" s="4">
        <f>=ROUNDDOWN({0},0)</f>
      </c>
      <c r="AK950" s="5"/>
      <c r="AL950" s="2" t="s">
        <v>227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/>
      <c r="AW950" s="8"/>
      <c r="AX950" s="4"/>
      <c r="AY950" s="8"/>
      <c r="AZ950" s="7"/>
      <c r="BA950" s="7"/>
      <c r="BB950" s="7"/>
      <c r="BC950" s="4"/>
      <c r="BD950" s="8"/>
      <c r="BE950" s="4"/>
      <c r="BF950" s="8"/>
      <c r="BG950" s="7"/>
      <c r="BH950" s="7"/>
      <c r="BI950" s="7"/>
      <c r="BJ950" s="4">
        <v>5</v>
      </c>
      <c r="BK950" s="8">
        <v>961.31</v>
      </c>
      <c r="BL950" s="2" t="s">
        <v>5602</v>
      </c>
      <c r="BM950" s="7"/>
      <c r="BN950" s="7"/>
      <c r="BO950" s="4"/>
      <c r="BP950" s="8"/>
      <c r="BQ950" s="4"/>
      <c r="BR950" s="8"/>
      <c r="BS950" s="7"/>
      <c r="BT950" s="7"/>
      <c r="BU950" s="2" t="s">
        <v>5603</v>
      </c>
      <c r="BV950" s="2" t="s">
        <v>227</v>
      </c>
      <c r="BW950" s="2" t="s">
        <v>227</v>
      </c>
      <c r="BX950" s="2" t="s">
        <v>235</v>
      </c>
      <c r="BY950" s="2" t="s">
        <v>236</v>
      </c>
      <c r="BZ950" s="2" t="s">
        <v>224</v>
      </c>
      <c r="CA950" s="2" t="s">
        <v>5604</v>
      </c>
      <c r="CB950" s="2" t="s">
        <v>3619</v>
      </c>
      <c r="CC950" s="2" t="s">
        <v>239</v>
      </c>
      <c r="CD950" s="2" t="s">
        <v>227</v>
      </c>
      <c r="CE950" s="4"/>
      <c r="CF950" s="4">
        <v>102</v>
      </c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/>
      <c r="FB950" s="4"/>
      <c r="FC950" s="4"/>
      <c r="FD950" s="4"/>
      <c r="FE950" s="4"/>
      <c r="FF950" s="4"/>
      <c r="FG950" s="4"/>
      <c r="FH950" s="4"/>
      <c r="FI950" s="4"/>
      <c r="FJ950" s="4"/>
      <c r="FK950" s="4"/>
      <c r="FL950" s="4"/>
      <c r="FM950" s="4"/>
      <c r="FN950" s="4"/>
      <c r="FO950" s="4"/>
      <c r="FP950" s="4"/>
      <c r="FQ950" s="4"/>
      <c r="FR950" s="4"/>
      <c r="FS950" s="4"/>
      <c r="FT950" s="4"/>
      <c r="FU950" s="4"/>
      <c r="FV950" s="4"/>
      <c r="FW950" s="4"/>
      <c r="FX950" s="4"/>
      <c r="FY950" s="4"/>
      <c r="FZ950" s="4"/>
      <c r="GA950" s="4"/>
      <c r="GB950" s="4"/>
      <c r="GC950" s="4"/>
      <c r="GD950" s="4"/>
      <c r="GE950" s="4"/>
      <c r="GF950" s="4"/>
      <c r="GG950" s="4"/>
      <c r="GH950" s="4"/>
      <c r="GI950" s="4"/>
      <c r="GJ950" s="4"/>
      <c r="GK950" s="4"/>
      <c r="GL950" s="4"/>
      <c r="GM950" s="4"/>
      <c r="GN950" s="4"/>
      <c r="GO950" s="4"/>
      <c r="GP950" s="4"/>
      <c r="GQ950" s="4"/>
      <c r="GR950" s="4"/>
      <c r="GS950" s="4"/>
      <c r="GT950" s="4"/>
      <c r="GU950" s="4"/>
      <c r="GV950" s="4"/>
      <c r="GW950" s="4"/>
      <c r="GX950" s="4"/>
    </row>
    <row r="951">
      <c r="A951" s="2" t="s">
        <v>5605</v>
      </c>
      <c r="B951" s="2" t="s">
        <v>542</v>
      </c>
      <c r="C951" s="2" t="s">
        <v>360</v>
      </c>
      <c r="D951" s="2" t="s">
        <v>1052</v>
      </c>
      <c r="E951" s="2" t="s">
        <v>545</v>
      </c>
      <c r="F951" s="2" t="s">
        <v>5606</v>
      </c>
      <c r="G951" s="2" t="s">
        <v>5606</v>
      </c>
      <c r="H951" s="2" t="s">
        <v>5606</v>
      </c>
      <c r="I951" s="2" t="s">
        <v>4975</v>
      </c>
      <c r="J951" s="2" t="s">
        <v>548</v>
      </c>
      <c r="K951" s="2" t="s">
        <v>223</v>
      </c>
      <c r="L951" s="3">
        <v>55.77</v>
      </c>
      <c r="M951" s="3">
        <v>58.56</v>
      </c>
      <c r="N951" s="3">
        <v>118.99</v>
      </c>
      <c r="O951" s="2" t="s">
        <v>224</v>
      </c>
      <c r="P951" s="2" t="s">
        <v>580</v>
      </c>
      <c r="Q951" s="2" t="s">
        <v>226</v>
      </c>
      <c r="R951" s="2" t="s">
        <v>227</v>
      </c>
      <c r="S951" s="2" t="s">
        <v>5607</v>
      </c>
      <c r="T951" s="2" t="s">
        <v>227</v>
      </c>
      <c r="U951" s="2" t="s">
        <v>287</v>
      </c>
      <c r="V951" s="2" t="s">
        <v>1045</v>
      </c>
      <c r="W951" s="2" t="s">
        <v>1045</v>
      </c>
      <c r="X951" s="2" t="s">
        <v>227</v>
      </c>
      <c r="Y951" s="2" t="s">
        <v>595</v>
      </c>
      <c r="Z951" s="4">
        <v>64</v>
      </c>
      <c r="AA951" s="4">
        <f>=ROUNDDOWN(21.3333333333333,0)</f>
      </c>
      <c r="AB951" s="5">
        <v>3</v>
      </c>
      <c r="AC951" s="2" t="s">
        <v>227</v>
      </c>
      <c r="AD951" s="4"/>
      <c r="AE951" s="4"/>
      <c r="AF951" s="6">
        <v>63</v>
      </c>
      <c r="AG951" s="6"/>
      <c r="AH951" s="7">
        <v>1</v>
      </c>
      <c r="AI951" s="4"/>
      <c r="AJ951" s="4">
        <f>=ROUNDDOWN({0},0)</f>
      </c>
      <c r="AK951" s="5"/>
      <c r="AL951" s="2" t="s">
        <v>227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/>
      <c r="AW951" s="8"/>
      <c r="AX951" s="4"/>
      <c r="AY951" s="8"/>
      <c r="AZ951" s="7"/>
      <c r="BA951" s="7"/>
      <c r="BB951" s="7"/>
      <c r="BC951" s="4"/>
      <c r="BD951" s="8"/>
      <c r="BE951" s="4"/>
      <c r="BF951" s="8"/>
      <c r="BG951" s="7"/>
      <c r="BH951" s="7"/>
      <c r="BI951" s="7"/>
      <c r="BJ951" s="4">
        <v>16</v>
      </c>
      <c r="BK951" s="8">
        <v>1057.22</v>
      </c>
      <c r="BL951" s="2" t="s">
        <v>5608</v>
      </c>
      <c r="BM951" s="7"/>
      <c r="BN951" s="7"/>
      <c r="BO951" s="4"/>
      <c r="BP951" s="8"/>
      <c r="BQ951" s="4"/>
      <c r="BR951" s="8"/>
      <c r="BS951" s="7"/>
      <c r="BT951" s="7"/>
      <c r="BU951" s="2" t="s">
        <v>5609</v>
      </c>
      <c r="BV951" s="2" t="s">
        <v>227</v>
      </c>
      <c r="BW951" s="2" t="s">
        <v>227</v>
      </c>
      <c r="BX951" s="2" t="s">
        <v>235</v>
      </c>
      <c r="BY951" s="2" t="s">
        <v>236</v>
      </c>
      <c r="BZ951" s="2" t="s">
        <v>224</v>
      </c>
      <c r="CA951" s="2" t="s">
        <v>5610</v>
      </c>
      <c r="CB951" s="2" t="s">
        <v>1557</v>
      </c>
      <c r="CC951" s="2" t="s">
        <v>239</v>
      </c>
      <c r="CD951" s="2" t="s">
        <v>227</v>
      </c>
      <c r="CE951" s="4"/>
      <c r="CF951" s="4">
        <v>64</v>
      </c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/>
      <c r="FB951" s="4"/>
      <c r="FC951" s="4"/>
      <c r="FD951" s="4"/>
      <c r="FE951" s="4"/>
      <c r="FF951" s="4"/>
      <c r="FG951" s="4"/>
      <c r="FH951" s="4"/>
      <c r="FI951" s="4"/>
      <c r="FJ951" s="4"/>
      <c r="FK951" s="4"/>
      <c r="FL951" s="4"/>
      <c r="FM951" s="4"/>
      <c r="FN951" s="4"/>
      <c r="FO951" s="4"/>
      <c r="FP951" s="4"/>
      <c r="FQ951" s="4"/>
      <c r="FR951" s="4"/>
      <c r="FS951" s="4"/>
      <c r="FT951" s="4"/>
      <c r="FU951" s="4"/>
      <c r="FV951" s="4"/>
      <c r="FW951" s="4"/>
      <c r="FX951" s="4"/>
      <c r="FY951" s="4"/>
      <c r="FZ951" s="4"/>
      <c r="GA951" s="4"/>
      <c r="GB951" s="4"/>
      <c r="GC951" s="4"/>
      <c r="GD951" s="4"/>
      <c r="GE951" s="4"/>
      <c r="GF951" s="4"/>
      <c r="GG951" s="4"/>
      <c r="GH951" s="4"/>
      <c r="GI951" s="4"/>
      <c r="GJ951" s="4"/>
      <c r="GK951" s="4"/>
      <c r="GL951" s="4"/>
      <c r="GM951" s="4"/>
      <c r="GN951" s="4"/>
      <c r="GO951" s="4"/>
      <c r="GP951" s="4"/>
      <c r="GQ951" s="4"/>
      <c r="GR951" s="4"/>
      <c r="GS951" s="4"/>
      <c r="GT951" s="4"/>
      <c r="GU951" s="4"/>
      <c r="GV951" s="4"/>
      <c r="GW951" s="4"/>
      <c r="GX951" s="4"/>
    </row>
    <row r="952">
      <c r="A952" s="2" t="s">
        <v>5611</v>
      </c>
      <c r="B952" s="2" t="s">
        <v>667</v>
      </c>
      <c r="C952" s="2" t="s">
        <v>360</v>
      </c>
      <c r="D952" s="2" t="s">
        <v>687</v>
      </c>
      <c r="E952" s="2" t="s">
        <v>699</v>
      </c>
      <c r="F952" s="2" t="s">
        <v>5612</v>
      </c>
      <c r="G952" s="2" t="s">
        <v>5613</v>
      </c>
      <c r="H952" s="2" t="s">
        <v>5614</v>
      </c>
      <c r="I952" s="2" t="s">
        <v>5615</v>
      </c>
      <c r="J952" s="2" t="s">
        <v>384</v>
      </c>
      <c r="K952" s="2" t="s">
        <v>657</v>
      </c>
      <c r="L952" s="3">
        <v>76.49</v>
      </c>
      <c r="M952" s="3">
        <v>80.32</v>
      </c>
      <c r="N952" s="3">
        <v>159.99</v>
      </c>
      <c r="O952" s="2" t="s">
        <v>224</v>
      </c>
      <c r="P952" s="2" t="s">
        <v>225</v>
      </c>
      <c r="Q952" s="2" t="s">
        <v>226</v>
      </c>
      <c r="R952" s="2" t="s">
        <v>227</v>
      </c>
      <c r="S952" s="2" t="s">
        <v>5616</v>
      </c>
      <c r="T952" s="2" t="s">
        <v>227</v>
      </c>
      <c r="U952" s="2" t="s">
        <v>1069</v>
      </c>
      <c r="V952" s="2" t="s">
        <v>724</v>
      </c>
      <c r="W952" s="2" t="s">
        <v>581</v>
      </c>
      <c r="X952" s="2" t="s">
        <v>5617</v>
      </c>
      <c r="Y952" s="2" t="s">
        <v>232</v>
      </c>
      <c r="Z952" s="4">
        <v>153</v>
      </c>
      <c r="AA952" s="4">
        <f>=ROUNDDOWN(38.25,0)</f>
      </c>
      <c r="AB952" s="5">
        <v>4</v>
      </c>
      <c r="AC952" s="2" t="s">
        <v>839</v>
      </c>
      <c r="AD952" s="4">
        <v>50</v>
      </c>
      <c r="AE952" s="4">
        <v>50</v>
      </c>
      <c r="AF952" s="6">
        <v>64</v>
      </c>
      <c r="AG952" s="6">
        <v>47</v>
      </c>
      <c r="AH952" s="7">
        <v>1</v>
      </c>
      <c r="AI952" s="4"/>
      <c r="AJ952" s="4">
        <f>=ROUNDDOWN({0},0)</f>
      </c>
      <c r="AK952" s="5"/>
      <c r="AL952" s="2" t="s">
        <v>227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 t="s">
        <v>227</v>
      </c>
      <c r="BD952" s="8" t="s">
        <v>227</v>
      </c>
      <c r="BE952" s="4" t="s">
        <v>227</v>
      </c>
      <c r="BF952" s="8" t="s">
        <v>227</v>
      </c>
      <c r="BG952" s="7" t="s">
        <v>227</v>
      </c>
      <c r="BH952" s="7" t="s">
        <v>227</v>
      </c>
      <c r="BI952" s="7"/>
      <c r="BJ952" s="4">
        <v>18</v>
      </c>
      <c r="BK952" s="8">
        <v>1369.34</v>
      </c>
      <c r="BL952" s="2" t="s">
        <v>5618</v>
      </c>
      <c r="BM952" s="7"/>
      <c r="BN952" s="7"/>
      <c r="BO952" s="4"/>
      <c r="BP952" s="8"/>
      <c r="BQ952" s="4"/>
      <c r="BR952" s="8"/>
      <c r="BS952" s="7"/>
      <c r="BT952" s="7"/>
      <c r="BU952" s="2" t="s">
        <v>5619</v>
      </c>
      <c r="BV952" s="2" t="s">
        <v>227</v>
      </c>
      <c r="BW952" s="2" t="s">
        <v>227</v>
      </c>
      <c r="BX952" s="2" t="s">
        <v>235</v>
      </c>
      <c r="BY952" s="2" t="s">
        <v>236</v>
      </c>
      <c r="BZ952" s="2" t="s">
        <v>224</v>
      </c>
      <c r="CA952" s="2" t="s">
        <v>2144</v>
      </c>
      <c r="CB952" s="2" t="s">
        <v>339</v>
      </c>
      <c r="CC952" s="2" t="s">
        <v>239</v>
      </c>
      <c r="CD952" s="2" t="s">
        <v>227</v>
      </c>
      <c r="CE952" s="4">
        <v>76</v>
      </c>
      <c r="CF952" s="4"/>
      <c r="CG952" s="4"/>
      <c r="CH952" s="4">
        <v>77</v>
      </c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>
        <v>50</v>
      </c>
      <c r="ED952" s="4"/>
      <c r="EE952" s="4"/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/>
      <c r="FB952" s="4"/>
      <c r="FC952" s="4"/>
      <c r="FD952" s="4"/>
      <c r="FE952" s="4"/>
      <c r="FF952" s="4"/>
      <c r="FG952" s="4"/>
      <c r="FH952" s="4"/>
      <c r="FI952" s="4"/>
      <c r="FJ952" s="4"/>
      <c r="FK952" s="4"/>
      <c r="FL952" s="4"/>
      <c r="FM952" s="4"/>
      <c r="FN952" s="4"/>
      <c r="FO952" s="4"/>
      <c r="FP952" s="4"/>
      <c r="FQ952" s="4"/>
      <c r="FR952" s="4"/>
      <c r="FS952" s="4"/>
      <c r="FT952" s="4"/>
      <c r="FU952" s="4"/>
      <c r="FV952" s="4"/>
      <c r="FW952" s="4"/>
      <c r="FX952" s="4"/>
      <c r="FY952" s="4"/>
      <c r="FZ952" s="4"/>
      <c r="GA952" s="4"/>
      <c r="GB952" s="4"/>
      <c r="GC952" s="4"/>
      <c r="GD952" s="4"/>
      <c r="GE952" s="4"/>
      <c r="GF952" s="4"/>
      <c r="GG952" s="4"/>
      <c r="GH952" s="4"/>
      <c r="GI952" s="4"/>
      <c r="GJ952" s="4"/>
      <c r="GK952" s="4"/>
      <c r="GL952" s="4"/>
      <c r="GM952" s="4"/>
      <c r="GN952" s="4"/>
      <c r="GO952" s="4"/>
      <c r="GP952" s="4"/>
      <c r="GQ952" s="4"/>
      <c r="GR952" s="4"/>
      <c r="GS952" s="4"/>
      <c r="GT952" s="4"/>
      <c r="GU952" s="4"/>
      <c r="GV952" s="4"/>
      <c r="GW952" s="4"/>
      <c r="GX952" s="4"/>
    </row>
    <row r="953">
      <c r="A953" s="2" t="s">
        <v>5620</v>
      </c>
      <c r="B953" s="2" t="s">
        <v>667</v>
      </c>
      <c r="C953" s="2" t="s">
        <v>360</v>
      </c>
      <c r="D953" s="2" t="s">
        <v>687</v>
      </c>
      <c r="E953" s="2" t="s">
        <v>699</v>
      </c>
      <c r="F953" s="2" t="s">
        <v>5612</v>
      </c>
      <c r="G953" s="2" t="s">
        <v>5613</v>
      </c>
      <c r="H953" s="2" t="s">
        <v>5614</v>
      </c>
      <c r="I953" s="2" t="s">
        <v>5615</v>
      </c>
      <c r="J953" s="2" t="s">
        <v>384</v>
      </c>
      <c r="K953" s="2" t="s">
        <v>762</v>
      </c>
      <c r="L953" s="3">
        <v>76.49</v>
      </c>
      <c r="M953" s="3">
        <v>80.32</v>
      </c>
      <c r="N953" s="3">
        <v>159.99</v>
      </c>
      <c r="O953" s="2" t="s">
        <v>224</v>
      </c>
      <c r="P953" s="2" t="s">
        <v>225</v>
      </c>
      <c r="Q953" s="2" t="s">
        <v>226</v>
      </c>
      <c r="R953" s="2" t="s">
        <v>227</v>
      </c>
      <c r="S953" s="2" t="s">
        <v>5621</v>
      </c>
      <c r="T953" s="2" t="s">
        <v>227</v>
      </c>
      <c r="U953" s="2" t="s">
        <v>1069</v>
      </c>
      <c r="V953" s="2" t="s">
        <v>724</v>
      </c>
      <c r="W953" s="2" t="s">
        <v>581</v>
      </c>
      <c r="X953" s="2" t="s">
        <v>5617</v>
      </c>
      <c r="Y953" s="2" t="s">
        <v>232</v>
      </c>
      <c r="Z953" s="4">
        <v>222</v>
      </c>
      <c r="AA953" s="4">
        <f>=ROUNDDOWN(74,0)</f>
      </c>
      <c r="AB953" s="5">
        <v>3</v>
      </c>
      <c r="AC953" s="2" t="s">
        <v>227</v>
      </c>
      <c r="AD953" s="4"/>
      <c r="AE953" s="4"/>
      <c r="AF953" s="6">
        <v>64</v>
      </c>
      <c r="AG953" s="6">
        <v>47</v>
      </c>
      <c r="AH953" s="7">
        <v>1</v>
      </c>
      <c r="AI953" s="4"/>
      <c r="AJ953" s="4">
        <f>=ROUNDDOWN({0},0)</f>
      </c>
      <c r="AK953" s="5"/>
      <c r="AL953" s="2" t="s">
        <v>227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/>
      <c r="AW953" s="8"/>
      <c r="AX953" s="4"/>
      <c r="AY953" s="8"/>
      <c r="AZ953" s="7"/>
      <c r="BA953" s="7"/>
      <c r="BB953" s="7"/>
      <c r="BC953" s="4" t="s">
        <v>227</v>
      </c>
      <c r="BD953" s="8" t="s">
        <v>227</v>
      </c>
      <c r="BE953" s="4" t="s">
        <v>227</v>
      </c>
      <c r="BF953" s="8" t="s">
        <v>227</v>
      </c>
      <c r="BG953" s="7" t="s">
        <v>227</v>
      </c>
      <c r="BH953" s="7" t="s">
        <v>227</v>
      </c>
      <c r="BI953" s="7"/>
      <c r="BJ953" s="4">
        <v>12</v>
      </c>
      <c r="BK953" s="8">
        <v>915.41</v>
      </c>
      <c r="BL953" s="2" t="s">
        <v>5622</v>
      </c>
      <c r="BM953" s="7"/>
      <c r="BN953" s="7"/>
      <c r="BO953" s="4"/>
      <c r="BP953" s="8"/>
      <c r="BQ953" s="4"/>
      <c r="BR953" s="8"/>
      <c r="BS953" s="7"/>
      <c r="BT953" s="7"/>
      <c r="BU953" s="2" t="s">
        <v>5623</v>
      </c>
      <c r="BV953" s="2" t="s">
        <v>227</v>
      </c>
      <c r="BW953" s="2" t="s">
        <v>227</v>
      </c>
      <c r="BX953" s="2" t="s">
        <v>235</v>
      </c>
      <c r="BY953" s="2" t="s">
        <v>236</v>
      </c>
      <c r="BZ953" s="2" t="s">
        <v>224</v>
      </c>
      <c r="CA953" s="2" t="s">
        <v>237</v>
      </c>
      <c r="CB953" s="2" t="s">
        <v>443</v>
      </c>
      <c r="CC953" s="2" t="s">
        <v>239</v>
      </c>
      <c r="CD953" s="2" t="s">
        <v>227</v>
      </c>
      <c r="CE953" s="4">
        <v>124</v>
      </c>
      <c r="CF953" s="4"/>
      <c r="CG953" s="4"/>
      <c r="CH953" s="4">
        <v>98</v>
      </c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/>
      <c r="FB953" s="4"/>
      <c r="FC953" s="4"/>
      <c r="FD953" s="4"/>
      <c r="FE953" s="4"/>
      <c r="FF953" s="4"/>
      <c r="FG953" s="4"/>
      <c r="FH953" s="4"/>
      <c r="FI953" s="4"/>
      <c r="FJ953" s="4"/>
      <c r="FK953" s="4"/>
      <c r="FL953" s="4"/>
      <c r="FM953" s="4"/>
      <c r="FN953" s="4"/>
      <c r="FO953" s="4"/>
      <c r="FP953" s="4"/>
      <c r="FQ953" s="4"/>
      <c r="FR953" s="4"/>
      <c r="FS953" s="4"/>
      <c r="FT953" s="4"/>
      <c r="FU953" s="4"/>
      <c r="FV953" s="4"/>
      <c r="FW953" s="4"/>
      <c r="FX953" s="4"/>
      <c r="FY953" s="4"/>
      <c r="FZ953" s="4"/>
      <c r="GA953" s="4"/>
      <c r="GB953" s="4"/>
      <c r="GC953" s="4"/>
      <c r="GD953" s="4"/>
      <c r="GE953" s="4"/>
      <c r="GF953" s="4"/>
      <c r="GG953" s="4"/>
      <c r="GH953" s="4"/>
      <c r="GI953" s="4"/>
      <c r="GJ953" s="4"/>
      <c r="GK953" s="4"/>
      <c r="GL953" s="4"/>
      <c r="GM953" s="4"/>
      <c r="GN953" s="4"/>
      <c r="GO953" s="4"/>
      <c r="GP953" s="4"/>
      <c r="GQ953" s="4"/>
      <c r="GR953" s="4"/>
      <c r="GS953" s="4"/>
      <c r="GT953" s="4"/>
      <c r="GU953" s="4"/>
      <c r="GV953" s="4"/>
      <c r="GW953" s="4"/>
      <c r="GX953" s="4"/>
    </row>
    <row r="954">
      <c r="A954" s="2" t="s">
        <v>5624</v>
      </c>
      <c r="B954" s="2" t="s">
        <v>715</v>
      </c>
      <c r="C954" s="2" t="s">
        <v>360</v>
      </c>
      <c r="D954" s="2" t="s">
        <v>716</v>
      </c>
      <c r="E954" s="2" t="s">
        <v>717</v>
      </c>
      <c r="F954" s="2" t="s">
        <v>5612</v>
      </c>
      <c r="G954" s="2" t="s">
        <v>5613</v>
      </c>
      <c r="H954" s="2" t="s">
        <v>5614</v>
      </c>
      <c r="I954" s="2" t="s">
        <v>5625</v>
      </c>
      <c r="J954" s="2" t="s">
        <v>722</v>
      </c>
      <c r="K954" s="2" t="s">
        <v>627</v>
      </c>
      <c r="L954" s="3">
        <v>16.45</v>
      </c>
      <c r="M954" s="3">
        <v>17.27</v>
      </c>
      <c r="N954" s="3">
        <v>34.99</v>
      </c>
      <c r="O954" s="2" t="s">
        <v>224</v>
      </c>
      <c r="P954" s="2" t="s">
        <v>225</v>
      </c>
      <c r="Q954" s="2" t="s">
        <v>226</v>
      </c>
      <c r="R954" s="2" t="s">
        <v>227</v>
      </c>
      <c r="S954" s="2" t="s">
        <v>5626</v>
      </c>
      <c r="T954" s="2" t="s">
        <v>227</v>
      </c>
      <c r="U954" s="2" t="s">
        <v>552</v>
      </c>
      <c r="V954" s="2" t="s">
        <v>724</v>
      </c>
      <c r="W954" s="2" t="s">
        <v>506</v>
      </c>
      <c r="X954" s="2" t="s">
        <v>725</v>
      </c>
      <c r="Y954" s="2" t="s">
        <v>5627</v>
      </c>
      <c r="Z954" s="4">
        <v>172</v>
      </c>
      <c r="AA954" s="4">
        <f>=ROUNDDOWN(11.4666666666667,0)</f>
      </c>
      <c r="AB954" s="5">
        <v>15</v>
      </c>
      <c r="AC954" s="2" t="s">
        <v>732</v>
      </c>
      <c r="AD954" s="4">
        <v>256</v>
      </c>
      <c r="AE954" s="4">
        <v>476</v>
      </c>
      <c r="AF954" s="6">
        <v>64</v>
      </c>
      <c r="AG954" s="6"/>
      <c r="AH954" s="7">
        <v>1</v>
      </c>
      <c r="AI954" s="4"/>
      <c r="AJ954" s="4">
        <f>=ROUNDDOWN({0},0)</f>
      </c>
      <c r="AK954" s="5"/>
      <c r="AL954" s="2" t="s">
        <v>227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/>
      <c r="AW954" s="8"/>
      <c r="AX954" s="4"/>
      <c r="AY954" s="8"/>
      <c r="AZ954" s="7"/>
      <c r="BA954" s="7"/>
      <c r="BB954" s="7"/>
      <c r="BC954" s="4" t="s">
        <v>227</v>
      </c>
      <c r="BD954" s="8" t="s">
        <v>227</v>
      </c>
      <c r="BE954" s="4" t="s">
        <v>227</v>
      </c>
      <c r="BF954" s="8" t="s">
        <v>227</v>
      </c>
      <c r="BG954" s="7" t="s">
        <v>227</v>
      </c>
      <c r="BH954" s="7" t="s">
        <v>227</v>
      </c>
      <c r="BI954" s="7"/>
      <c r="BJ954" s="4">
        <v>36</v>
      </c>
      <c r="BK954" s="8">
        <v>670.96</v>
      </c>
      <c r="BL954" s="2" t="s">
        <v>5628</v>
      </c>
      <c r="BM954" s="7"/>
      <c r="BN954" s="7"/>
      <c r="BO954" s="4"/>
      <c r="BP954" s="8"/>
      <c r="BQ954" s="4"/>
      <c r="BR954" s="8"/>
      <c r="BS954" s="7"/>
      <c r="BT954" s="7"/>
      <c r="BU954" s="2" t="s">
        <v>5629</v>
      </c>
      <c r="BV954" s="2" t="s">
        <v>227</v>
      </c>
      <c r="BW954" s="2" t="s">
        <v>227</v>
      </c>
      <c r="BX954" s="2" t="s">
        <v>235</v>
      </c>
      <c r="BY954" s="2" t="s">
        <v>236</v>
      </c>
      <c r="BZ954" s="2" t="s">
        <v>224</v>
      </c>
      <c r="CA954" s="2" t="s">
        <v>4866</v>
      </c>
      <c r="CB954" s="2" t="s">
        <v>2528</v>
      </c>
      <c r="CC954" s="2" t="s">
        <v>239</v>
      </c>
      <c r="CD954" s="2" t="s">
        <v>227</v>
      </c>
      <c r="CE954" s="4">
        <v>172</v>
      </c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>
        <v>256</v>
      </c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/>
      <c r="FB954" s="4"/>
      <c r="FC954" s="4"/>
      <c r="FD954" s="4"/>
      <c r="FE954" s="4"/>
      <c r="FF954" s="4"/>
      <c r="FG954" s="4"/>
      <c r="FH954" s="4"/>
      <c r="FI954" s="4"/>
      <c r="FJ954" s="4"/>
      <c r="FK954" s="4"/>
      <c r="FL954" s="4"/>
      <c r="FM954" s="4"/>
      <c r="FN954" s="4"/>
      <c r="FO954" s="4"/>
      <c r="FP954" s="4"/>
      <c r="FQ954" s="4"/>
      <c r="FR954" s="4"/>
      <c r="FS954" s="4"/>
      <c r="FT954" s="4"/>
      <c r="FU954" s="4"/>
      <c r="FV954" s="4"/>
      <c r="FW954" s="4">
        <v>220</v>
      </c>
      <c r="FX954" s="4"/>
      <c r="FY954" s="4"/>
      <c r="FZ954" s="4"/>
      <c r="GA954" s="4"/>
      <c r="GB954" s="4"/>
      <c r="GC954" s="4"/>
      <c r="GD954" s="4"/>
      <c r="GE954" s="4"/>
      <c r="GF954" s="4"/>
      <c r="GG954" s="4"/>
      <c r="GH954" s="4"/>
      <c r="GI954" s="4"/>
      <c r="GJ954" s="4"/>
      <c r="GK954" s="4"/>
      <c r="GL954" s="4"/>
      <c r="GM954" s="4"/>
      <c r="GN954" s="4"/>
      <c r="GO954" s="4"/>
      <c r="GP954" s="4"/>
      <c r="GQ954" s="4"/>
      <c r="GR954" s="4"/>
      <c r="GS954" s="4"/>
      <c r="GT954" s="4"/>
      <c r="GU954" s="4"/>
      <c r="GV954" s="4"/>
      <c r="GW954" s="4"/>
      <c r="GX954" s="4"/>
    </row>
    <row r="955">
      <c r="A955" s="2" t="s">
        <v>5630</v>
      </c>
      <c r="B955" s="2" t="s">
        <v>573</v>
      </c>
      <c r="C955" s="2" t="s">
        <v>360</v>
      </c>
      <c r="D955" s="2" t="s">
        <v>856</v>
      </c>
      <c r="E955" s="2" t="s">
        <v>933</v>
      </c>
      <c r="F955" s="2" t="s">
        <v>5631</v>
      </c>
      <c r="G955" s="2" t="s">
        <v>5632</v>
      </c>
      <c r="H955" s="2" t="s">
        <v>5633</v>
      </c>
      <c r="I955" s="2" t="s">
        <v>5634</v>
      </c>
      <c r="J955" s="2" t="s">
        <v>548</v>
      </c>
      <c r="K955" s="2" t="s">
        <v>1242</v>
      </c>
      <c r="L955" s="3">
        <v>114</v>
      </c>
      <c r="M955" s="3">
        <v>119.7</v>
      </c>
      <c r="N955" s="3">
        <v>239</v>
      </c>
      <c r="O955" s="2" t="s">
        <v>224</v>
      </c>
      <c r="P955" s="2" t="s">
        <v>225</v>
      </c>
      <c r="Q955" s="2" t="s">
        <v>226</v>
      </c>
      <c r="R955" s="2" t="s">
        <v>227</v>
      </c>
      <c r="S955" s="2" t="s">
        <v>5635</v>
      </c>
      <c r="T955" s="2" t="s">
        <v>227</v>
      </c>
      <c r="U955" s="2" t="s">
        <v>227</v>
      </c>
      <c r="V955" s="2" t="s">
        <v>230</v>
      </c>
      <c r="W955" s="2" t="s">
        <v>581</v>
      </c>
      <c r="X955" s="2" t="s">
        <v>227</v>
      </c>
      <c r="Y955" s="2" t="s">
        <v>5636</v>
      </c>
      <c r="Z955" s="4">
        <v>396</v>
      </c>
      <c r="AA955" s="4">
        <f>=ROUNDDOWN(33,0)</f>
      </c>
      <c r="AB955" s="5">
        <v>12</v>
      </c>
      <c r="AC955" s="2" t="s">
        <v>193</v>
      </c>
      <c r="AD955" s="4">
        <v>51</v>
      </c>
      <c r="AE955" s="4">
        <v>140</v>
      </c>
      <c r="AF955" s="6">
        <v>76</v>
      </c>
      <c r="AG955" s="6">
        <v>67</v>
      </c>
      <c r="AH955" s="7">
        <v>1</v>
      </c>
      <c r="AI955" s="4"/>
      <c r="AJ955" s="4">
        <f>=ROUNDDOWN({0},0)</f>
      </c>
      <c r="AK955" s="5"/>
      <c r="AL955" s="2" t="s">
        <v>227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/>
      <c r="BD955" s="8"/>
      <c r="BE955" s="4"/>
      <c r="BF955" s="8"/>
      <c r="BG955" s="7"/>
      <c r="BH955" s="7"/>
      <c r="BI955" s="7"/>
      <c r="BJ955" s="4">
        <v>42</v>
      </c>
      <c r="BK955" s="8">
        <v>4713.65</v>
      </c>
      <c r="BL955" s="2" t="s">
        <v>5637</v>
      </c>
      <c r="BM955" s="7"/>
      <c r="BN955" s="7"/>
      <c r="BO955" s="4"/>
      <c r="BP955" s="8"/>
      <c r="BQ955" s="4"/>
      <c r="BR955" s="8"/>
      <c r="BS955" s="7"/>
      <c r="BT955" s="7"/>
      <c r="BU955" s="2" t="s">
        <v>5638</v>
      </c>
      <c r="BV955" s="2" t="s">
        <v>227</v>
      </c>
      <c r="BW955" s="2" t="s">
        <v>227</v>
      </c>
      <c r="BX955" s="2" t="s">
        <v>235</v>
      </c>
      <c r="BY955" s="2" t="s">
        <v>236</v>
      </c>
      <c r="BZ955" s="2" t="s">
        <v>224</v>
      </c>
      <c r="CA955" s="2" t="s">
        <v>5639</v>
      </c>
      <c r="CB955" s="2" t="s">
        <v>5640</v>
      </c>
      <c r="CC955" s="2" t="s">
        <v>239</v>
      </c>
      <c r="CD955" s="2" t="s">
        <v>227</v>
      </c>
      <c r="CE955" s="4"/>
      <c r="CF955" s="4">
        <v>396</v>
      </c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/>
      <c r="FA955" s="4"/>
      <c r="FB955" s="4"/>
      <c r="FC955" s="4"/>
      <c r="FD955" s="4"/>
      <c r="FE955" s="4"/>
      <c r="FF955" s="4"/>
      <c r="FG955" s="4"/>
      <c r="FH955" s="4"/>
      <c r="FI955" s="4"/>
      <c r="FJ955" s="4"/>
      <c r="FK955" s="4"/>
      <c r="FL955" s="4"/>
      <c r="FM955" s="4"/>
      <c r="FN955" s="4"/>
      <c r="FO955" s="4"/>
      <c r="FP955" s="4"/>
      <c r="FQ955" s="4"/>
      <c r="FR955" s="4"/>
      <c r="FS955" s="4"/>
      <c r="FT955" s="4"/>
      <c r="FU955" s="4"/>
      <c r="FV955" s="4"/>
      <c r="FW955" s="4"/>
      <c r="FX955" s="4"/>
      <c r="FY955" s="4"/>
      <c r="FZ955" s="4"/>
      <c r="GA955" s="4"/>
      <c r="GB955" s="4"/>
      <c r="GC955" s="4">
        <v>51</v>
      </c>
      <c r="GD955" s="4"/>
      <c r="GE955" s="4"/>
      <c r="GF955" s="4"/>
      <c r="GG955" s="4"/>
      <c r="GH955" s="4"/>
      <c r="GI955" s="4"/>
      <c r="GJ955" s="4"/>
      <c r="GK955" s="4"/>
      <c r="GL955" s="4"/>
      <c r="GM955" s="4"/>
      <c r="GN955" s="4">
        <v>89</v>
      </c>
      <c r="GO955" s="4"/>
      <c r="GP955" s="4"/>
      <c r="GQ955" s="4"/>
      <c r="GR955" s="4"/>
      <c r="GS955" s="4"/>
      <c r="GT955" s="4"/>
      <c r="GU955" s="4"/>
      <c r="GV955" s="4"/>
      <c r="GW955" s="4"/>
      <c r="GX955" s="4"/>
    </row>
    <row r="956">
      <c r="A956" s="2" t="s">
        <v>5641</v>
      </c>
      <c r="B956" s="2" t="s">
        <v>573</v>
      </c>
      <c r="C956" s="2" t="s">
        <v>668</v>
      </c>
      <c r="D956" s="2" t="s">
        <v>832</v>
      </c>
      <c r="E956" s="2" t="s">
        <v>833</v>
      </c>
      <c r="F956" s="2" t="s">
        <v>5642</v>
      </c>
      <c r="G956" s="2" t="s">
        <v>5642</v>
      </c>
      <c r="H956" s="2" t="s">
        <v>5642</v>
      </c>
      <c r="I956" s="2" t="s">
        <v>1415</v>
      </c>
      <c r="J956" s="2" t="s">
        <v>548</v>
      </c>
      <c r="K956" s="2" t="s">
        <v>1428</v>
      </c>
      <c r="L956" s="3">
        <v>226.1</v>
      </c>
      <c r="M956" s="3">
        <v>237.4</v>
      </c>
      <c r="N956" s="3">
        <v>479</v>
      </c>
      <c r="O956" s="2" t="s">
        <v>224</v>
      </c>
      <c r="P956" s="2" t="s">
        <v>225</v>
      </c>
      <c r="Q956" s="2" t="s">
        <v>226</v>
      </c>
      <c r="R956" s="2" t="s">
        <v>227</v>
      </c>
      <c r="S956" s="2" t="s">
        <v>5643</v>
      </c>
      <c r="T956" s="2" t="s">
        <v>227</v>
      </c>
      <c r="U956" s="2" t="s">
        <v>227</v>
      </c>
      <c r="V956" s="2" t="s">
        <v>230</v>
      </c>
      <c r="W956" s="2" t="s">
        <v>4968</v>
      </c>
      <c r="X956" s="2" t="s">
        <v>227</v>
      </c>
      <c r="Y956" s="2" t="s">
        <v>5644</v>
      </c>
      <c r="Z956" s="4">
        <v>99</v>
      </c>
      <c r="AA956" s="4">
        <f>=ROUNDDOWN(19.8,0)</f>
      </c>
      <c r="AB956" s="5">
        <v>5</v>
      </c>
      <c r="AC956" s="2" t="s">
        <v>227</v>
      </c>
      <c r="AD956" s="4"/>
      <c r="AE956" s="4"/>
      <c r="AF956" s="6">
        <v>66</v>
      </c>
      <c r="AG956" s="6"/>
      <c r="AH956" s="7">
        <v>1</v>
      </c>
      <c r="AI956" s="4"/>
      <c r="AJ956" s="4">
        <f>=ROUNDDOWN({0},0)</f>
      </c>
      <c r="AK956" s="5"/>
      <c r="AL956" s="2" t="s">
        <v>227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/>
      <c r="AW956" s="8"/>
      <c r="AX956" s="4"/>
      <c r="AY956" s="8"/>
      <c r="AZ956" s="7"/>
      <c r="BA956" s="7"/>
      <c r="BB956" s="7"/>
      <c r="BC956" s="4"/>
      <c r="BD956" s="8"/>
      <c r="BE956" s="4"/>
      <c r="BF956" s="8"/>
      <c r="BG956" s="7"/>
      <c r="BH956" s="7"/>
      <c r="BI956" s="7"/>
      <c r="BJ956" s="4">
        <v>57</v>
      </c>
      <c r="BK956" s="8">
        <v>11103.95</v>
      </c>
      <c r="BL956" s="2" t="s">
        <v>5645</v>
      </c>
      <c r="BM956" s="7"/>
      <c r="BN956" s="7"/>
      <c r="BO956" s="4"/>
      <c r="BP956" s="8"/>
      <c r="BQ956" s="4"/>
      <c r="BR956" s="8"/>
      <c r="BS956" s="7"/>
      <c r="BT956" s="7"/>
      <c r="BU956" s="2" t="s">
        <v>5646</v>
      </c>
      <c r="BV956" s="2" t="s">
        <v>227</v>
      </c>
      <c r="BW956" s="2" t="s">
        <v>227</v>
      </c>
      <c r="BX956" s="2" t="s">
        <v>235</v>
      </c>
      <c r="BY956" s="2" t="s">
        <v>236</v>
      </c>
      <c r="BZ956" s="2" t="s">
        <v>224</v>
      </c>
      <c r="CA956" s="2" t="s">
        <v>5647</v>
      </c>
      <c r="CB956" s="2" t="s">
        <v>5648</v>
      </c>
      <c r="CC956" s="2" t="s">
        <v>239</v>
      </c>
      <c r="CD956" s="2" t="s">
        <v>227</v>
      </c>
      <c r="CE956" s="4"/>
      <c r="CF956" s="4">
        <v>99</v>
      </c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/>
      <c r="FB956" s="4"/>
      <c r="FC956" s="4"/>
      <c r="FD956" s="4"/>
      <c r="FE956" s="4"/>
      <c r="FF956" s="4"/>
      <c r="FG956" s="4"/>
      <c r="FH956" s="4"/>
      <c r="FI956" s="4"/>
      <c r="FJ956" s="4"/>
      <c r="FK956" s="4"/>
      <c r="FL956" s="4"/>
      <c r="FM956" s="4"/>
      <c r="FN956" s="4"/>
      <c r="FO956" s="4"/>
      <c r="FP956" s="4"/>
      <c r="FQ956" s="4"/>
      <c r="FR956" s="4"/>
      <c r="FS956" s="4"/>
      <c r="FT956" s="4"/>
      <c r="FU956" s="4"/>
      <c r="FV956" s="4"/>
      <c r="FW956" s="4"/>
      <c r="FX956" s="4"/>
      <c r="FY956" s="4"/>
      <c r="FZ956" s="4"/>
      <c r="GA956" s="4"/>
      <c r="GB956" s="4"/>
      <c r="GC956" s="4"/>
      <c r="GD956" s="4"/>
      <c r="GE956" s="4"/>
      <c r="GF956" s="4"/>
      <c r="GG956" s="4"/>
      <c r="GH956" s="4"/>
      <c r="GI956" s="4"/>
      <c r="GJ956" s="4"/>
      <c r="GK956" s="4"/>
      <c r="GL956" s="4"/>
      <c r="GM956" s="4"/>
      <c r="GN956" s="4"/>
      <c r="GO956" s="4"/>
      <c r="GP956" s="4"/>
      <c r="GQ956" s="4"/>
      <c r="GR956" s="4"/>
      <c r="GS956" s="4"/>
      <c r="GT956" s="4"/>
      <c r="GU956" s="4"/>
      <c r="GV956" s="4"/>
      <c r="GW956" s="4"/>
      <c r="GX956" s="4"/>
    </row>
    <row r="957">
      <c r="A957" s="2" t="s">
        <v>5649</v>
      </c>
      <c r="B957" s="2" t="s">
        <v>697</v>
      </c>
      <c r="C957" s="2" t="s">
        <v>2227</v>
      </c>
      <c r="D957" s="2" t="s">
        <v>1982</v>
      </c>
      <c r="E957" s="2" t="s">
        <v>1983</v>
      </c>
      <c r="F957" s="2" t="s">
        <v>5650</v>
      </c>
      <c r="G957" s="2" t="s">
        <v>5650</v>
      </c>
      <c r="H957" s="2" t="s">
        <v>5650</v>
      </c>
      <c r="I957" s="2" t="s">
        <v>1985</v>
      </c>
      <c r="J957" s="2" t="s">
        <v>222</v>
      </c>
      <c r="K957" s="2" t="s">
        <v>223</v>
      </c>
      <c r="L957" s="3">
        <v>45.23</v>
      </c>
      <c r="M957" s="3">
        <v>47.49</v>
      </c>
      <c r="N957" s="3">
        <v>94.99</v>
      </c>
      <c r="O957" s="2" t="s">
        <v>224</v>
      </c>
      <c r="P957" s="2" t="s">
        <v>225</v>
      </c>
      <c r="Q957" s="2" t="s">
        <v>226</v>
      </c>
      <c r="R957" s="2" t="s">
        <v>227</v>
      </c>
      <c r="S957" s="2" t="s">
        <v>5651</v>
      </c>
      <c r="T957" s="2" t="s">
        <v>704</v>
      </c>
      <c r="U957" s="2" t="s">
        <v>552</v>
      </c>
      <c r="V957" s="2" t="s">
        <v>230</v>
      </c>
      <c r="W957" s="2" t="s">
        <v>231</v>
      </c>
      <c r="X957" s="2" t="s">
        <v>705</v>
      </c>
      <c r="Y957" s="2" t="s">
        <v>1109</v>
      </c>
      <c r="Z957" s="4">
        <v>193</v>
      </c>
      <c r="AA957" s="4">
        <f>=ROUNDDOWN(32.1666666666667,0)</f>
      </c>
      <c r="AB957" s="5">
        <v>6</v>
      </c>
      <c r="AC957" s="2" t="s">
        <v>3411</v>
      </c>
      <c r="AD957" s="4">
        <v>160</v>
      </c>
      <c r="AE957" s="4">
        <v>300</v>
      </c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227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 t="s">
        <v>227</v>
      </c>
      <c r="AW957" s="8" t="s">
        <v>227</v>
      </c>
      <c r="AX957" s="4" t="s">
        <v>227</v>
      </c>
      <c r="AY957" s="8" t="s">
        <v>227</v>
      </c>
      <c r="AZ957" s="7" t="s">
        <v>227</v>
      </c>
      <c r="BA957" s="7" t="s">
        <v>227</v>
      </c>
      <c r="BB957" s="7"/>
      <c r="BC957" s="4" t="s">
        <v>227</v>
      </c>
      <c r="BD957" s="8" t="s">
        <v>227</v>
      </c>
      <c r="BE957" s="4" t="s">
        <v>227</v>
      </c>
      <c r="BF957" s="8" t="s">
        <v>227</v>
      </c>
      <c r="BG957" s="7" t="s">
        <v>227</v>
      </c>
      <c r="BH957" s="7" t="s">
        <v>227</v>
      </c>
      <c r="BI957" s="7"/>
      <c r="BJ957" s="4">
        <v>3</v>
      </c>
      <c r="BK957" s="8">
        <v>151.03</v>
      </c>
      <c r="BL957" s="2" t="s">
        <v>1750</v>
      </c>
      <c r="BM957" s="7"/>
      <c r="BN957" s="7"/>
      <c r="BO957" s="4"/>
      <c r="BP957" s="8"/>
      <c r="BQ957" s="4"/>
      <c r="BR957" s="8"/>
      <c r="BS957" s="7"/>
      <c r="BT957" s="7"/>
      <c r="BU957" s="2" t="s">
        <v>5652</v>
      </c>
      <c r="BV957" s="2" t="s">
        <v>227</v>
      </c>
      <c r="BW957" s="2" t="s">
        <v>227</v>
      </c>
      <c r="BX957" s="2" t="s">
        <v>235</v>
      </c>
      <c r="BY957" s="2" t="s">
        <v>236</v>
      </c>
      <c r="BZ957" s="2" t="s">
        <v>224</v>
      </c>
      <c r="CA957" s="2" t="s">
        <v>1993</v>
      </c>
      <c r="CB957" s="2" t="s">
        <v>304</v>
      </c>
      <c r="CC957" s="2" t="s">
        <v>239</v>
      </c>
      <c r="CD957" s="2" t="s">
        <v>227</v>
      </c>
      <c r="CE957" s="4">
        <v>193</v>
      </c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>
        <v>160</v>
      </c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/>
      <c r="FA957" s="4"/>
      <c r="FB957" s="4"/>
      <c r="FC957" s="4"/>
      <c r="FD957" s="4"/>
      <c r="FE957" s="4"/>
      <c r="FF957" s="4"/>
      <c r="FG957" s="4"/>
      <c r="FH957" s="4"/>
      <c r="FI957" s="4"/>
      <c r="FJ957" s="4"/>
      <c r="FK957" s="4"/>
      <c r="FL957" s="4"/>
      <c r="FM957" s="4"/>
      <c r="FN957" s="4"/>
      <c r="FO957" s="4"/>
      <c r="FP957" s="4"/>
      <c r="FQ957" s="4"/>
      <c r="FR957" s="4"/>
      <c r="FS957" s="4"/>
      <c r="FT957" s="4"/>
      <c r="FU957" s="4"/>
      <c r="FV957" s="4"/>
      <c r="FW957" s="4">
        <v>140</v>
      </c>
      <c r="FX957" s="4"/>
      <c r="FY957" s="4"/>
      <c r="FZ957" s="4"/>
      <c r="GA957" s="4"/>
      <c r="GB957" s="4"/>
      <c r="GC957" s="4"/>
      <c r="GD957" s="4"/>
      <c r="GE957" s="4"/>
      <c r="GF957" s="4"/>
      <c r="GG957" s="4"/>
      <c r="GH957" s="4"/>
      <c r="GI957" s="4"/>
      <c r="GJ957" s="4"/>
      <c r="GK957" s="4"/>
      <c r="GL957" s="4"/>
      <c r="GM957" s="4"/>
      <c r="GN957" s="4"/>
      <c r="GO957" s="4"/>
      <c r="GP957" s="4"/>
      <c r="GQ957" s="4"/>
      <c r="GR957" s="4"/>
      <c r="GS957" s="4"/>
      <c r="GT957" s="4"/>
      <c r="GU957" s="4"/>
      <c r="GV957" s="4"/>
      <c r="GW957" s="4"/>
      <c r="GX957" s="4"/>
    </row>
    <row r="958">
      <c r="A958" s="2" t="s">
        <v>5653</v>
      </c>
      <c r="B958" s="2" t="s">
        <v>697</v>
      </c>
      <c r="C958" s="2" t="s">
        <v>2227</v>
      </c>
      <c r="D958" s="2" t="s">
        <v>1982</v>
      </c>
      <c r="E958" s="2" t="s">
        <v>1983</v>
      </c>
      <c r="F958" s="2" t="s">
        <v>5650</v>
      </c>
      <c r="G958" s="2" t="s">
        <v>5650</v>
      </c>
      <c r="H958" s="2" t="s">
        <v>5650</v>
      </c>
      <c r="I958" s="2" t="s">
        <v>1985</v>
      </c>
      <c r="J958" s="2" t="s">
        <v>257</v>
      </c>
      <c r="K958" s="2" t="s">
        <v>223</v>
      </c>
      <c r="L958" s="3">
        <v>78.57</v>
      </c>
      <c r="M958" s="3">
        <v>82.5</v>
      </c>
      <c r="N958" s="3">
        <v>164.99</v>
      </c>
      <c r="O958" s="2" t="s">
        <v>224</v>
      </c>
      <c r="P958" s="2" t="s">
        <v>225</v>
      </c>
      <c r="Q958" s="2" t="s">
        <v>226</v>
      </c>
      <c r="R958" s="2" t="s">
        <v>227</v>
      </c>
      <c r="S958" s="2" t="s">
        <v>5651</v>
      </c>
      <c r="T958" s="2" t="s">
        <v>704</v>
      </c>
      <c r="U958" s="2" t="s">
        <v>552</v>
      </c>
      <c r="V958" s="2" t="s">
        <v>230</v>
      </c>
      <c r="W958" s="2" t="s">
        <v>231</v>
      </c>
      <c r="X958" s="2" t="s">
        <v>705</v>
      </c>
      <c r="Y958" s="2" t="s">
        <v>1991</v>
      </c>
      <c r="Z958" s="4">
        <v>271</v>
      </c>
      <c r="AA958" s="4">
        <f>=ROUNDDOWN(20.8461538461538,0)</f>
      </c>
      <c r="AB958" s="5">
        <v>13</v>
      </c>
      <c r="AC958" s="2" t="s">
        <v>156</v>
      </c>
      <c r="AD958" s="4">
        <v>180</v>
      </c>
      <c r="AE958" s="4">
        <v>220</v>
      </c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227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227</v>
      </c>
      <c r="AW958" s="8" t="s">
        <v>227</v>
      </c>
      <c r="AX958" s="4" t="s">
        <v>227</v>
      </c>
      <c r="AY958" s="8" t="s">
        <v>227</v>
      </c>
      <c r="AZ958" s="7" t="s">
        <v>227</v>
      </c>
      <c r="BA958" s="7" t="s">
        <v>227</v>
      </c>
      <c r="BB958" s="7"/>
      <c r="BC958" s="4" t="s">
        <v>227</v>
      </c>
      <c r="BD958" s="8" t="s">
        <v>227</v>
      </c>
      <c r="BE958" s="4" t="s">
        <v>227</v>
      </c>
      <c r="BF958" s="8" t="s">
        <v>227</v>
      </c>
      <c r="BG958" s="7" t="s">
        <v>227</v>
      </c>
      <c r="BH958" s="7" t="s">
        <v>227</v>
      </c>
      <c r="BI958" s="7"/>
      <c r="BJ958" s="4">
        <v>4</v>
      </c>
      <c r="BK958" s="8">
        <v>351.44</v>
      </c>
      <c r="BL958" s="2" t="s">
        <v>2155</v>
      </c>
      <c r="BM958" s="7"/>
      <c r="BN958" s="7"/>
      <c r="BO958" s="4"/>
      <c r="BP958" s="8"/>
      <c r="BQ958" s="4"/>
      <c r="BR958" s="8"/>
      <c r="BS958" s="7"/>
      <c r="BT958" s="7"/>
      <c r="BU958" s="2" t="s">
        <v>5654</v>
      </c>
      <c r="BV958" s="2" t="s">
        <v>227</v>
      </c>
      <c r="BW958" s="2" t="s">
        <v>227</v>
      </c>
      <c r="BX958" s="2" t="s">
        <v>235</v>
      </c>
      <c r="BY958" s="2" t="s">
        <v>236</v>
      </c>
      <c r="BZ958" s="2" t="s">
        <v>224</v>
      </c>
      <c r="CA958" s="2" t="s">
        <v>1993</v>
      </c>
      <c r="CB958" s="2" t="s">
        <v>5655</v>
      </c>
      <c r="CC958" s="2" t="s">
        <v>239</v>
      </c>
      <c r="CD958" s="2" t="s">
        <v>227</v>
      </c>
      <c r="CE958" s="4">
        <v>271</v>
      </c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>
        <v>180</v>
      </c>
      <c r="ES958" s="4"/>
      <c r="ET958" s="4"/>
      <c r="EU958" s="4"/>
      <c r="EV958" s="4"/>
      <c r="EW958" s="4"/>
      <c r="EX958" s="4"/>
      <c r="EY958" s="4"/>
      <c r="EZ958" s="4"/>
      <c r="FA958" s="4"/>
      <c r="FB958" s="4"/>
      <c r="FC958" s="4"/>
      <c r="FD958" s="4"/>
      <c r="FE958" s="4"/>
      <c r="FF958" s="4"/>
      <c r="FG958" s="4"/>
      <c r="FH958" s="4"/>
      <c r="FI958" s="4"/>
      <c r="FJ958" s="4"/>
      <c r="FK958" s="4"/>
      <c r="FL958" s="4"/>
      <c r="FM958" s="4"/>
      <c r="FN958" s="4"/>
      <c r="FO958" s="4"/>
      <c r="FP958" s="4"/>
      <c r="FQ958" s="4"/>
      <c r="FR958" s="4"/>
      <c r="FS958" s="4"/>
      <c r="FT958" s="4"/>
      <c r="FU958" s="4"/>
      <c r="FV958" s="4"/>
      <c r="FW958" s="4">
        <v>40</v>
      </c>
      <c r="FX958" s="4"/>
      <c r="FY958" s="4"/>
      <c r="FZ958" s="4"/>
      <c r="GA958" s="4"/>
      <c r="GB958" s="4"/>
      <c r="GC958" s="4"/>
      <c r="GD958" s="4"/>
      <c r="GE958" s="4"/>
      <c r="GF958" s="4"/>
      <c r="GG958" s="4"/>
      <c r="GH958" s="4"/>
      <c r="GI958" s="4"/>
      <c r="GJ958" s="4"/>
      <c r="GK958" s="4"/>
      <c r="GL958" s="4"/>
      <c r="GM958" s="4"/>
      <c r="GN958" s="4"/>
      <c r="GO958" s="4"/>
      <c r="GP958" s="4"/>
      <c r="GQ958" s="4"/>
      <c r="GR958" s="4"/>
      <c r="GS958" s="4"/>
      <c r="GT958" s="4"/>
      <c r="GU958" s="4"/>
      <c r="GV958" s="4"/>
      <c r="GW958" s="4"/>
      <c r="GX958" s="4"/>
    </row>
    <row r="959">
      <c r="A959" s="2" t="s">
        <v>5656</v>
      </c>
      <c r="B959" s="2" t="s">
        <v>697</v>
      </c>
      <c r="C959" s="2" t="s">
        <v>2227</v>
      </c>
      <c r="D959" s="2" t="s">
        <v>1982</v>
      </c>
      <c r="E959" s="2" t="s">
        <v>1983</v>
      </c>
      <c r="F959" s="2" t="s">
        <v>5650</v>
      </c>
      <c r="G959" s="2" t="s">
        <v>5650</v>
      </c>
      <c r="H959" s="2" t="s">
        <v>5650</v>
      </c>
      <c r="I959" s="2" t="s">
        <v>1985</v>
      </c>
      <c r="J959" s="2" t="s">
        <v>222</v>
      </c>
      <c r="K959" s="2" t="s">
        <v>1428</v>
      </c>
      <c r="L959" s="3">
        <v>45.23</v>
      </c>
      <c r="M959" s="3">
        <v>47.49</v>
      </c>
      <c r="N959" s="3">
        <v>94.99</v>
      </c>
      <c r="O959" s="2" t="s">
        <v>224</v>
      </c>
      <c r="P959" s="2" t="s">
        <v>225</v>
      </c>
      <c r="Q959" s="2" t="s">
        <v>226</v>
      </c>
      <c r="R959" s="2" t="s">
        <v>227</v>
      </c>
      <c r="S959" s="2" t="s">
        <v>5657</v>
      </c>
      <c r="T959" s="2" t="s">
        <v>704</v>
      </c>
      <c r="U959" s="2" t="s">
        <v>552</v>
      </c>
      <c r="V959" s="2" t="s">
        <v>230</v>
      </c>
      <c r="W959" s="2" t="s">
        <v>231</v>
      </c>
      <c r="X959" s="2" t="s">
        <v>705</v>
      </c>
      <c r="Y959" s="2" t="s">
        <v>1991</v>
      </c>
      <c r="Z959" s="4">
        <v>224</v>
      </c>
      <c r="AA959" s="4">
        <f>=ROUNDDOWN(74.6666666666667,0)</f>
      </c>
      <c r="AB959" s="5">
        <v>3</v>
      </c>
      <c r="AC959" s="2" t="s">
        <v>227</v>
      </c>
      <c r="AD959" s="4"/>
      <c r="AE959" s="4"/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227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 t="s">
        <v>227</v>
      </c>
      <c r="AW959" s="8" t="s">
        <v>227</v>
      </c>
      <c r="AX959" s="4" t="s">
        <v>227</v>
      </c>
      <c r="AY959" s="8" t="s">
        <v>227</v>
      </c>
      <c r="AZ959" s="7" t="s">
        <v>227</v>
      </c>
      <c r="BA959" s="7" t="s">
        <v>227</v>
      </c>
      <c r="BB959" s="7"/>
      <c r="BC959" s="4" t="s">
        <v>227</v>
      </c>
      <c r="BD959" s="8" t="s">
        <v>227</v>
      </c>
      <c r="BE959" s="4" t="s">
        <v>227</v>
      </c>
      <c r="BF959" s="8" t="s">
        <v>227</v>
      </c>
      <c r="BG959" s="7" t="s">
        <v>227</v>
      </c>
      <c r="BH959" s="7" t="s">
        <v>227</v>
      </c>
      <c r="BI959" s="7"/>
      <c r="BJ959" s="4">
        <v>4</v>
      </c>
      <c r="BK959" s="8">
        <v>200.9</v>
      </c>
      <c r="BL959" s="2" t="s">
        <v>1750</v>
      </c>
      <c r="BM959" s="7"/>
      <c r="BN959" s="7"/>
      <c r="BO959" s="4"/>
      <c r="BP959" s="8"/>
      <c r="BQ959" s="4"/>
      <c r="BR959" s="8"/>
      <c r="BS959" s="7"/>
      <c r="BT959" s="7"/>
      <c r="BU959" s="2" t="s">
        <v>5658</v>
      </c>
      <c r="BV959" s="2" t="s">
        <v>227</v>
      </c>
      <c r="BW959" s="2" t="s">
        <v>227</v>
      </c>
      <c r="BX959" s="2" t="s">
        <v>235</v>
      </c>
      <c r="BY959" s="2" t="s">
        <v>236</v>
      </c>
      <c r="BZ959" s="2" t="s">
        <v>224</v>
      </c>
      <c r="CA959" s="2" t="s">
        <v>1993</v>
      </c>
      <c r="CB959" s="2" t="s">
        <v>2708</v>
      </c>
      <c r="CC959" s="2" t="s">
        <v>239</v>
      </c>
      <c r="CD959" s="2" t="s">
        <v>227</v>
      </c>
      <c r="CE959" s="4">
        <v>224</v>
      </c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/>
      <c r="FB959" s="4"/>
      <c r="FC959" s="4"/>
      <c r="FD959" s="4"/>
      <c r="FE959" s="4"/>
      <c r="FF959" s="4"/>
      <c r="FG959" s="4"/>
      <c r="FH959" s="4"/>
      <c r="FI959" s="4"/>
      <c r="FJ959" s="4"/>
      <c r="FK959" s="4"/>
      <c r="FL959" s="4"/>
      <c r="FM959" s="4"/>
      <c r="FN959" s="4"/>
      <c r="FO959" s="4"/>
      <c r="FP959" s="4"/>
      <c r="FQ959" s="4"/>
      <c r="FR959" s="4"/>
      <c r="FS959" s="4"/>
      <c r="FT959" s="4"/>
      <c r="FU959" s="4"/>
      <c r="FV959" s="4"/>
      <c r="FW959" s="4"/>
      <c r="FX959" s="4"/>
      <c r="FY959" s="4"/>
      <c r="FZ959" s="4"/>
      <c r="GA959" s="4"/>
      <c r="GB959" s="4"/>
      <c r="GC959" s="4"/>
      <c r="GD959" s="4"/>
      <c r="GE959" s="4"/>
      <c r="GF959" s="4"/>
      <c r="GG959" s="4"/>
      <c r="GH959" s="4"/>
      <c r="GI959" s="4"/>
      <c r="GJ959" s="4"/>
      <c r="GK959" s="4"/>
      <c r="GL959" s="4"/>
      <c r="GM959" s="4"/>
      <c r="GN959" s="4"/>
      <c r="GO959" s="4"/>
      <c r="GP959" s="4"/>
      <c r="GQ959" s="4"/>
      <c r="GR959" s="4"/>
      <c r="GS959" s="4"/>
      <c r="GT959" s="4"/>
      <c r="GU959" s="4"/>
      <c r="GV959" s="4"/>
      <c r="GW959" s="4"/>
      <c r="GX959" s="4"/>
    </row>
    <row r="960">
      <c r="A960" s="2" t="s">
        <v>5659</v>
      </c>
      <c r="B960" s="2" t="s">
        <v>697</v>
      </c>
      <c r="C960" s="2" t="s">
        <v>2227</v>
      </c>
      <c r="D960" s="2" t="s">
        <v>1982</v>
      </c>
      <c r="E960" s="2" t="s">
        <v>1983</v>
      </c>
      <c r="F960" s="2" t="s">
        <v>5650</v>
      </c>
      <c r="G960" s="2" t="s">
        <v>5650</v>
      </c>
      <c r="H960" s="2" t="s">
        <v>5650</v>
      </c>
      <c r="I960" s="2" t="s">
        <v>1985</v>
      </c>
      <c r="J960" s="2" t="s">
        <v>247</v>
      </c>
      <c r="K960" s="2" t="s">
        <v>1428</v>
      </c>
      <c r="L960" s="3">
        <v>50</v>
      </c>
      <c r="M960" s="3">
        <v>52.5</v>
      </c>
      <c r="N960" s="3">
        <v>104.99</v>
      </c>
      <c r="O960" s="2" t="s">
        <v>224</v>
      </c>
      <c r="P960" s="2" t="s">
        <v>225</v>
      </c>
      <c r="Q960" s="2" t="s">
        <v>226</v>
      </c>
      <c r="R960" s="2" t="s">
        <v>227</v>
      </c>
      <c r="S960" s="2" t="s">
        <v>5657</v>
      </c>
      <c r="T960" s="2" t="s">
        <v>704</v>
      </c>
      <c r="U960" s="2" t="s">
        <v>552</v>
      </c>
      <c r="V960" s="2" t="s">
        <v>230</v>
      </c>
      <c r="W960" s="2" t="s">
        <v>231</v>
      </c>
      <c r="X960" s="2" t="s">
        <v>705</v>
      </c>
      <c r="Y960" s="2" t="s">
        <v>1991</v>
      </c>
      <c r="Z960" s="4">
        <v>208</v>
      </c>
      <c r="AA960" s="4">
        <f>=ROUNDDOWN(29.7142857142857,0)</f>
      </c>
      <c r="AB960" s="5">
        <v>7</v>
      </c>
      <c r="AC960" s="2" t="s">
        <v>583</v>
      </c>
      <c r="AD960" s="4">
        <v>180</v>
      </c>
      <c r="AE960" s="4">
        <v>300</v>
      </c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227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 t="s">
        <v>227</v>
      </c>
      <c r="AW960" s="8" t="s">
        <v>227</v>
      </c>
      <c r="AX960" s="4" t="s">
        <v>227</v>
      </c>
      <c r="AY960" s="8" t="s">
        <v>227</v>
      </c>
      <c r="AZ960" s="7" t="s">
        <v>227</v>
      </c>
      <c r="BA960" s="7" t="s">
        <v>227</v>
      </c>
      <c r="BB960" s="7"/>
      <c r="BC960" s="4" t="s">
        <v>227</v>
      </c>
      <c r="BD960" s="8" t="s">
        <v>227</v>
      </c>
      <c r="BE960" s="4" t="s">
        <v>227</v>
      </c>
      <c r="BF960" s="8" t="s">
        <v>227</v>
      </c>
      <c r="BG960" s="7" t="s">
        <v>227</v>
      </c>
      <c r="BH960" s="7" t="s">
        <v>227</v>
      </c>
      <c r="BI960" s="7"/>
      <c r="BJ960" s="4">
        <v>3</v>
      </c>
      <c r="BK960" s="8">
        <v>168.52</v>
      </c>
      <c r="BL960" s="2" t="s">
        <v>5660</v>
      </c>
      <c r="BM960" s="7"/>
      <c r="BN960" s="7"/>
      <c r="BO960" s="4"/>
      <c r="BP960" s="8"/>
      <c r="BQ960" s="4"/>
      <c r="BR960" s="8"/>
      <c r="BS960" s="7"/>
      <c r="BT960" s="7"/>
      <c r="BU960" s="2" t="s">
        <v>5661</v>
      </c>
      <c r="BV960" s="2" t="s">
        <v>227</v>
      </c>
      <c r="BW960" s="2" t="s">
        <v>227</v>
      </c>
      <c r="BX960" s="2" t="s">
        <v>235</v>
      </c>
      <c r="BY960" s="2" t="s">
        <v>236</v>
      </c>
      <c r="BZ960" s="2" t="s">
        <v>224</v>
      </c>
      <c r="CA960" s="2" t="s">
        <v>1993</v>
      </c>
      <c r="CB960" s="2" t="s">
        <v>227</v>
      </c>
      <c r="CC960" s="2" t="s">
        <v>239</v>
      </c>
      <c r="CD960" s="2" t="s">
        <v>227</v>
      </c>
      <c r="CE960" s="4">
        <v>208</v>
      </c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>
        <v>180</v>
      </c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/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/>
      <c r="FA960" s="4"/>
      <c r="FB960" s="4"/>
      <c r="FC960" s="4"/>
      <c r="FD960" s="4"/>
      <c r="FE960" s="4"/>
      <c r="FF960" s="4"/>
      <c r="FG960" s="4"/>
      <c r="FH960" s="4"/>
      <c r="FI960" s="4"/>
      <c r="FJ960" s="4"/>
      <c r="FK960" s="4"/>
      <c r="FL960" s="4"/>
      <c r="FM960" s="4"/>
      <c r="FN960" s="4"/>
      <c r="FO960" s="4"/>
      <c r="FP960" s="4"/>
      <c r="FQ960" s="4"/>
      <c r="FR960" s="4"/>
      <c r="FS960" s="4"/>
      <c r="FT960" s="4"/>
      <c r="FU960" s="4"/>
      <c r="FV960" s="4"/>
      <c r="FW960" s="4">
        <v>120</v>
      </c>
      <c r="FX960" s="4"/>
      <c r="FY960" s="4"/>
      <c r="FZ960" s="4"/>
      <c r="GA960" s="4"/>
      <c r="GB960" s="4"/>
      <c r="GC960" s="4"/>
      <c r="GD960" s="4"/>
      <c r="GE960" s="4"/>
      <c r="GF960" s="4"/>
      <c r="GG960" s="4"/>
      <c r="GH960" s="4"/>
      <c r="GI960" s="4"/>
      <c r="GJ960" s="4"/>
      <c r="GK960" s="4"/>
      <c r="GL960" s="4"/>
      <c r="GM960" s="4"/>
      <c r="GN960" s="4"/>
      <c r="GO960" s="4"/>
      <c r="GP960" s="4"/>
      <c r="GQ960" s="4"/>
      <c r="GR960" s="4"/>
      <c r="GS960" s="4"/>
      <c r="GT960" s="4"/>
      <c r="GU960" s="4"/>
      <c r="GV960" s="4"/>
      <c r="GW960" s="4"/>
      <c r="GX960" s="4"/>
    </row>
    <row r="961">
      <c r="A961" s="2" t="s">
        <v>5662</v>
      </c>
      <c r="B961" s="2" t="s">
        <v>697</v>
      </c>
      <c r="C961" s="2" t="s">
        <v>2227</v>
      </c>
      <c r="D961" s="2" t="s">
        <v>1982</v>
      </c>
      <c r="E961" s="2" t="s">
        <v>1983</v>
      </c>
      <c r="F961" s="2" t="s">
        <v>5650</v>
      </c>
      <c r="G961" s="2" t="s">
        <v>5650</v>
      </c>
      <c r="H961" s="2" t="s">
        <v>5650</v>
      </c>
      <c r="I961" s="2" t="s">
        <v>1985</v>
      </c>
      <c r="J961" s="2" t="s">
        <v>252</v>
      </c>
      <c r="K961" s="2" t="s">
        <v>1428</v>
      </c>
      <c r="L961" s="3">
        <v>69.04</v>
      </c>
      <c r="M961" s="3">
        <v>72.49</v>
      </c>
      <c r="N961" s="3">
        <v>144.99</v>
      </c>
      <c r="O961" s="2" t="s">
        <v>224</v>
      </c>
      <c r="P961" s="2" t="s">
        <v>225</v>
      </c>
      <c r="Q961" s="2" t="s">
        <v>226</v>
      </c>
      <c r="R961" s="2" t="s">
        <v>227</v>
      </c>
      <c r="S961" s="2" t="s">
        <v>5657</v>
      </c>
      <c r="T961" s="2" t="s">
        <v>704</v>
      </c>
      <c r="U961" s="2" t="s">
        <v>552</v>
      </c>
      <c r="V961" s="2" t="s">
        <v>230</v>
      </c>
      <c r="W961" s="2" t="s">
        <v>231</v>
      </c>
      <c r="X961" s="2" t="s">
        <v>705</v>
      </c>
      <c r="Y961" s="2" t="s">
        <v>1991</v>
      </c>
      <c r="Z961" s="4">
        <v>191</v>
      </c>
      <c r="AA961" s="4">
        <f>=ROUNDDOWN(27.2857142857143,0)</f>
      </c>
      <c r="AB961" s="5">
        <v>7</v>
      </c>
      <c r="AC961" s="2" t="s">
        <v>3411</v>
      </c>
      <c r="AD961" s="4">
        <v>180</v>
      </c>
      <c r="AE961" s="4">
        <v>300</v>
      </c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227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 t="s">
        <v>227</v>
      </c>
      <c r="AW961" s="8" t="s">
        <v>227</v>
      </c>
      <c r="AX961" s="4" t="s">
        <v>227</v>
      </c>
      <c r="AY961" s="8" t="s">
        <v>227</v>
      </c>
      <c r="AZ961" s="7" t="s">
        <v>227</v>
      </c>
      <c r="BA961" s="7" t="s">
        <v>227</v>
      </c>
      <c r="BB961" s="7"/>
      <c r="BC961" s="4" t="s">
        <v>227</v>
      </c>
      <c r="BD961" s="8" t="s">
        <v>227</v>
      </c>
      <c r="BE961" s="4" t="s">
        <v>227</v>
      </c>
      <c r="BF961" s="8" t="s">
        <v>227</v>
      </c>
      <c r="BG961" s="7" t="s">
        <v>227</v>
      </c>
      <c r="BH961" s="7" t="s">
        <v>227</v>
      </c>
      <c r="BI961" s="7"/>
      <c r="BJ961" s="4">
        <v>2</v>
      </c>
      <c r="BK961" s="8">
        <v>156.58</v>
      </c>
      <c r="BL961" s="2" t="s">
        <v>5663</v>
      </c>
      <c r="BM961" s="7"/>
      <c r="BN961" s="7"/>
      <c r="BO961" s="4"/>
      <c r="BP961" s="8"/>
      <c r="BQ961" s="4"/>
      <c r="BR961" s="8"/>
      <c r="BS961" s="7"/>
      <c r="BT961" s="7"/>
      <c r="BU961" s="2" t="s">
        <v>5664</v>
      </c>
      <c r="BV961" s="2" t="s">
        <v>227</v>
      </c>
      <c r="BW961" s="2" t="s">
        <v>227</v>
      </c>
      <c r="BX961" s="2" t="s">
        <v>235</v>
      </c>
      <c r="BY961" s="2" t="s">
        <v>236</v>
      </c>
      <c r="BZ961" s="2" t="s">
        <v>224</v>
      </c>
      <c r="CA961" s="2" t="s">
        <v>1993</v>
      </c>
      <c r="CB961" s="2" t="s">
        <v>4556</v>
      </c>
      <c r="CC961" s="2" t="s">
        <v>239</v>
      </c>
      <c r="CD961" s="2" t="s">
        <v>227</v>
      </c>
      <c r="CE961" s="4">
        <v>191</v>
      </c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>
        <v>180</v>
      </c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/>
      <c r="FB961" s="4"/>
      <c r="FC961" s="4"/>
      <c r="FD961" s="4"/>
      <c r="FE961" s="4"/>
      <c r="FF961" s="4"/>
      <c r="FG961" s="4"/>
      <c r="FH961" s="4"/>
      <c r="FI961" s="4"/>
      <c r="FJ961" s="4"/>
      <c r="FK961" s="4"/>
      <c r="FL961" s="4"/>
      <c r="FM961" s="4"/>
      <c r="FN961" s="4"/>
      <c r="FO961" s="4"/>
      <c r="FP961" s="4"/>
      <c r="FQ961" s="4"/>
      <c r="FR961" s="4"/>
      <c r="FS961" s="4"/>
      <c r="FT961" s="4"/>
      <c r="FU961" s="4"/>
      <c r="FV961" s="4"/>
      <c r="FW961" s="4">
        <v>120</v>
      </c>
      <c r="FX961" s="4"/>
      <c r="FY961" s="4"/>
      <c r="FZ961" s="4"/>
      <c r="GA961" s="4"/>
      <c r="GB961" s="4"/>
      <c r="GC961" s="4"/>
      <c r="GD961" s="4"/>
      <c r="GE961" s="4"/>
      <c r="GF961" s="4"/>
      <c r="GG961" s="4"/>
      <c r="GH961" s="4"/>
      <c r="GI961" s="4"/>
      <c r="GJ961" s="4"/>
      <c r="GK961" s="4"/>
      <c r="GL961" s="4"/>
      <c r="GM961" s="4"/>
      <c r="GN961" s="4"/>
      <c r="GO961" s="4"/>
      <c r="GP961" s="4"/>
      <c r="GQ961" s="4"/>
      <c r="GR961" s="4"/>
      <c r="GS961" s="4"/>
      <c r="GT961" s="4"/>
      <c r="GU961" s="4"/>
      <c r="GV961" s="4"/>
      <c r="GW961" s="4"/>
      <c r="GX961" s="4"/>
    </row>
    <row r="962">
      <c r="A962" s="2" t="s">
        <v>5665</v>
      </c>
      <c r="B962" s="2" t="s">
        <v>697</v>
      </c>
      <c r="C962" s="2" t="s">
        <v>2227</v>
      </c>
      <c r="D962" s="2" t="s">
        <v>1982</v>
      </c>
      <c r="E962" s="2" t="s">
        <v>1983</v>
      </c>
      <c r="F962" s="2" t="s">
        <v>5650</v>
      </c>
      <c r="G962" s="2" t="s">
        <v>5650</v>
      </c>
      <c r="H962" s="2" t="s">
        <v>5650</v>
      </c>
      <c r="I962" s="2" t="s">
        <v>1985</v>
      </c>
      <c r="J962" s="2" t="s">
        <v>257</v>
      </c>
      <c r="K962" s="2" t="s">
        <v>1428</v>
      </c>
      <c r="L962" s="3">
        <v>78.57</v>
      </c>
      <c r="M962" s="3">
        <v>82.5</v>
      </c>
      <c r="N962" s="3">
        <v>164.99</v>
      </c>
      <c r="O962" s="2" t="s">
        <v>224</v>
      </c>
      <c r="P962" s="2" t="s">
        <v>225</v>
      </c>
      <c r="Q962" s="2" t="s">
        <v>226</v>
      </c>
      <c r="R962" s="2" t="s">
        <v>227</v>
      </c>
      <c r="S962" s="2" t="s">
        <v>5657</v>
      </c>
      <c r="T962" s="2" t="s">
        <v>704</v>
      </c>
      <c r="U962" s="2" t="s">
        <v>552</v>
      </c>
      <c r="V962" s="2" t="s">
        <v>230</v>
      </c>
      <c r="W962" s="2" t="s">
        <v>231</v>
      </c>
      <c r="X962" s="2" t="s">
        <v>705</v>
      </c>
      <c r="Y962" s="2" t="s">
        <v>1991</v>
      </c>
      <c r="Z962" s="4">
        <v>263</v>
      </c>
      <c r="AA962" s="4">
        <f>=ROUNDDOWN(37.5714285714286,0)</f>
      </c>
      <c r="AB962" s="5">
        <v>7</v>
      </c>
      <c r="AC962" s="2" t="s">
        <v>227</v>
      </c>
      <c r="AD962" s="4"/>
      <c r="AE962" s="4"/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227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 t="s">
        <v>227</v>
      </c>
      <c r="AW962" s="8" t="s">
        <v>227</v>
      </c>
      <c r="AX962" s="4" t="s">
        <v>227</v>
      </c>
      <c r="AY962" s="8" t="s">
        <v>227</v>
      </c>
      <c r="AZ962" s="7" t="s">
        <v>227</v>
      </c>
      <c r="BA962" s="7" t="s">
        <v>227</v>
      </c>
      <c r="BB962" s="7"/>
      <c r="BC962" s="4" t="s">
        <v>227</v>
      </c>
      <c r="BD962" s="8" t="s">
        <v>227</v>
      </c>
      <c r="BE962" s="4" t="s">
        <v>227</v>
      </c>
      <c r="BF962" s="8" t="s">
        <v>227</v>
      </c>
      <c r="BG962" s="7" t="s">
        <v>227</v>
      </c>
      <c r="BH962" s="7" t="s">
        <v>227</v>
      </c>
      <c r="BI962" s="7"/>
      <c r="BJ962" s="4">
        <v>8</v>
      </c>
      <c r="BK962" s="8">
        <v>709.14</v>
      </c>
      <c r="BL962" s="2" t="s">
        <v>3796</v>
      </c>
      <c r="BM962" s="7"/>
      <c r="BN962" s="7"/>
      <c r="BO962" s="4"/>
      <c r="BP962" s="8"/>
      <c r="BQ962" s="4"/>
      <c r="BR962" s="8"/>
      <c r="BS962" s="7"/>
      <c r="BT962" s="7"/>
      <c r="BU962" s="2" t="s">
        <v>5666</v>
      </c>
      <c r="BV962" s="2" t="s">
        <v>227</v>
      </c>
      <c r="BW962" s="2" t="s">
        <v>227</v>
      </c>
      <c r="BX962" s="2" t="s">
        <v>235</v>
      </c>
      <c r="BY962" s="2" t="s">
        <v>236</v>
      </c>
      <c r="BZ962" s="2" t="s">
        <v>224</v>
      </c>
      <c r="CA962" s="2" t="s">
        <v>1993</v>
      </c>
      <c r="CB962" s="2" t="s">
        <v>1912</v>
      </c>
      <c r="CC962" s="2" t="s">
        <v>239</v>
      </c>
      <c r="CD962" s="2" t="s">
        <v>227</v>
      </c>
      <c r="CE962" s="4">
        <v>263</v>
      </c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/>
      <c r="FB962" s="4"/>
      <c r="FC962" s="4"/>
      <c r="FD962" s="4"/>
      <c r="FE962" s="4"/>
      <c r="FF962" s="4"/>
      <c r="FG962" s="4"/>
      <c r="FH962" s="4"/>
      <c r="FI962" s="4"/>
      <c r="FJ962" s="4"/>
      <c r="FK962" s="4"/>
      <c r="FL962" s="4"/>
      <c r="FM962" s="4"/>
      <c r="FN962" s="4"/>
      <c r="FO962" s="4"/>
      <c r="FP962" s="4"/>
      <c r="FQ962" s="4"/>
      <c r="FR962" s="4"/>
      <c r="FS962" s="4"/>
      <c r="FT962" s="4"/>
      <c r="FU962" s="4"/>
      <c r="FV962" s="4"/>
      <c r="FW962" s="4"/>
      <c r="FX962" s="4"/>
      <c r="FY962" s="4"/>
      <c r="FZ962" s="4"/>
      <c r="GA962" s="4"/>
      <c r="GB962" s="4"/>
      <c r="GC962" s="4"/>
      <c r="GD962" s="4"/>
      <c r="GE962" s="4"/>
      <c r="GF962" s="4"/>
      <c r="GG962" s="4"/>
      <c r="GH962" s="4"/>
      <c r="GI962" s="4"/>
      <c r="GJ962" s="4"/>
      <c r="GK962" s="4"/>
      <c r="GL962" s="4"/>
      <c r="GM962" s="4"/>
      <c r="GN962" s="4"/>
      <c r="GO962" s="4"/>
      <c r="GP962" s="4"/>
      <c r="GQ962" s="4"/>
      <c r="GR962" s="4"/>
      <c r="GS962" s="4"/>
      <c r="GT962" s="4"/>
      <c r="GU962" s="4"/>
      <c r="GV962" s="4"/>
      <c r="GW962" s="4"/>
      <c r="GX962" s="4"/>
    </row>
    <row r="963">
      <c r="A963" s="2" t="s">
        <v>5667</v>
      </c>
      <c r="B963" s="2" t="s">
        <v>697</v>
      </c>
      <c r="C963" s="2" t="s">
        <v>2227</v>
      </c>
      <c r="D963" s="2" t="s">
        <v>1982</v>
      </c>
      <c r="E963" s="2" t="s">
        <v>1983</v>
      </c>
      <c r="F963" s="2" t="s">
        <v>5650</v>
      </c>
      <c r="G963" s="2" t="s">
        <v>5650</v>
      </c>
      <c r="H963" s="2" t="s">
        <v>5650</v>
      </c>
      <c r="I963" s="2" t="s">
        <v>1985</v>
      </c>
      <c r="J963" s="2" t="s">
        <v>222</v>
      </c>
      <c r="K963" s="2" t="s">
        <v>410</v>
      </c>
      <c r="L963" s="3">
        <v>45.23</v>
      </c>
      <c r="M963" s="3">
        <v>47.49</v>
      </c>
      <c r="N963" s="3">
        <v>94.99</v>
      </c>
      <c r="O963" s="2" t="s">
        <v>224</v>
      </c>
      <c r="P963" s="2" t="s">
        <v>225</v>
      </c>
      <c r="Q963" s="2" t="s">
        <v>226</v>
      </c>
      <c r="R963" s="2" t="s">
        <v>227</v>
      </c>
      <c r="S963" s="2" t="s">
        <v>5668</v>
      </c>
      <c r="T963" s="2" t="s">
        <v>704</v>
      </c>
      <c r="U963" s="2" t="s">
        <v>552</v>
      </c>
      <c r="V963" s="2" t="s">
        <v>230</v>
      </c>
      <c r="W963" s="2" t="s">
        <v>231</v>
      </c>
      <c r="X963" s="2" t="s">
        <v>705</v>
      </c>
      <c r="Y963" s="2" t="s">
        <v>1991</v>
      </c>
      <c r="Z963" s="4">
        <v>171</v>
      </c>
      <c r="AA963" s="4">
        <f>=ROUNDDOWN(21.375,0)</f>
      </c>
      <c r="AB963" s="5">
        <v>8</v>
      </c>
      <c r="AC963" s="2" t="s">
        <v>3411</v>
      </c>
      <c r="AD963" s="4">
        <v>150</v>
      </c>
      <c r="AE963" s="4">
        <v>300</v>
      </c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227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 t="s">
        <v>227</v>
      </c>
      <c r="AW963" s="8" t="s">
        <v>227</v>
      </c>
      <c r="AX963" s="4" t="s">
        <v>227</v>
      </c>
      <c r="AY963" s="8" t="s">
        <v>227</v>
      </c>
      <c r="AZ963" s="7" t="s">
        <v>227</v>
      </c>
      <c r="BA963" s="7" t="s">
        <v>227</v>
      </c>
      <c r="BB963" s="7"/>
      <c r="BC963" s="4" t="s">
        <v>227</v>
      </c>
      <c r="BD963" s="8" t="s">
        <v>227</v>
      </c>
      <c r="BE963" s="4" t="s">
        <v>227</v>
      </c>
      <c r="BF963" s="8" t="s">
        <v>227</v>
      </c>
      <c r="BG963" s="7" t="s">
        <v>227</v>
      </c>
      <c r="BH963" s="7" t="s">
        <v>227</v>
      </c>
      <c r="BI963" s="7"/>
      <c r="BJ963" s="4">
        <v>8</v>
      </c>
      <c r="BK963" s="8">
        <v>406.06</v>
      </c>
      <c r="BL963" s="2" t="s">
        <v>1314</v>
      </c>
      <c r="BM963" s="7"/>
      <c r="BN963" s="7"/>
      <c r="BO963" s="4"/>
      <c r="BP963" s="8"/>
      <c r="BQ963" s="4"/>
      <c r="BR963" s="8"/>
      <c r="BS963" s="7"/>
      <c r="BT963" s="7"/>
      <c r="BU963" s="2" t="s">
        <v>5669</v>
      </c>
      <c r="BV963" s="2" t="s">
        <v>227</v>
      </c>
      <c r="BW963" s="2" t="s">
        <v>227</v>
      </c>
      <c r="BX963" s="2" t="s">
        <v>235</v>
      </c>
      <c r="BY963" s="2" t="s">
        <v>236</v>
      </c>
      <c r="BZ963" s="2" t="s">
        <v>224</v>
      </c>
      <c r="CA963" s="2" t="s">
        <v>1993</v>
      </c>
      <c r="CB963" s="2" t="s">
        <v>2698</v>
      </c>
      <c r="CC963" s="2" t="s">
        <v>239</v>
      </c>
      <c r="CD963" s="2" t="s">
        <v>227</v>
      </c>
      <c r="CE963" s="4">
        <v>171</v>
      </c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>
        <v>150</v>
      </c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>
        <v>145</v>
      </c>
      <c r="ES963" s="4"/>
      <c r="ET963" s="4"/>
      <c r="EU963" s="4"/>
      <c r="EV963" s="4"/>
      <c r="EW963" s="4"/>
      <c r="EX963" s="4"/>
      <c r="EY963" s="4"/>
      <c r="EZ963" s="4"/>
      <c r="FA963" s="4"/>
      <c r="FB963" s="4"/>
      <c r="FC963" s="4"/>
      <c r="FD963" s="4"/>
      <c r="FE963" s="4"/>
      <c r="FF963" s="4"/>
      <c r="FG963" s="4"/>
      <c r="FH963" s="4"/>
      <c r="FI963" s="4"/>
      <c r="FJ963" s="4"/>
      <c r="FK963" s="4"/>
      <c r="FL963" s="4"/>
      <c r="FM963" s="4"/>
      <c r="FN963" s="4"/>
      <c r="FO963" s="4"/>
      <c r="FP963" s="4"/>
      <c r="FQ963" s="4"/>
      <c r="FR963" s="4"/>
      <c r="FS963" s="4"/>
      <c r="FT963" s="4"/>
      <c r="FU963" s="4"/>
      <c r="FV963" s="4"/>
      <c r="FW963" s="4">
        <v>5</v>
      </c>
      <c r="FX963" s="4"/>
      <c r="FY963" s="4"/>
      <c r="FZ963" s="4"/>
      <c r="GA963" s="4"/>
      <c r="GB963" s="4"/>
      <c r="GC963" s="4"/>
      <c r="GD963" s="4"/>
      <c r="GE963" s="4"/>
      <c r="GF963" s="4"/>
      <c r="GG963" s="4"/>
      <c r="GH963" s="4"/>
      <c r="GI963" s="4"/>
      <c r="GJ963" s="4"/>
      <c r="GK963" s="4"/>
      <c r="GL963" s="4"/>
      <c r="GM963" s="4"/>
      <c r="GN963" s="4"/>
      <c r="GO963" s="4"/>
      <c r="GP963" s="4"/>
      <c r="GQ963" s="4"/>
      <c r="GR963" s="4"/>
      <c r="GS963" s="4"/>
      <c r="GT963" s="4"/>
      <c r="GU963" s="4"/>
      <c r="GV963" s="4"/>
      <c r="GW963" s="4"/>
      <c r="GX963" s="4"/>
    </row>
    <row r="964">
      <c r="A964" s="2" t="s">
        <v>5670</v>
      </c>
      <c r="B964" s="2" t="s">
        <v>697</v>
      </c>
      <c r="C964" s="2" t="s">
        <v>2227</v>
      </c>
      <c r="D964" s="2" t="s">
        <v>1982</v>
      </c>
      <c r="E964" s="2" t="s">
        <v>1983</v>
      </c>
      <c r="F964" s="2" t="s">
        <v>5650</v>
      </c>
      <c r="G964" s="2" t="s">
        <v>5650</v>
      </c>
      <c r="H964" s="2" t="s">
        <v>5650</v>
      </c>
      <c r="I964" s="2" t="s">
        <v>1985</v>
      </c>
      <c r="J964" s="2" t="s">
        <v>247</v>
      </c>
      <c r="K964" s="2" t="s">
        <v>410</v>
      </c>
      <c r="L964" s="3">
        <v>50</v>
      </c>
      <c r="M964" s="3">
        <v>52.5</v>
      </c>
      <c r="N964" s="3">
        <v>104.99</v>
      </c>
      <c r="O964" s="2" t="s">
        <v>224</v>
      </c>
      <c r="P964" s="2" t="s">
        <v>225</v>
      </c>
      <c r="Q964" s="2" t="s">
        <v>226</v>
      </c>
      <c r="R964" s="2" t="s">
        <v>227</v>
      </c>
      <c r="S964" s="2" t="s">
        <v>5668</v>
      </c>
      <c r="T964" s="2" t="s">
        <v>704</v>
      </c>
      <c r="U964" s="2" t="s">
        <v>552</v>
      </c>
      <c r="V964" s="2" t="s">
        <v>230</v>
      </c>
      <c r="W964" s="2" t="s">
        <v>231</v>
      </c>
      <c r="X964" s="2" t="s">
        <v>705</v>
      </c>
      <c r="Y964" s="2" t="s">
        <v>1991</v>
      </c>
      <c r="Z964" s="4">
        <v>282</v>
      </c>
      <c r="AA964" s="4">
        <f>=ROUNDDOWN(23.5,0)</f>
      </c>
      <c r="AB964" s="5">
        <v>12</v>
      </c>
      <c r="AC964" s="2" t="s">
        <v>156</v>
      </c>
      <c r="AD964" s="4">
        <v>211</v>
      </c>
      <c r="AE964" s="4">
        <v>240</v>
      </c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227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227</v>
      </c>
      <c r="AW964" s="8" t="s">
        <v>227</v>
      </c>
      <c r="AX964" s="4" t="s">
        <v>227</v>
      </c>
      <c r="AY964" s="8" t="s">
        <v>227</v>
      </c>
      <c r="AZ964" s="7" t="s">
        <v>227</v>
      </c>
      <c r="BA964" s="7" t="s">
        <v>227</v>
      </c>
      <c r="BB964" s="7"/>
      <c r="BC964" s="4" t="s">
        <v>227</v>
      </c>
      <c r="BD964" s="8" t="s">
        <v>227</v>
      </c>
      <c r="BE964" s="4" t="s">
        <v>227</v>
      </c>
      <c r="BF964" s="8" t="s">
        <v>227</v>
      </c>
      <c r="BG964" s="7" t="s">
        <v>227</v>
      </c>
      <c r="BH964" s="7" t="s">
        <v>227</v>
      </c>
      <c r="BI964" s="7"/>
      <c r="BJ964" s="4">
        <v>4</v>
      </c>
      <c r="BK964" s="8">
        <v>225.22</v>
      </c>
      <c r="BL964" s="2" t="s">
        <v>1996</v>
      </c>
      <c r="BM964" s="7"/>
      <c r="BN964" s="7"/>
      <c r="BO964" s="4"/>
      <c r="BP964" s="8"/>
      <c r="BQ964" s="4"/>
      <c r="BR964" s="8"/>
      <c r="BS964" s="7"/>
      <c r="BT964" s="7"/>
      <c r="BU964" s="2" t="s">
        <v>5671</v>
      </c>
      <c r="BV964" s="2" t="s">
        <v>227</v>
      </c>
      <c r="BW964" s="2" t="s">
        <v>227</v>
      </c>
      <c r="BX964" s="2" t="s">
        <v>235</v>
      </c>
      <c r="BY964" s="2" t="s">
        <v>236</v>
      </c>
      <c r="BZ964" s="2" t="s">
        <v>224</v>
      </c>
      <c r="CA964" s="2" t="s">
        <v>1993</v>
      </c>
      <c r="CB964" s="2" t="s">
        <v>1912</v>
      </c>
      <c r="CC964" s="2" t="s">
        <v>239</v>
      </c>
      <c r="CD964" s="2" t="s">
        <v>227</v>
      </c>
      <c r="CE964" s="4">
        <v>282</v>
      </c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>
        <v>211</v>
      </c>
      <c r="ES964" s="4"/>
      <c r="ET964" s="4"/>
      <c r="EU964" s="4"/>
      <c r="EV964" s="4"/>
      <c r="EW964" s="4"/>
      <c r="EX964" s="4"/>
      <c r="EY964" s="4"/>
      <c r="EZ964" s="4"/>
      <c r="FA964" s="4"/>
      <c r="FB964" s="4"/>
      <c r="FC964" s="4"/>
      <c r="FD964" s="4"/>
      <c r="FE964" s="4"/>
      <c r="FF964" s="4"/>
      <c r="FG964" s="4"/>
      <c r="FH964" s="4"/>
      <c r="FI964" s="4"/>
      <c r="FJ964" s="4"/>
      <c r="FK964" s="4"/>
      <c r="FL964" s="4"/>
      <c r="FM964" s="4"/>
      <c r="FN964" s="4"/>
      <c r="FO964" s="4"/>
      <c r="FP964" s="4"/>
      <c r="FQ964" s="4"/>
      <c r="FR964" s="4"/>
      <c r="FS964" s="4"/>
      <c r="FT964" s="4"/>
      <c r="FU964" s="4"/>
      <c r="FV964" s="4"/>
      <c r="FW964" s="4">
        <v>29</v>
      </c>
      <c r="FX964" s="4"/>
      <c r="FY964" s="4"/>
      <c r="FZ964" s="4"/>
      <c r="GA964" s="4"/>
      <c r="GB964" s="4"/>
      <c r="GC964" s="4"/>
      <c r="GD964" s="4"/>
      <c r="GE964" s="4"/>
      <c r="GF964" s="4"/>
      <c r="GG964" s="4"/>
      <c r="GH964" s="4"/>
      <c r="GI964" s="4"/>
      <c r="GJ964" s="4"/>
      <c r="GK964" s="4"/>
      <c r="GL964" s="4"/>
      <c r="GM964" s="4"/>
      <c r="GN964" s="4"/>
      <c r="GO964" s="4"/>
      <c r="GP964" s="4"/>
      <c r="GQ964" s="4"/>
      <c r="GR964" s="4"/>
      <c r="GS964" s="4"/>
      <c r="GT964" s="4"/>
      <c r="GU964" s="4"/>
      <c r="GV964" s="4"/>
      <c r="GW964" s="4"/>
      <c r="GX964" s="4"/>
    </row>
    <row r="965">
      <c r="A965" s="2" t="s">
        <v>5672</v>
      </c>
      <c r="B965" s="2" t="s">
        <v>697</v>
      </c>
      <c r="C965" s="2" t="s">
        <v>2227</v>
      </c>
      <c r="D965" s="2" t="s">
        <v>1982</v>
      </c>
      <c r="E965" s="2" t="s">
        <v>1983</v>
      </c>
      <c r="F965" s="2" t="s">
        <v>5650</v>
      </c>
      <c r="G965" s="2" t="s">
        <v>5650</v>
      </c>
      <c r="H965" s="2" t="s">
        <v>5650</v>
      </c>
      <c r="I965" s="2" t="s">
        <v>1985</v>
      </c>
      <c r="J965" s="2" t="s">
        <v>247</v>
      </c>
      <c r="K965" s="2" t="s">
        <v>363</v>
      </c>
      <c r="L965" s="3">
        <v>50</v>
      </c>
      <c r="M965" s="3">
        <v>52.5</v>
      </c>
      <c r="N965" s="3">
        <v>104.99</v>
      </c>
      <c r="O965" s="2" t="s">
        <v>224</v>
      </c>
      <c r="P965" s="2" t="s">
        <v>225</v>
      </c>
      <c r="Q965" s="2" t="s">
        <v>226</v>
      </c>
      <c r="R965" s="2" t="s">
        <v>227</v>
      </c>
      <c r="S965" s="2" t="s">
        <v>5673</v>
      </c>
      <c r="T965" s="2" t="s">
        <v>704</v>
      </c>
      <c r="U965" s="2" t="s">
        <v>552</v>
      </c>
      <c r="V965" s="2" t="s">
        <v>230</v>
      </c>
      <c r="W965" s="2" t="s">
        <v>231</v>
      </c>
      <c r="X965" s="2" t="s">
        <v>705</v>
      </c>
      <c r="Y965" s="2" t="s">
        <v>1109</v>
      </c>
      <c r="Z965" s="4">
        <v>147</v>
      </c>
      <c r="AA965" s="4">
        <f>=ROUNDDOWN(14.7,0)</f>
      </c>
      <c r="AB965" s="5">
        <v>10</v>
      </c>
      <c r="AC965" s="2" t="s">
        <v>583</v>
      </c>
      <c r="AD965" s="4">
        <v>170</v>
      </c>
      <c r="AE965" s="4">
        <v>300</v>
      </c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227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227</v>
      </c>
      <c r="AW965" s="8" t="s">
        <v>227</v>
      </c>
      <c r="AX965" s="4" t="s">
        <v>227</v>
      </c>
      <c r="AY965" s="8" t="s">
        <v>227</v>
      </c>
      <c r="AZ965" s="7" t="s">
        <v>227</v>
      </c>
      <c r="BA965" s="7" t="s">
        <v>227</v>
      </c>
      <c r="BB965" s="7"/>
      <c r="BC965" s="4" t="s">
        <v>227</v>
      </c>
      <c r="BD965" s="8" t="s">
        <v>227</v>
      </c>
      <c r="BE965" s="4" t="s">
        <v>227</v>
      </c>
      <c r="BF965" s="8" t="s">
        <v>227</v>
      </c>
      <c r="BG965" s="7" t="s">
        <v>227</v>
      </c>
      <c r="BH965" s="7" t="s">
        <v>227</v>
      </c>
      <c r="BI965" s="7"/>
      <c r="BJ965" s="4">
        <v>3</v>
      </c>
      <c r="BK965" s="8">
        <v>155.4</v>
      </c>
      <c r="BL965" s="2" t="s">
        <v>5674</v>
      </c>
      <c r="BM965" s="7"/>
      <c r="BN965" s="7"/>
      <c r="BO965" s="4"/>
      <c r="BP965" s="8"/>
      <c r="BQ965" s="4"/>
      <c r="BR965" s="8"/>
      <c r="BS965" s="7"/>
      <c r="BT965" s="7"/>
      <c r="BU965" s="2" t="s">
        <v>5675</v>
      </c>
      <c r="BV965" s="2" t="s">
        <v>227</v>
      </c>
      <c r="BW965" s="2" t="s">
        <v>227</v>
      </c>
      <c r="BX965" s="2" t="s">
        <v>235</v>
      </c>
      <c r="BY965" s="2" t="s">
        <v>236</v>
      </c>
      <c r="BZ965" s="2" t="s">
        <v>224</v>
      </c>
      <c r="CA965" s="2" t="s">
        <v>1993</v>
      </c>
      <c r="CB965" s="2" t="s">
        <v>4556</v>
      </c>
      <c r="CC965" s="2" t="s">
        <v>239</v>
      </c>
      <c r="CD965" s="2" t="s">
        <v>227</v>
      </c>
      <c r="CE965" s="4">
        <v>147</v>
      </c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>
        <v>170</v>
      </c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/>
      <c r="FB965" s="4"/>
      <c r="FC965" s="4"/>
      <c r="FD965" s="4"/>
      <c r="FE965" s="4"/>
      <c r="FF965" s="4"/>
      <c r="FG965" s="4"/>
      <c r="FH965" s="4"/>
      <c r="FI965" s="4"/>
      <c r="FJ965" s="4"/>
      <c r="FK965" s="4"/>
      <c r="FL965" s="4"/>
      <c r="FM965" s="4"/>
      <c r="FN965" s="4"/>
      <c r="FO965" s="4"/>
      <c r="FP965" s="4"/>
      <c r="FQ965" s="4"/>
      <c r="FR965" s="4"/>
      <c r="FS965" s="4"/>
      <c r="FT965" s="4"/>
      <c r="FU965" s="4"/>
      <c r="FV965" s="4"/>
      <c r="FW965" s="4">
        <v>130</v>
      </c>
      <c r="FX965" s="4"/>
      <c r="FY965" s="4"/>
      <c r="FZ965" s="4"/>
      <c r="GA965" s="4"/>
      <c r="GB965" s="4"/>
      <c r="GC965" s="4"/>
      <c r="GD965" s="4"/>
      <c r="GE965" s="4"/>
      <c r="GF965" s="4"/>
      <c r="GG965" s="4"/>
      <c r="GH965" s="4"/>
      <c r="GI965" s="4"/>
      <c r="GJ965" s="4"/>
      <c r="GK965" s="4"/>
      <c r="GL965" s="4"/>
      <c r="GM965" s="4"/>
      <c r="GN965" s="4"/>
      <c r="GO965" s="4"/>
      <c r="GP965" s="4"/>
      <c r="GQ965" s="4"/>
      <c r="GR965" s="4"/>
      <c r="GS965" s="4"/>
      <c r="GT965" s="4"/>
      <c r="GU965" s="4"/>
      <c r="GV965" s="4"/>
      <c r="GW965" s="4"/>
      <c r="GX965" s="4"/>
    </row>
    <row r="966">
      <c r="A966" s="2" t="s">
        <v>5676</v>
      </c>
      <c r="B966" s="2" t="s">
        <v>697</v>
      </c>
      <c r="C966" s="2" t="s">
        <v>2227</v>
      </c>
      <c r="D966" s="2" t="s">
        <v>1982</v>
      </c>
      <c r="E966" s="2" t="s">
        <v>1983</v>
      </c>
      <c r="F966" s="2" t="s">
        <v>5650</v>
      </c>
      <c r="G966" s="2" t="s">
        <v>5650</v>
      </c>
      <c r="H966" s="2" t="s">
        <v>5650</v>
      </c>
      <c r="I966" s="2" t="s">
        <v>1985</v>
      </c>
      <c r="J966" s="2" t="s">
        <v>252</v>
      </c>
      <c r="K966" s="2" t="s">
        <v>363</v>
      </c>
      <c r="L966" s="3">
        <v>69.04</v>
      </c>
      <c r="M966" s="3">
        <v>72.49</v>
      </c>
      <c r="N966" s="3">
        <v>144.99</v>
      </c>
      <c r="O966" s="2" t="s">
        <v>224</v>
      </c>
      <c r="P966" s="2" t="s">
        <v>225</v>
      </c>
      <c r="Q966" s="2" t="s">
        <v>226</v>
      </c>
      <c r="R966" s="2" t="s">
        <v>227</v>
      </c>
      <c r="S966" s="2" t="s">
        <v>5673</v>
      </c>
      <c r="T966" s="2" t="s">
        <v>704</v>
      </c>
      <c r="U966" s="2" t="s">
        <v>552</v>
      </c>
      <c r="V966" s="2" t="s">
        <v>230</v>
      </c>
      <c r="W966" s="2" t="s">
        <v>231</v>
      </c>
      <c r="X966" s="2" t="s">
        <v>705</v>
      </c>
      <c r="Y966" s="2" t="s">
        <v>1991</v>
      </c>
      <c r="Z966" s="4">
        <v>242</v>
      </c>
      <c r="AA966" s="4">
        <f>=ROUNDDOWN(18.6153846153846,0)</f>
      </c>
      <c r="AB966" s="5">
        <v>13</v>
      </c>
      <c r="AC966" s="2" t="s">
        <v>156</v>
      </c>
      <c r="AD966" s="4">
        <v>130</v>
      </c>
      <c r="AE966" s="4">
        <v>190</v>
      </c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227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227</v>
      </c>
      <c r="AW966" s="8" t="s">
        <v>227</v>
      </c>
      <c r="AX966" s="4" t="s">
        <v>227</v>
      </c>
      <c r="AY966" s="8" t="s">
        <v>227</v>
      </c>
      <c r="AZ966" s="7" t="s">
        <v>227</v>
      </c>
      <c r="BA966" s="7" t="s">
        <v>227</v>
      </c>
      <c r="BB966" s="7"/>
      <c r="BC966" s="4" t="s">
        <v>227</v>
      </c>
      <c r="BD966" s="8" t="s">
        <v>227</v>
      </c>
      <c r="BE966" s="4" t="s">
        <v>227</v>
      </c>
      <c r="BF966" s="8" t="s">
        <v>227</v>
      </c>
      <c r="BG966" s="7" t="s">
        <v>227</v>
      </c>
      <c r="BH966" s="7" t="s">
        <v>227</v>
      </c>
      <c r="BI966" s="7"/>
      <c r="BJ966" s="4">
        <v>6</v>
      </c>
      <c r="BK966" s="8">
        <v>467.57</v>
      </c>
      <c r="BL966" s="2" t="s">
        <v>1996</v>
      </c>
      <c r="BM966" s="7"/>
      <c r="BN966" s="7"/>
      <c r="BO966" s="4"/>
      <c r="BP966" s="8"/>
      <c r="BQ966" s="4"/>
      <c r="BR966" s="8"/>
      <c r="BS966" s="7"/>
      <c r="BT966" s="7"/>
      <c r="BU966" s="2" t="s">
        <v>5677</v>
      </c>
      <c r="BV966" s="2" t="s">
        <v>227</v>
      </c>
      <c r="BW966" s="2" t="s">
        <v>227</v>
      </c>
      <c r="BX966" s="2" t="s">
        <v>235</v>
      </c>
      <c r="BY966" s="2" t="s">
        <v>236</v>
      </c>
      <c r="BZ966" s="2" t="s">
        <v>224</v>
      </c>
      <c r="CA966" s="2" t="s">
        <v>1993</v>
      </c>
      <c r="CB966" s="2" t="s">
        <v>570</v>
      </c>
      <c r="CC966" s="2" t="s">
        <v>239</v>
      </c>
      <c r="CD966" s="2" t="s">
        <v>227</v>
      </c>
      <c r="CE966" s="4">
        <v>242</v>
      </c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>
        <v>130</v>
      </c>
      <c r="ES966" s="4"/>
      <c r="ET966" s="4"/>
      <c r="EU966" s="4"/>
      <c r="EV966" s="4"/>
      <c r="EW966" s="4"/>
      <c r="EX966" s="4"/>
      <c r="EY966" s="4"/>
      <c r="EZ966" s="4"/>
      <c r="FA966" s="4"/>
      <c r="FB966" s="4"/>
      <c r="FC966" s="4"/>
      <c r="FD966" s="4"/>
      <c r="FE966" s="4"/>
      <c r="FF966" s="4"/>
      <c r="FG966" s="4"/>
      <c r="FH966" s="4"/>
      <c r="FI966" s="4"/>
      <c r="FJ966" s="4"/>
      <c r="FK966" s="4"/>
      <c r="FL966" s="4"/>
      <c r="FM966" s="4"/>
      <c r="FN966" s="4"/>
      <c r="FO966" s="4"/>
      <c r="FP966" s="4"/>
      <c r="FQ966" s="4"/>
      <c r="FR966" s="4"/>
      <c r="FS966" s="4"/>
      <c r="FT966" s="4"/>
      <c r="FU966" s="4"/>
      <c r="FV966" s="4"/>
      <c r="FW966" s="4">
        <v>60</v>
      </c>
      <c r="FX966" s="4"/>
      <c r="FY966" s="4"/>
      <c r="FZ966" s="4"/>
      <c r="GA966" s="4"/>
      <c r="GB966" s="4"/>
      <c r="GC966" s="4"/>
      <c r="GD966" s="4"/>
      <c r="GE966" s="4"/>
      <c r="GF966" s="4"/>
      <c r="GG966" s="4"/>
      <c r="GH966" s="4"/>
      <c r="GI966" s="4"/>
      <c r="GJ966" s="4"/>
      <c r="GK966" s="4"/>
      <c r="GL966" s="4"/>
      <c r="GM966" s="4"/>
      <c r="GN966" s="4"/>
      <c r="GO966" s="4"/>
      <c r="GP966" s="4"/>
      <c r="GQ966" s="4"/>
      <c r="GR966" s="4"/>
      <c r="GS966" s="4"/>
      <c r="GT966" s="4"/>
      <c r="GU966" s="4"/>
      <c r="GV966" s="4"/>
      <c r="GW966" s="4"/>
      <c r="GX966" s="4"/>
    </row>
    <row r="967">
      <c r="A967" s="2" t="s">
        <v>5678</v>
      </c>
      <c r="B967" s="2" t="s">
        <v>697</v>
      </c>
      <c r="C967" s="2" t="s">
        <v>2227</v>
      </c>
      <c r="D967" s="2" t="s">
        <v>1982</v>
      </c>
      <c r="E967" s="2" t="s">
        <v>1983</v>
      </c>
      <c r="F967" s="2" t="s">
        <v>5650</v>
      </c>
      <c r="G967" s="2" t="s">
        <v>5650</v>
      </c>
      <c r="H967" s="2" t="s">
        <v>5650</v>
      </c>
      <c r="I967" s="2" t="s">
        <v>1985</v>
      </c>
      <c r="J967" s="2" t="s">
        <v>257</v>
      </c>
      <c r="K967" s="2" t="s">
        <v>363</v>
      </c>
      <c r="L967" s="3">
        <v>78.57</v>
      </c>
      <c r="M967" s="3">
        <v>82.5</v>
      </c>
      <c r="N967" s="3">
        <v>164.99</v>
      </c>
      <c r="O967" s="2" t="s">
        <v>224</v>
      </c>
      <c r="P967" s="2" t="s">
        <v>225</v>
      </c>
      <c r="Q967" s="2" t="s">
        <v>226</v>
      </c>
      <c r="R967" s="2" t="s">
        <v>227</v>
      </c>
      <c r="S967" s="2" t="s">
        <v>5673</v>
      </c>
      <c r="T967" s="2" t="s">
        <v>704</v>
      </c>
      <c r="U967" s="2" t="s">
        <v>552</v>
      </c>
      <c r="V967" s="2" t="s">
        <v>230</v>
      </c>
      <c r="W967" s="2" t="s">
        <v>231</v>
      </c>
      <c r="X967" s="2" t="s">
        <v>705</v>
      </c>
      <c r="Y967" s="2" t="s">
        <v>1991</v>
      </c>
      <c r="Z967" s="4">
        <v>225</v>
      </c>
      <c r="AA967" s="4">
        <f>=ROUNDDOWN(22.5,0)</f>
      </c>
      <c r="AB967" s="5">
        <v>10</v>
      </c>
      <c r="AC967" s="2" t="s">
        <v>583</v>
      </c>
      <c r="AD967" s="4">
        <v>160</v>
      </c>
      <c r="AE967" s="4">
        <v>300</v>
      </c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227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227</v>
      </c>
      <c r="AW967" s="8" t="s">
        <v>227</v>
      </c>
      <c r="AX967" s="4" t="s">
        <v>227</v>
      </c>
      <c r="AY967" s="8" t="s">
        <v>227</v>
      </c>
      <c r="AZ967" s="7" t="s">
        <v>227</v>
      </c>
      <c r="BA967" s="7" t="s">
        <v>227</v>
      </c>
      <c r="BB967" s="7"/>
      <c r="BC967" s="4" t="s">
        <v>227</v>
      </c>
      <c r="BD967" s="8" t="s">
        <v>227</v>
      </c>
      <c r="BE967" s="4" t="s">
        <v>227</v>
      </c>
      <c r="BF967" s="8" t="s">
        <v>227</v>
      </c>
      <c r="BG967" s="7" t="s">
        <v>227</v>
      </c>
      <c r="BH967" s="7" t="s">
        <v>227</v>
      </c>
      <c r="BI967" s="7"/>
      <c r="BJ967" s="4">
        <v>10</v>
      </c>
      <c r="BK967" s="8">
        <v>878.6</v>
      </c>
      <c r="BL967" s="2" t="s">
        <v>5679</v>
      </c>
      <c r="BM967" s="7"/>
      <c r="BN967" s="7"/>
      <c r="BO967" s="4"/>
      <c r="BP967" s="8"/>
      <c r="BQ967" s="4"/>
      <c r="BR967" s="8"/>
      <c r="BS967" s="7"/>
      <c r="BT967" s="7"/>
      <c r="BU967" s="2" t="s">
        <v>5680</v>
      </c>
      <c r="BV967" s="2" t="s">
        <v>227</v>
      </c>
      <c r="BW967" s="2" t="s">
        <v>227</v>
      </c>
      <c r="BX967" s="2" t="s">
        <v>235</v>
      </c>
      <c r="BY967" s="2" t="s">
        <v>236</v>
      </c>
      <c r="BZ967" s="2" t="s">
        <v>224</v>
      </c>
      <c r="CA967" s="2" t="s">
        <v>1993</v>
      </c>
      <c r="CB967" s="2" t="s">
        <v>3910</v>
      </c>
      <c r="CC967" s="2" t="s">
        <v>239</v>
      </c>
      <c r="CD967" s="2" t="s">
        <v>227</v>
      </c>
      <c r="CE967" s="4">
        <v>225</v>
      </c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>
        <v>160</v>
      </c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/>
      <c r="FB967" s="4"/>
      <c r="FC967" s="4"/>
      <c r="FD967" s="4"/>
      <c r="FE967" s="4"/>
      <c r="FF967" s="4"/>
      <c r="FG967" s="4"/>
      <c r="FH967" s="4"/>
      <c r="FI967" s="4"/>
      <c r="FJ967" s="4"/>
      <c r="FK967" s="4"/>
      <c r="FL967" s="4"/>
      <c r="FM967" s="4"/>
      <c r="FN967" s="4"/>
      <c r="FO967" s="4"/>
      <c r="FP967" s="4"/>
      <c r="FQ967" s="4"/>
      <c r="FR967" s="4"/>
      <c r="FS967" s="4"/>
      <c r="FT967" s="4"/>
      <c r="FU967" s="4"/>
      <c r="FV967" s="4"/>
      <c r="FW967" s="4">
        <v>140</v>
      </c>
      <c r="FX967" s="4"/>
      <c r="FY967" s="4"/>
      <c r="FZ967" s="4"/>
      <c r="GA967" s="4"/>
      <c r="GB967" s="4"/>
      <c r="GC967" s="4"/>
      <c r="GD967" s="4"/>
      <c r="GE967" s="4"/>
      <c r="GF967" s="4"/>
      <c r="GG967" s="4"/>
      <c r="GH967" s="4"/>
      <c r="GI967" s="4"/>
      <c r="GJ967" s="4"/>
      <c r="GK967" s="4"/>
      <c r="GL967" s="4"/>
      <c r="GM967" s="4"/>
      <c r="GN967" s="4"/>
      <c r="GO967" s="4"/>
      <c r="GP967" s="4"/>
      <c r="GQ967" s="4"/>
      <c r="GR967" s="4"/>
      <c r="GS967" s="4"/>
      <c r="GT967" s="4"/>
      <c r="GU967" s="4"/>
      <c r="GV967" s="4"/>
      <c r="GW967" s="4"/>
      <c r="GX967" s="4"/>
    </row>
    <row r="968">
      <c r="A968" s="2" t="s">
        <v>5681</v>
      </c>
      <c r="B968" s="2" t="s">
        <v>216</v>
      </c>
      <c r="C968" s="2" t="s">
        <v>4256</v>
      </c>
      <c r="D968" s="2" t="s">
        <v>687</v>
      </c>
      <c r="E968" s="2" t="s">
        <v>1903</v>
      </c>
      <c r="F968" s="2" t="s">
        <v>5682</v>
      </c>
      <c r="G968" s="2" t="s">
        <v>5682</v>
      </c>
      <c r="H968" s="2" t="s">
        <v>5682</v>
      </c>
      <c r="I968" s="2" t="s">
        <v>5683</v>
      </c>
      <c r="J968" s="2" t="s">
        <v>626</v>
      </c>
      <c r="K968" s="2" t="s">
        <v>264</v>
      </c>
      <c r="L968" s="3">
        <v>51.99</v>
      </c>
      <c r="M968" s="3">
        <v>54.59</v>
      </c>
      <c r="N968" s="3">
        <v>139.99</v>
      </c>
      <c r="O968" s="2" t="s">
        <v>224</v>
      </c>
      <c r="P968" s="2" t="s">
        <v>225</v>
      </c>
      <c r="Q968" s="2" t="s">
        <v>226</v>
      </c>
      <c r="R968" s="2" t="s">
        <v>227</v>
      </c>
      <c r="S968" s="2" t="s">
        <v>227</v>
      </c>
      <c r="T968" s="2" t="s">
        <v>227</v>
      </c>
      <c r="U968" s="2" t="s">
        <v>552</v>
      </c>
      <c r="V968" s="2" t="s">
        <v>230</v>
      </c>
      <c r="W968" s="2" t="s">
        <v>836</v>
      </c>
      <c r="X968" s="2" t="s">
        <v>227</v>
      </c>
      <c r="Y968" s="2" t="s">
        <v>4357</v>
      </c>
      <c r="Z968" s="4">
        <v>202</v>
      </c>
      <c r="AA968" s="4">
        <f>=ROUNDDOWN(22.4444444444444,0)</f>
      </c>
      <c r="AB968" s="5">
        <v>9</v>
      </c>
      <c r="AC968" s="2" t="s">
        <v>839</v>
      </c>
      <c r="AD968" s="4">
        <v>40</v>
      </c>
      <c r="AE968" s="4">
        <v>210</v>
      </c>
      <c r="AF968" s="6">
        <v>67</v>
      </c>
      <c r="AG968" s="6"/>
      <c r="AH968" s="7">
        <v>1</v>
      </c>
      <c r="AI968" s="4"/>
      <c r="AJ968" s="4">
        <f>=ROUNDDOWN({0},0)</f>
      </c>
      <c r="AK968" s="5"/>
      <c r="AL968" s="2" t="s">
        <v>227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227</v>
      </c>
      <c r="AW968" s="8" t="s">
        <v>227</v>
      </c>
      <c r="AX968" s="4" t="s">
        <v>227</v>
      </c>
      <c r="AY968" s="8" t="s">
        <v>227</v>
      </c>
      <c r="AZ968" s="7" t="s">
        <v>227</v>
      </c>
      <c r="BA968" s="7" t="s">
        <v>227</v>
      </c>
      <c r="BB968" s="7"/>
      <c r="BC968" s="4" t="s">
        <v>227</v>
      </c>
      <c r="BD968" s="8" t="s">
        <v>227</v>
      </c>
      <c r="BE968" s="4" t="s">
        <v>227</v>
      </c>
      <c r="BF968" s="8" t="s">
        <v>227</v>
      </c>
      <c r="BG968" s="7" t="s">
        <v>227</v>
      </c>
      <c r="BH968" s="7" t="s">
        <v>227</v>
      </c>
      <c r="BI968" s="7"/>
      <c r="BJ968" s="4">
        <v>12</v>
      </c>
      <c r="BK968" s="8">
        <v>689.22</v>
      </c>
      <c r="BL968" s="2" t="s">
        <v>4477</v>
      </c>
      <c r="BM968" s="7"/>
      <c r="BN968" s="7"/>
      <c r="BO968" s="4"/>
      <c r="BP968" s="8"/>
      <c r="BQ968" s="4"/>
      <c r="BR968" s="8"/>
      <c r="BS968" s="7"/>
      <c r="BT968" s="7"/>
      <c r="BU968" s="2" t="s">
        <v>5684</v>
      </c>
      <c r="BV968" s="2" t="s">
        <v>227</v>
      </c>
      <c r="BW968" s="2" t="s">
        <v>227</v>
      </c>
      <c r="BX968" s="2" t="s">
        <v>235</v>
      </c>
      <c r="BY968" s="2" t="s">
        <v>236</v>
      </c>
      <c r="BZ968" s="2" t="s">
        <v>224</v>
      </c>
      <c r="CA968" s="2" t="s">
        <v>5685</v>
      </c>
      <c r="CB968" s="2" t="s">
        <v>293</v>
      </c>
      <c r="CC968" s="2" t="s">
        <v>239</v>
      </c>
      <c r="CD968" s="2" t="s">
        <v>227</v>
      </c>
      <c r="CE968" s="4">
        <v>202</v>
      </c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>
        <v>40</v>
      </c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>
        <v>170</v>
      </c>
      <c r="EX968" s="4"/>
      <c r="EY968" s="4"/>
      <c r="EZ968" s="4"/>
      <c r="FA968" s="4"/>
      <c r="FB968" s="4"/>
      <c r="FC968" s="4"/>
      <c r="FD968" s="4"/>
      <c r="FE968" s="4"/>
      <c r="FF968" s="4"/>
      <c r="FG968" s="4"/>
      <c r="FH968" s="4"/>
      <c r="FI968" s="4"/>
      <c r="FJ968" s="4"/>
      <c r="FK968" s="4"/>
      <c r="FL968" s="4"/>
      <c r="FM968" s="4"/>
      <c r="FN968" s="4"/>
      <c r="FO968" s="4"/>
      <c r="FP968" s="4"/>
      <c r="FQ968" s="4"/>
      <c r="FR968" s="4"/>
      <c r="FS968" s="4"/>
      <c r="FT968" s="4"/>
      <c r="FU968" s="4"/>
      <c r="FV968" s="4"/>
      <c r="FW968" s="4"/>
      <c r="FX968" s="4"/>
      <c r="FY968" s="4"/>
      <c r="FZ968" s="4"/>
      <c r="GA968" s="4"/>
      <c r="GB968" s="4"/>
      <c r="GC968" s="4"/>
      <c r="GD968" s="4"/>
      <c r="GE968" s="4"/>
      <c r="GF968" s="4"/>
      <c r="GG968" s="4"/>
      <c r="GH968" s="4"/>
      <c r="GI968" s="4"/>
      <c r="GJ968" s="4"/>
      <c r="GK968" s="4"/>
      <c r="GL968" s="4"/>
      <c r="GM968" s="4"/>
      <c r="GN968" s="4"/>
      <c r="GO968" s="4"/>
      <c r="GP968" s="4"/>
      <c r="GQ968" s="4"/>
      <c r="GR968" s="4"/>
      <c r="GS968" s="4"/>
      <c r="GT968" s="4"/>
      <c r="GU968" s="4"/>
      <c r="GV968" s="4"/>
      <c r="GW968" s="4"/>
      <c r="GX968" s="4"/>
    </row>
    <row r="969">
      <c r="A969" s="2" t="s">
        <v>5686</v>
      </c>
      <c r="B969" s="2" t="s">
        <v>216</v>
      </c>
      <c r="C969" s="2" t="s">
        <v>4256</v>
      </c>
      <c r="D969" s="2" t="s">
        <v>687</v>
      </c>
      <c r="E969" s="2" t="s">
        <v>1903</v>
      </c>
      <c r="F969" s="2" t="s">
        <v>5682</v>
      </c>
      <c r="G969" s="2" t="s">
        <v>5682</v>
      </c>
      <c r="H969" s="2" t="s">
        <v>5682</v>
      </c>
      <c r="I969" s="2" t="s">
        <v>5683</v>
      </c>
      <c r="J969" s="2" t="s">
        <v>682</v>
      </c>
      <c r="K969" s="2" t="s">
        <v>264</v>
      </c>
      <c r="L969" s="3">
        <v>59.42</v>
      </c>
      <c r="M969" s="3">
        <v>62.39</v>
      </c>
      <c r="N969" s="3">
        <v>159.99</v>
      </c>
      <c r="O969" s="2" t="s">
        <v>224</v>
      </c>
      <c r="P969" s="2" t="s">
        <v>225</v>
      </c>
      <c r="Q969" s="2" t="s">
        <v>226</v>
      </c>
      <c r="R969" s="2" t="s">
        <v>227</v>
      </c>
      <c r="S969" s="2" t="s">
        <v>227</v>
      </c>
      <c r="T969" s="2" t="s">
        <v>227</v>
      </c>
      <c r="U969" s="2" t="s">
        <v>552</v>
      </c>
      <c r="V969" s="2" t="s">
        <v>230</v>
      </c>
      <c r="W969" s="2" t="s">
        <v>836</v>
      </c>
      <c r="X969" s="2" t="s">
        <v>227</v>
      </c>
      <c r="Y969" s="2" t="s">
        <v>4357</v>
      </c>
      <c r="Z969" s="4">
        <v>141</v>
      </c>
      <c r="AA969" s="4">
        <f>=ROUNDDOWN(15.6666666666667,0)</f>
      </c>
      <c r="AB969" s="5">
        <v>9</v>
      </c>
      <c r="AC969" s="2" t="s">
        <v>839</v>
      </c>
      <c r="AD969" s="4">
        <v>100</v>
      </c>
      <c r="AE969" s="4">
        <v>250</v>
      </c>
      <c r="AF969" s="6">
        <v>67</v>
      </c>
      <c r="AG969" s="6"/>
      <c r="AH969" s="7">
        <v>1</v>
      </c>
      <c r="AI969" s="4"/>
      <c r="AJ969" s="4">
        <f>=ROUNDDOWN({0},0)</f>
      </c>
      <c r="AK969" s="5"/>
      <c r="AL969" s="2" t="s">
        <v>227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227</v>
      </c>
      <c r="AW969" s="8" t="s">
        <v>227</v>
      </c>
      <c r="AX969" s="4" t="s">
        <v>227</v>
      </c>
      <c r="AY969" s="8" t="s">
        <v>227</v>
      </c>
      <c r="AZ969" s="7" t="s">
        <v>227</v>
      </c>
      <c r="BA969" s="7" t="s">
        <v>227</v>
      </c>
      <c r="BB969" s="7"/>
      <c r="BC969" s="4" t="s">
        <v>227</v>
      </c>
      <c r="BD969" s="8" t="s">
        <v>227</v>
      </c>
      <c r="BE969" s="4" t="s">
        <v>227</v>
      </c>
      <c r="BF969" s="8" t="s">
        <v>227</v>
      </c>
      <c r="BG969" s="7" t="s">
        <v>227</v>
      </c>
      <c r="BH969" s="7" t="s">
        <v>227</v>
      </c>
      <c r="BI969" s="7"/>
      <c r="BJ969" s="4">
        <v>24</v>
      </c>
      <c r="BK969" s="8">
        <v>1564.45</v>
      </c>
      <c r="BL969" s="2" t="s">
        <v>5687</v>
      </c>
      <c r="BM969" s="7"/>
      <c r="BN969" s="7"/>
      <c r="BO969" s="4"/>
      <c r="BP969" s="8"/>
      <c r="BQ969" s="4"/>
      <c r="BR969" s="8"/>
      <c r="BS969" s="7"/>
      <c r="BT969" s="7"/>
      <c r="BU969" s="2" t="s">
        <v>5688</v>
      </c>
      <c r="BV969" s="2" t="s">
        <v>227</v>
      </c>
      <c r="BW969" s="2" t="s">
        <v>227</v>
      </c>
      <c r="BX969" s="2" t="s">
        <v>235</v>
      </c>
      <c r="BY969" s="2" t="s">
        <v>236</v>
      </c>
      <c r="BZ969" s="2" t="s">
        <v>224</v>
      </c>
      <c r="CA969" s="2" t="s">
        <v>5685</v>
      </c>
      <c r="CB969" s="2" t="s">
        <v>1487</v>
      </c>
      <c r="CC969" s="2" t="s">
        <v>239</v>
      </c>
      <c r="CD969" s="2" t="s">
        <v>227</v>
      </c>
      <c r="CE969" s="4">
        <v>141</v>
      </c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>
        <v>100</v>
      </c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/>
      <c r="FA969" s="4"/>
      <c r="FB969" s="4"/>
      <c r="FC969" s="4"/>
      <c r="FD969" s="4"/>
      <c r="FE969" s="4"/>
      <c r="FF969" s="4"/>
      <c r="FG969" s="4"/>
      <c r="FH969" s="4"/>
      <c r="FI969" s="4"/>
      <c r="FJ969" s="4"/>
      <c r="FK969" s="4"/>
      <c r="FL969" s="4"/>
      <c r="FM969" s="4"/>
      <c r="FN969" s="4"/>
      <c r="FO969" s="4"/>
      <c r="FP969" s="4"/>
      <c r="FQ969" s="4"/>
      <c r="FR969" s="4"/>
      <c r="FS969" s="4"/>
      <c r="FT969" s="4"/>
      <c r="FU969" s="4"/>
      <c r="FV969" s="4"/>
      <c r="FW969" s="4"/>
      <c r="FX969" s="4"/>
      <c r="FY969" s="4"/>
      <c r="FZ969" s="4"/>
      <c r="GA969" s="4"/>
      <c r="GB969" s="4"/>
      <c r="GC969" s="4"/>
      <c r="GD969" s="4"/>
      <c r="GE969" s="4"/>
      <c r="GF969" s="4"/>
      <c r="GG969" s="4"/>
      <c r="GH969" s="4"/>
      <c r="GI969" s="4"/>
      <c r="GJ969" s="4"/>
      <c r="GK969" s="4"/>
      <c r="GL969" s="4"/>
      <c r="GM969" s="4">
        <v>150</v>
      </c>
      <c r="GN969" s="4"/>
      <c r="GO969" s="4"/>
      <c r="GP969" s="4"/>
      <c r="GQ969" s="4"/>
      <c r="GR969" s="4"/>
      <c r="GS969" s="4"/>
      <c r="GT969" s="4"/>
      <c r="GU969" s="4"/>
      <c r="GV969" s="4"/>
      <c r="GW969" s="4"/>
      <c r="GX969" s="4"/>
    </row>
    <row r="970">
      <c r="A970" s="2" t="s">
        <v>5689</v>
      </c>
      <c r="B970" s="2" t="s">
        <v>278</v>
      </c>
      <c r="C970" s="2" t="s">
        <v>360</v>
      </c>
      <c r="D970" s="2" t="s">
        <v>1423</v>
      </c>
      <c r="E970" s="2" t="s">
        <v>1424</v>
      </c>
      <c r="F970" s="2" t="s">
        <v>5690</v>
      </c>
      <c r="G970" s="2" t="s">
        <v>5690</v>
      </c>
      <c r="H970" s="2" t="s">
        <v>5690</v>
      </c>
      <c r="I970" s="2" t="s">
        <v>5691</v>
      </c>
      <c r="J970" s="2" t="s">
        <v>257</v>
      </c>
      <c r="K970" s="2" t="s">
        <v>1577</v>
      </c>
      <c r="L970" s="3">
        <v>28.56</v>
      </c>
      <c r="M970" s="3">
        <v>29.99</v>
      </c>
      <c r="N970" s="3">
        <v>67.99</v>
      </c>
      <c r="O970" s="2" t="s">
        <v>224</v>
      </c>
      <c r="P970" s="2" t="s">
        <v>225</v>
      </c>
      <c r="Q970" s="2" t="s">
        <v>226</v>
      </c>
      <c r="R970" s="2" t="s">
        <v>227</v>
      </c>
      <c r="S970" s="2" t="s">
        <v>5692</v>
      </c>
      <c r="T970" s="2" t="s">
        <v>5690</v>
      </c>
      <c r="U970" s="2" t="s">
        <v>552</v>
      </c>
      <c r="V970" s="2" t="s">
        <v>230</v>
      </c>
      <c r="W970" s="2" t="s">
        <v>231</v>
      </c>
      <c r="X970" s="2" t="s">
        <v>836</v>
      </c>
      <c r="Y970" s="2" t="s">
        <v>5693</v>
      </c>
      <c r="Z970" s="4">
        <v>149</v>
      </c>
      <c r="AA970" s="4">
        <f>=ROUNDDOWN(18.625,0)</f>
      </c>
      <c r="AB970" s="5">
        <v>8</v>
      </c>
      <c r="AC970" s="2" t="s">
        <v>583</v>
      </c>
      <c r="AD970" s="4">
        <v>120</v>
      </c>
      <c r="AE970" s="4">
        <v>240</v>
      </c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227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/>
      <c r="AW970" s="8"/>
      <c r="AX970" s="4"/>
      <c r="AY970" s="8"/>
      <c r="AZ970" s="7"/>
      <c r="BA970" s="7"/>
      <c r="BB970" s="7"/>
      <c r="BC970" s="4"/>
      <c r="BD970" s="8"/>
      <c r="BE970" s="4"/>
      <c r="BF970" s="8"/>
      <c r="BG970" s="7"/>
      <c r="BH970" s="7"/>
      <c r="BI970" s="7"/>
      <c r="BJ970" s="4">
        <v>33</v>
      </c>
      <c r="BK970" s="8">
        <v>1033.92</v>
      </c>
      <c r="BL970" s="2" t="s">
        <v>434</v>
      </c>
      <c r="BM970" s="7"/>
      <c r="BN970" s="7"/>
      <c r="BO970" s="4"/>
      <c r="BP970" s="8"/>
      <c r="BQ970" s="4"/>
      <c r="BR970" s="8"/>
      <c r="BS970" s="7"/>
      <c r="BT970" s="7"/>
      <c r="BU970" s="2" t="s">
        <v>5694</v>
      </c>
      <c r="BV970" s="2" t="s">
        <v>227</v>
      </c>
      <c r="BW970" s="2" t="s">
        <v>227</v>
      </c>
      <c r="BX970" s="2" t="s">
        <v>235</v>
      </c>
      <c r="BY970" s="2" t="s">
        <v>236</v>
      </c>
      <c r="BZ970" s="2" t="s">
        <v>224</v>
      </c>
      <c r="CA970" s="2" t="s">
        <v>5007</v>
      </c>
      <c r="CB970" s="2" t="s">
        <v>5695</v>
      </c>
      <c r="CC970" s="2" t="s">
        <v>239</v>
      </c>
      <c r="CD970" s="2" t="s">
        <v>227</v>
      </c>
      <c r="CE970" s="4">
        <v>149</v>
      </c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>
        <v>120</v>
      </c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/>
      <c r="FA970" s="4"/>
      <c r="FB970" s="4"/>
      <c r="FC970" s="4"/>
      <c r="FD970" s="4"/>
      <c r="FE970" s="4">
        <v>40</v>
      </c>
      <c r="FF970" s="4"/>
      <c r="FG970" s="4"/>
      <c r="FH970" s="4"/>
      <c r="FI970" s="4"/>
      <c r="FJ970" s="4"/>
      <c r="FK970" s="4"/>
      <c r="FL970" s="4"/>
      <c r="FM970" s="4"/>
      <c r="FN970" s="4"/>
      <c r="FO970" s="4"/>
      <c r="FP970" s="4"/>
      <c r="FQ970" s="4"/>
      <c r="FR970" s="4"/>
      <c r="FS970" s="4"/>
      <c r="FT970" s="4"/>
      <c r="FU970" s="4"/>
      <c r="FV970" s="4"/>
      <c r="FW970" s="4">
        <v>80</v>
      </c>
      <c r="FX970" s="4"/>
      <c r="FY970" s="4"/>
      <c r="FZ970" s="4"/>
      <c r="GA970" s="4"/>
      <c r="GB970" s="4"/>
      <c r="GC970" s="4"/>
      <c r="GD970" s="4"/>
      <c r="GE970" s="4"/>
      <c r="GF970" s="4"/>
      <c r="GG970" s="4"/>
      <c r="GH970" s="4"/>
      <c r="GI970" s="4"/>
      <c r="GJ970" s="4"/>
      <c r="GK970" s="4"/>
      <c r="GL970" s="4"/>
      <c r="GM970" s="4"/>
      <c r="GN970" s="4"/>
      <c r="GO970" s="4"/>
      <c r="GP970" s="4"/>
      <c r="GQ970" s="4"/>
      <c r="GR970" s="4"/>
      <c r="GS970" s="4"/>
      <c r="GT970" s="4"/>
      <c r="GU970" s="4"/>
      <c r="GV970" s="4"/>
      <c r="GW970" s="4"/>
      <c r="GX970" s="4"/>
    </row>
    <row r="971">
      <c r="A971" s="2" t="s">
        <v>5696</v>
      </c>
      <c r="B971" s="2" t="s">
        <v>573</v>
      </c>
      <c r="C971" s="2" t="s">
        <v>668</v>
      </c>
      <c r="D971" s="2" t="s">
        <v>3621</v>
      </c>
      <c r="E971" s="2" t="s">
        <v>3894</v>
      </c>
      <c r="F971" s="2" t="s">
        <v>4993</v>
      </c>
      <c r="G971" s="2" t="s">
        <v>4993</v>
      </c>
      <c r="H971" s="2" t="s">
        <v>4993</v>
      </c>
      <c r="I971" s="2" t="s">
        <v>5697</v>
      </c>
      <c r="J971" s="2" t="s">
        <v>548</v>
      </c>
      <c r="K971" s="2" t="s">
        <v>737</v>
      </c>
      <c r="L971" s="3">
        <v>165</v>
      </c>
      <c r="M971" s="3">
        <v>173.25</v>
      </c>
      <c r="N971" s="3">
        <v>349</v>
      </c>
      <c r="O971" s="2" t="s">
        <v>224</v>
      </c>
      <c r="P971" s="2" t="s">
        <v>225</v>
      </c>
      <c r="Q971" s="2" t="s">
        <v>226</v>
      </c>
      <c r="R971" s="2" t="s">
        <v>227</v>
      </c>
      <c r="S971" s="2" t="s">
        <v>227</v>
      </c>
      <c r="T971" s="2" t="s">
        <v>227</v>
      </c>
      <c r="U971" s="2" t="s">
        <v>552</v>
      </c>
      <c r="V971" s="2" t="s">
        <v>566</v>
      </c>
      <c r="W971" s="2" t="s">
        <v>836</v>
      </c>
      <c r="X971" s="2" t="s">
        <v>231</v>
      </c>
      <c r="Y971" s="2" t="s">
        <v>5698</v>
      </c>
      <c r="Z971" s="4">
        <v>2</v>
      </c>
      <c r="AA971" s="4">
        <f>=ROUNDDOWN(0.153846153846154,0)</f>
      </c>
      <c r="AB971" s="5">
        <v>13</v>
      </c>
      <c r="AC971" s="2" t="s">
        <v>151</v>
      </c>
      <c r="AD971" s="4">
        <v>200</v>
      </c>
      <c r="AE971" s="4">
        <v>300</v>
      </c>
      <c r="AF971" s="6">
        <v>74</v>
      </c>
      <c r="AG971" s="6"/>
      <c r="AH971" s="7">
        <v>0</v>
      </c>
      <c r="AI971" s="4"/>
      <c r="AJ971" s="4">
        <f>=ROUNDDOWN({0},0)</f>
      </c>
      <c r="AK971" s="5"/>
      <c r="AL971" s="2" t="s">
        <v>227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/>
      <c r="AW971" s="8"/>
      <c r="AX971" s="4"/>
      <c r="AY971" s="8"/>
      <c r="AZ971" s="7"/>
      <c r="BA971" s="7"/>
      <c r="BB971" s="7"/>
      <c r="BC971" s="4"/>
      <c r="BD971" s="8"/>
      <c r="BE971" s="4"/>
      <c r="BF971" s="8"/>
      <c r="BG971" s="7"/>
      <c r="BH971" s="7"/>
      <c r="BI971" s="7"/>
      <c r="BJ971" s="4">
        <v>3</v>
      </c>
      <c r="BK971" s="8">
        <v>524.95</v>
      </c>
      <c r="BL971" s="2" t="s">
        <v>1188</v>
      </c>
      <c r="BM971" s="7"/>
      <c r="BN971" s="7"/>
      <c r="BO971" s="4"/>
      <c r="BP971" s="8"/>
      <c r="BQ971" s="4"/>
      <c r="BR971" s="8"/>
      <c r="BS971" s="7"/>
      <c r="BT971" s="7"/>
      <c r="BU971" s="2" t="s">
        <v>5699</v>
      </c>
      <c r="BV971" s="2" t="s">
        <v>227</v>
      </c>
      <c r="BW971" s="2" t="s">
        <v>227</v>
      </c>
      <c r="BX971" s="2" t="s">
        <v>235</v>
      </c>
      <c r="BY971" s="2" t="s">
        <v>236</v>
      </c>
      <c r="BZ971" s="2" t="s">
        <v>224</v>
      </c>
      <c r="CA971" s="2" t="s">
        <v>1722</v>
      </c>
      <c r="CB971" s="2" t="s">
        <v>2658</v>
      </c>
      <c r="CC971" s="2" t="s">
        <v>239</v>
      </c>
      <c r="CD971" s="2" t="s">
        <v>227</v>
      </c>
      <c r="CE971" s="4"/>
      <c r="CF971" s="4">
        <v>2</v>
      </c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>
        <v>200</v>
      </c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/>
      <c r="FA971" s="4"/>
      <c r="FB971" s="4"/>
      <c r="FC971" s="4"/>
      <c r="FD971" s="4"/>
      <c r="FE971" s="4"/>
      <c r="FF971" s="4"/>
      <c r="FG971" s="4"/>
      <c r="FH971" s="4"/>
      <c r="FI971" s="4"/>
      <c r="FJ971" s="4"/>
      <c r="FK971" s="4"/>
      <c r="FL971" s="4"/>
      <c r="FM971" s="4"/>
      <c r="FN971" s="4"/>
      <c r="FO971" s="4"/>
      <c r="FP971" s="4"/>
      <c r="FQ971" s="4"/>
      <c r="FR971" s="4"/>
      <c r="FS971" s="4"/>
      <c r="FT971" s="4"/>
      <c r="FU971" s="4"/>
      <c r="FV971" s="4"/>
      <c r="FW971" s="4"/>
      <c r="FX971" s="4"/>
      <c r="FY971" s="4"/>
      <c r="FZ971" s="4"/>
      <c r="GA971" s="4"/>
      <c r="GB971" s="4"/>
      <c r="GC971" s="4"/>
      <c r="GD971" s="4"/>
      <c r="GE971" s="4"/>
      <c r="GF971" s="4"/>
      <c r="GG971" s="4"/>
      <c r="GH971" s="4"/>
      <c r="GI971" s="4"/>
      <c r="GJ971" s="4"/>
      <c r="GK971" s="4"/>
      <c r="GL971" s="4"/>
      <c r="GM971" s="4"/>
      <c r="GN971" s="4"/>
      <c r="GO971" s="4"/>
      <c r="GP971" s="4"/>
      <c r="GQ971" s="4"/>
      <c r="GR971" s="4"/>
      <c r="GS971" s="4"/>
      <c r="GT971" s="4">
        <v>100</v>
      </c>
      <c r="GU971" s="4"/>
      <c r="GV971" s="4"/>
      <c r="GW971" s="4"/>
      <c r="GX971" s="4"/>
    </row>
    <row r="972">
      <c r="A972" s="2" t="s">
        <v>5700</v>
      </c>
      <c r="B972" s="2" t="s">
        <v>278</v>
      </c>
      <c r="C972" s="2" t="s">
        <v>217</v>
      </c>
      <c r="D972" s="2" t="s">
        <v>280</v>
      </c>
      <c r="E972" s="2" t="s">
        <v>281</v>
      </c>
      <c r="F972" s="2" t="s">
        <v>5701</v>
      </c>
      <c r="G972" s="2" t="s">
        <v>5701</v>
      </c>
      <c r="H972" s="2" t="s">
        <v>5701</v>
      </c>
      <c r="I972" s="2" t="s">
        <v>283</v>
      </c>
      <c r="J972" s="2" t="s">
        <v>222</v>
      </c>
      <c r="K972" s="2" t="s">
        <v>672</v>
      </c>
      <c r="L972" s="3">
        <v>16.5</v>
      </c>
      <c r="M972" s="3">
        <v>17.32</v>
      </c>
      <c r="N972" s="3">
        <v>32.99</v>
      </c>
      <c r="O972" s="2" t="s">
        <v>224</v>
      </c>
      <c r="P972" s="2" t="s">
        <v>225</v>
      </c>
      <c r="Q972" s="2" t="s">
        <v>226</v>
      </c>
      <c r="R972" s="2" t="s">
        <v>227</v>
      </c>
      <c r="S972" s="2" t="s">
        <v>5702</v>
      </c>
      <c r="T972" s="2" t="s">
        <v>5703</v>
      </c>
      <c r="U972" s="2" t="s">
        <v>227</v>
      </c>
      <c r="V972" s="2" t="s">
        <v>230</v>
      </c>
      <c r="W972" s="2" t="s">
        <v>231</v>
      </c>
      <c r="X972" s="2" t="s">
        <v>227</v>
      </c>
      <c r="Y972" s="2" t="s">
        <v>5704</v>
      </c>
      <c r="Z972" s="4">
        <v>39</v>
      </c>
      <c r="AA972" s="4">
        <f>=ROUNDDOWN(10,0)</f>
      </c>
      <c r="AB972" s="5">
        <v>3.9</v>
      </c>
      <c r="AC972" s="2" t="s">
        <v>182</v>
      </c>
      <c r="AD972" s="4">
        <v>120</v>
      </c>
      <c r="AE972" s="4">
        <v>120</v>
      </c>
      <c r="AF972" s="6">
        <v>66</v>
      </c>
      <c r="AG972" s="6"/>
      <c r="AH972" s="7">
        <v>1</v>
      </c>
      <c r="AI972" s="4"/>
      <c r="AJ972" s="4">
        <f>=ROUNDDOWN({0},0)</f>
      </c>
      <c r="AK972" s="5"/>
      <c r="AL972" s="2" t="s">
        <v>227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227</v>
      </c>
      <c r="AW972" s="8" t="s">
        <v>227</v>
      </c>
      <c r="AX972" s="4" t="s">
        <v>227</v>
      </c>
      <c r="AY972" s="8" t="s">
        <v>227</v>
      </c>
      <c r="AZ972" s="7" t="s">
        <v>227</v>
      </c>
      <c r="BA972" s="7" t="s">
        <v>227</v>
      </c>
      <c r="BB972" s="7"/>
      <c r="BC972" s="4" t="s">
        <v>227</v>
      </c>
      <c r="BD972" s="8" t="s">
        <v>227</v>
      </c>
      <c r="BE972" s="4" t="s">
        <v>227</v>
      </c>
      <c r="BF972" s="8" t="s">
        <v>227</v>
      </c>
      <c r="BG972" s="7" t="s">
        <v>227</v>
      </c>
      <c r="BH972" s="7" t="s">
        <v>227</v>
      </c>
      <c r="BI972" s="7"/>
      <c r="BJ972" s="4">
        <v>15</v>
      </c>
      <c r="BK972" s="8">
        <v>247.13</v>
      </c>
      <c r="BL972" s="2" t="s">
        <v>5705</v>
      </c>
      <c r="BM972" s="7"/>
      <c r="BN972" s="7"/>
      <c r="BO972" s="4"/>
      <c r="BP972" s="8"/>
      <c r="BQ972" s="4"/>
      <c r="BR972" s="8"/>
      <c r="BS972" s="7"/>
      <c r="BT972" s="7"/>
      <c r="BU972" s="2" t="s">
        <v>5706</v>
      </c>
      <c r="BV972" s="2" t="s">
        <v>227</v>
      </c>
      <c r="BW972" s="2" t="s">
        <v>227</v>
      </c>
      <c r="BX972" s="2" t="s">
        <v>235</v>
      </c>
      <c r="BY972" s="2" t="s">
        <v>236</v>
      </c>
      <c r="BZ972" s="2" t="s">
        <v>224</v>
      </c>
      <c r="CA972" s="2" t="s">
        <v>5707</v>
      </c>
      <c r="CB972" s="2" t="s">
        <v>5708</v>
      </c>
      <c r="CC972" s="2" t="s">
        <v>239</v>
      </c>
      <c r="CD972" s="2" t="s">
        <v>227</v>
      </c>
      <c r="CE972" s="4">
        <v>39</v>
      </c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/>
      <c r="FA972" s="4"/>
      <c r="FB972" s="4"/>
      <c r="FC972" s="4"/>
      <c r="FD972" s="4"/>
      <c r="FE972" s="4"/>
      <c r="FF972" s="4"/>
      <c r="FG972" s="4"/>
      <c r="FH972" s="4"/>
      <c r="FI972" s="4"/>
      <c r="FJ972" s="4"/>
      <c r="FK972" s="4"/>
      <c r="FL972" s="4"/>
      <c r="FM972" s="4"/>
      <c r="FN972" s="4"/>
      <c r="FO972" s="4"/>
      <c r="FP972" s="4"/>
      <c r="FQ972" s="4"/>
      <c r="FR972" s="4">
        <v>120</v>
      </c>
      <c r="FS972" s="4"/>
      <c r="FT972" s="4"/>
      <c r="FU972" s="4"/>
      <c r="FV972" s="4"/>
      <c r="FW972" s="4"/>
      <c r="FX972" s="4"/>
      <c r="FY972" s="4"/>
      <c r="FZ972" s="4"/>
      <c r="GA972" s="4"/>
      <c r="GB972" s="4"/>
      <c r="GC972" s="4"/>
      <c r="GD972" s="4"/>
      <c r="GE972" s="4"/>
      <c r="GF972" s="4"/>
      <c r="GG972" s="4"/>
      <c r="GH972" s="4"/>
      <c r="GI972" s="4"/>
      <c r="GJ972" s="4"/>
      <c r="GK972" s="4"/>
      <c r="GL972" s="4"/>
      <c r="GM972" s="4"/>
      <c r="GN972" s="4"/>
      <c r="GO972" s="4"/>
      <c r="GP972" s="4"/>
      <c r="GQ972" s="4"/>
      <c r="GR972" s="4"/>
      <c r="GS972" s="4"/>
      <c r="GT972" s="4"/>
      <c r="GU972" s="4"/>
      <c r="GV972" s="4"/>
      <c r="GW972" s="4"/>
      <c r="GX972" s="4"/>
    </row>
    <row r="973">
      <c r="A973" s="2" t="s">
        <v>5709</v>
      </c>
      <c r="B973" s="2" t="s">
        <v>278</v>
      </c>
      <c r="C973" s="2" t="s">
        <v>217</v>
      </c>
      <c r="D973" s="2" t="s">
        <v>280</v>
      </c>
      <c r="E973" s="2" t="s">
        <v>281</v>
      </c>
      <c r="F973" s="2" t="s">
        <v>5701</v>
      </c>
      <c r="G973" s="2" t="s">
        <v>5701</v>
      </c>
      <c r="H973" s="2" t="s">
        <v>5701</v>
      </c>
      <c r="I973" s="2" t="s">
        <v>283</v>
      </c>
      <c r="J973" s="2" t="s">
        <v>247</v>
      </c>
      <c r="K973" s="2" t="s">
        <v>672</v>
      </c>
      <c r="L973" s="3">
        <v>16.5</v>
      </c>
      <c r="M973" s="3">
        <v>17.32</v>
      </c>
      <c r="N973" s="3">
        <v>32.99</v>
      </c>
      <c r="O973" s="2" t="s">
        <v>224</v>
      </c>
      <c r="P973" s="2" t="s">
        <v>580</v>
      </c>
      <c r="Q973" s="2" t="s">
        <v>226</v>
      </c>
      <c r="R973" s="2" t="s">
        <v>227</v>
      </c>
      <c r="S973" s="2" t="s">
        <v>5702</v>
      </c>
      <c r="T973" s="2" t="s">
        <v>5703</v>
      </c>
      <c r="U973" s="2" t="s">
        <v>227</v>
      </c>
      <c r="V973" s="2" t="s">
        <v>230</v>
      </c>
      <c r="W973" s="2" t="s">
        <v>231</v>
      </c>
      <c r="X973" s="2" t="s">
        <v>227</v>
      </c>
      <c r="Y973" s="2" t="s">
        <v>5704</v>
      </c>
      <c r="Z973" s="4">
        <v>380</v>
      </c>
      <c r="AA973" s="4">
        <f>=ROUNDDOWN(76,0)</f>
      </c>
      <c r="AB973" s="5">
        <v>5</v>
      </c>
      <c r="AC973" s="2" t="s">
        <v>227</v>
      </c>
      <c r="AD973" s="4"/>
      <c r="AE973" s="4"/>
      <c r="AF973" s="6">
        <v>66</v>
      </c>
      <c r="AG973" s="6"/>
      <c r="AH973" s="7">
        <v>1</v>
      </c>
      <c r="AI973" s="4"/>
      <c r="AJ973" s="4">
        <f>=ROUNDDOWN({0},0)</f>
      </c>
      <c r="AK973" s="5"/>
      <c r="AL973" s="2" t="s">
        <v>227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 t="s">
        <v>227</v>
      </c>
      <c r="AW973" s="8" t="s">
        <v>227</v>
      </c>
      <c r="AX973" s="4" t="s">
        <v>227</v>
      </c>
      <c r="AY973" s="8" t="s">
        <v>227</v>
      </c>
      <c r="AZ973" s="7" t="s">
        <v>227</v>
      </c>
      <c r="BA973" s="7" t="s">
        <v>227</v>
      </c>
      <c r="BB973" s="7"/>
      <c r="BC973" s="4" t="s">
        <v>227</v>
      </c>
      <c r="BD973" s="8" t="s">
        <v>227</v>
      </c>
      <c r="BE973" s="4" t="s">
        <v>227</v>
      </c>
      <c r="BF973" s="8" t="s">
        <v>227</v>
      </c>
      <c r="BG973" s="7" t="s">
        <v>227</v>
      </c>
      <c r="BH973" s="7" t="s">
        <v>227</v>
      </c>
      <c r="BI973" s="7"/>
      <c r="BJ973" s="4">
        <v>13</v>
      </c>
      <c r="BK973" s="8">
        <v>217.15</v>
      </c>
      <c r="BL973" s="2" t="s">
        <v>5710</v>
      </c>
      <c r="BM973" s="7"/>
      <c r="BN973" s="7"/>
      <c r="BO973" s="4"/>
      <c r="BP973" s="8"/>
      <c r="BQ973" s="4"/>
      <c r="BR973" s="8"/>
      <c r="BS973" s="7"/>
      <c r="BT973" s="7"/>
      <c r="BU973" s="2" t="s">
        <v>5711</v>
      </c>
      <c r="BV973" s="2" t="s">
        <v>227</v>
      </c>
      <c r="BW973" s="2" t="s">
        <v>227</v>
      </c>
      <c r="BX973" s="2" t="s">
        <v>235</v>
      </c>
      <c r="BY973" s="2" t="s">
        <v>236</v>
      </c>
      <c r="BZ973" s="2" t="s">
        <v>224</v>
      </c>
      <c r="CA973" s="2" t="s">
        <v>5707</v>
      </c>
      <c r="CB973" s="2" t="s">
        <v>5712</v>
      </c>
      <c r="CC973" s="2" t="s">
        <v>239</v>
      </c>
      <c r="CD973" s="2" t="s">
        <v>227</v>
      </c>
      <c r="CE973" s="4">
        <v>380</v>
      </c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/>
      <c r="ET973" s="4"/>
      <c r="EU973" s="4"/>
      <c r="EV973" s="4"/>
      <c r="EW973" s="4"/>
      <c r="EX973" s="4"/>
      <c r="EY973" s="4"/>
      <c r="EZ973" s="4"/>
      <c r="FA973" s="4"/>
      <c r="FB973" s="4"/>
      <c r="FC973" s="4"/>
      <c r="FD973" s="4"/>
      <c r="FE973" s="4"/>
      <c r="FF973" s="4"/>
      <c r="FG973" s="4"/>
      <c r="FH973" s="4"/>
      <c r="FI973" s="4"/>
      <c r="FJ973" s="4"/>
      <c r="FK973" s="4"/>
      <c r="FL973" s="4"/>
      <c r="FM973" s="4"/>
      <c r="FN973" s="4"/>
      <c r="FO973" s="4"/>
      <c r="FP973" s="4"/>
      <c r="FQ973" s="4"/>
      <c r="FR973" s="4"/>
      <c r="FS973" s="4"/>
      <c r="FT973" s="4"/>
      <c r="FU973" s="4"/>
      <c r="FV973" s="4"/>
      <c r="FW973" s="4"/>
      <c r="FX973" s="4"/>
      <c r="FY973" s="4"/>
      <c r="FZ973" s="4"/>
      <c r="GA973" s="4"/>
      <c r="GB973" s="4"/>
      <c r="GC973" s="4"/>
      <c r="GD973" s="4"/>
      <c r="GE973" s="4"/>
      <c r="GF973" s="4"/>
      <c r="GG973" s="4"/>
      <c r="GH973" s="4"/>
      <c r="GI973" s="4"/>
      <c r="GJ973" s="4"/>
      <c r="GK973" s="4"/>
      <c r="GL973" s="4"/>
      <c r="GM973" s="4"/>
      <c r="GN973" s="4"/>
      <c r="GO973" s="4"/>
      <c r="GP973" s="4"/>
      <c r="GQ973" s="4"/>
      <c r="GR973" s="4"/>
      <c r="GS973" s="4"/>
      <c r="GT973" s="4"/>
      <c r="GU973" s="4"/>
      <c r="GV973" s="4"/>
      <c r="GW973" s="4"/>
      <c r="GX973" s="4"/>
    </row>
    <row r="974">
      <c r="A974" s="2" t="s">
        <v>5713</v>
      </c>
      <c r="B974" s="2" t="s">
        <v>278</v>
      </c>
      <c r="C974" s="2" t="s">
        <v>217</v>
      </c>
      <c r="D974" s="2" t="s">
        <v>280</v>
      </c>
      <c r="E974" s="2" t="s">
        <v>281</v>
      </c>
      <c r="F974" s="2" t="s">
        <v>5701</v>
      </c>
      <c r="G974" s="2" t="s">
        <v>5701</v>
      </c>
      <c r="H974" s="2" t="s">
        <v>5701</v>
      </c>
      <c r="I974" s="2" t="s">
        <v>283</v>
      </c>
      <c r="J974" s="2" t="s">
        <v>222</v>
      </c>
      <c r="K974" s="2" t="s">
        <v>410</v>
      </c>
      <c r="L974" s="3">
        <v>16.5</v>
      </c>
      <c r="M974" s="3">
        <v>17.32</v>
      </c>
      <c r="N974" s="3">
        <v>32.99</v>
      </c>
      <c r="O974" s="2" t="s">
        <v>224</v>
      </c>
      <c r="P974" s="2" t="s">
        <v>225</v>
      </c>
      <c r="Q974" s="2" t="s">
        <v>226</v>
      </c>
      <c r="R974" s="2" t="s">
        <v>227</v>
      </c>
      <c r="S974" s="2" t="s">
        <v>5714</v>
      </c>
      <c r="T974" s="2" t="s">
        <v>5703</v>
      </c>
      <c r="U974" s="2" t="s">
        <v>227</v>
      </c>
      <c r="V974" s="2" t="s">
        <v>230</v>
      </c>
      <c r="W974" s="2" t="s">
        <v>231</v>
      </c>
      <c r="X974" s="2" t="s">
        <v>227</v>
      </c>
      <c r="Y974" s="2" t="s">
        <v>232</v>
      </c>
      <c r="Z974" s="4">
        <v>148</v>
      </c>
      <c r="AA974" s="4">
        <f>=ROUNDDOWN(12.3333333333333,0)</f>
      </c>
      <c r="AB974" s="5">
        <v>12</v>
      </c>
      <c r="AC974" s="2" t="s">
        <v>156</v>
      </c>
      <c r="AD974" s="4">
        <v>80</v>
      </c>
      <c r="AE974" s="4">
        <v>260</v>
      </c>
      <c r="AF974" s="6">
        <v>66</v>
      </c>
      <c r="AG974" s="6"/>
      <c r="AH974" s="7">
        <v>0.2903</v>
      </c>
      <c r="AI974" s="4"/>
      <c r="AJ974" s="4">
        <f>=ROUNDDOWN({0},0)</f>
      </c>
      <c r="AK974" s="5"/>
      <c r="AL974" s="2" t="s">
        <v>227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227</v>
      </c>
      <c r="AW974" s="8" t="s">
        <v>227</v>
      </c>
      <c r="AX974" s="4" t="s">
        <v>227</v>
      </c>
      <c r="AY974" s="8" t="s">
        <v>227</v>
      </c>
      <c r="AZ974" s="7" t="s">
        <v>227</v>
      </c>
      <c r="BA974" s="7" t="s">
        <v>227</v>
      </c>
      <c r="BB974" s="7"/>
      <c r="BC974" s="4" t="s">
        <v>227</v>
      </c>
      <c r="BD974" s="8" t="s">
        <v>227</v>
      </c>
      <c r="BE974" s="4" t="s">
        <v>227</v>
      </c>
      <c r="BF974" s="8" t="s">
        <v>227</v>
      </c>
      <c r="BG974" s="7" t="s">
        <v>227</v>
      </c>
      <c r="BH974" s="7" t="s">
        <v>227</v>
      </c>
      <c r="BI974" s="7"/>
      <c r="BJ974" s="4"/>
      <c r="BK974" s="8"/>
      <c r="BL974" s="2" t="s">
        <v>5715</v>
      </c>
      <c r="BM974" s="7"/>
      <c r="BN974" s="7"/>
      <c r="BO974" s="4"/>
      <c r="BP974" s="8"/>
      <c r="BQ974" s="4"/>
      <c r="BR974" s="8"/>
      <c r="BS974" s="7"/>
      <c r="BT974" s="7"/>
      <c r="BU974" s="2" t="s">
        <v>5716</v>
      </c>
      <c r="BV974" s="2" t="s">
        <v>227</v>
      </c>
      <c r="BW974" s="2" t="s">
        <v>227</v>
      </c>
      <c r="BX974" s="2" t="s">
        <v>235</v>
      </c>
      <c r="BY974" s="2" t="s">
        <v>236</v>
      </c>
      <c r="BZ974" s="2" t="s">
        <v>224</v>
      </c>
      <c r="CA974" s="2" t="s">
        <v>5707</v>
      </c>
      <c r="CB974" s="2" t="s">
        <v>2151</v>
      </c>
      <c r="CC974" s="2" t="s">
        <v>239</v>
      </c>
      <c r="CD974" s="2" t="s">
        <v>227</v>
      </c>
      <c r="CE974" s="4">
        <v>48</v>
      </c>
      <c r="CF974" s="4"/>
      <c r="CG974" s="4"/>
      <c r="CH974" s="4"/>
      <c r="CI974" s="4"/>
      <c r="CJ974" s="4"/>
      <c r="CK974" s="4">
        <v>100</v>
      </c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>
        <v>80</v>
      </c>
      <c r="ES974" s="4"/>
      <c r="ET974" s="4"/>
      <c r="EU974" s="4"/>
      <c r="EV974" s="4"/>
      <c r="EW974" s="4"/>
      <c r="EX974" s="4"/>
      <c r="EY974" s="4"/>
      <c r="EZ974" s="4"/>
      <c r="FA974" s="4"/>
      <c r="FB974" s="4"/>
      <c r="FC974" s="4"/>
      <c r="FD974" s="4"/>
      <c r="FE974" s="4"/>
      <c r="FF974" s="4"/>
      <c r="FG974" s="4"/>
      <c r="FH974" s="4"/>
      <c r="FI974" s="4"/>
      <c r="FJ974" s="4"/>
      <c r="FK974" s="4"/>
      <c r="FL974" s="4"/>
      <c r="FM974" s="4"/>
      <c r="FN974" s="4"/>
      <c r="FO974" s="4"/>
      <c r="FP974" s="4"/>
      <c r="FQ974" s="4"/>
      <c r="FR974" s="4"/>
      <c r="FS974" s="4"/>
      <c r="FT974" s="4"/>
      <c r="FU974" s="4"/>
      <c r="FV974" s="4"/>
      <c r="FW974" s="4"/>
      <c r="FX974" s="4"/>
      <c r="FY974" s="4"/>
      <c r="FZ974" s="4"/>
      <c r="GA974" s="4"/>
      <c r="GB974" s="4">
        <v>180</v>
      </c>
      <c r="GC974" s="4"/>
      <c r="GD974" s="4"/>
      <c r="GE974" s="4"/>
      <c r="GF974" s="4"/>
      <c r="GG974" s="4"/>
      <c r="GH974" s="4"/>
      <c r="GI974" s="4"/>
      <c r="GJ974" s="4"/>
      <c r="GK974" s="4"/>
      <c r="GL974" s="4"/>
      <c r="GM974" s="4"/>
      <c r="GN974" s="4"/>
      <c r="GO974" s="4"/>
      <c r="GP974" s="4"/>
      <c r="GQ974" s="4"/>
      <c r="GR974" s="4"/>
      <c r="GS974" s="4"/>
      <c r="GT974" s="4"/>
      <c r="GU974" s="4"/>
      <c r="GV974" s="4"/>
      <c r="GW974" s="4"/>
      <c r="GX974" s="4"/>
    </row>
    <row r="975">
      <c r="A975" s="2" t="s">
        <v>5717</v>
      </c>
      <c r="B975" s="2" t="s">
        <v>278</v>
      </c>
      <c r="C975" s="2" t="s">
        <v>217</v>
      </c>
      <c r="D975" s="2" t="s">
        <v>280</v>
      </c>
      <c r="E975" s="2" t="s">
        <v>281</v>
      </c>
      <c r="F975" s="2" t="s">
        <v>5701</v>
      </c>
      <c r="G975" s="2" t="s">
        <v>5701</v>
      </c>
      <c r="H975" s="2" t="s">
        <v>5701</v>
      </c>
      <c r="I975" s="2" t="s">
        <v>283</v>
      </c>
      <c r="J975" s="2" t="s">
        <v>247</v>
      </c>
      <c r="K975" s="2" t="s">
        <v>410</v>
      </c>
      <c r="L975" s="3">
        <v>16.5</v>
      </c>
      <c r="M975" s="3">
        <v>17.32</v>
      </c>
      <c r="N975" s="3">
        <v>32.99</v>
      </c>
      <c r="O975" s="2" t="s">
        <v>224</v>
      </c>
      <c r="P975" s="2" t="s">
        <v>225</v>
      </c>
      <c r="Q975" s="2" t="s">
        <v>226</v>
      </c>
      <c r="R975" s="2" t="s">
        <v>227</v>
      </c>
      <c r="S975" s="2" t="s">
        <v>5714</v>
      </c>
      <c r="T975" s="2" t="s">
        <v>5703</v>
      </c>
      <c r="U975" s="2" t="s">
        <v>227</v>
      </c>
      <c r="V975" s="2" t="s">
        <v>230</v>
      </c>
      <c r="W975" s="2" t="s">
        <v>231</v>
      </c>
      <c r="X975" s="2" t="s">
        <v>227</v>
      </c>
      <c r="Y975" s="2" t="s">
        <v>5704</v>
      </c>
      <c r="Z975" s="4">
        <v>332</v>
      </c>
      <c r="AA975" s="4">
        <f>=ROUNDDOWN(23.7142857142857,0)</f>
      </c>
      <c r="AB975" s="5">
        <v>14</v>
      </c>
      <c r="AC975" s="2" t="s">
        <v>156</v>
      </c>
      <c r="AD975" s="4">
        <v>100</v>
      </c>
      <c r="AE975" s="4">
        <v>290</v>
      </c>
      <c r="AF975" s="6">
        <v>66</v>
      </c>
      <c r="AG975" s="6"/>
      <c r="AH975" s="7">
        <v>1</v>
      </c>
      <c r="AI975" s="4"/>
      <c r="AJ975" s="4">
        <f>=ROUNDDOWN({0},0)</f>
      </c>
      <c r="AK975" s="5"/>
      <c r="AL975" s="2" t="s">
        <v>227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227</v>
      </c>
      <c r="AW975" s="8" t="s">
        <v>227</v>
      </c>
      <c r="AX975" s="4" t="s">
        <v>227</v>
      </c>
      <c r="AY975" s="8" t="s">
        <v>227</v>
      </c>
      <c r="AZ975" s="7" t="s">
        <v>227</v>
      </c>
      <c r="BA975" s="7" t="s">
        <v>227</v>
      </c>
      <c r="BB975" s="7"/>
      <c r="BC975" s="4" t="s">
        <v>227</v>
      </c>
      <c r="BD975" s="8" t="s">
        <v>227</v>
      </c>
      <c r="BE975" s="4" t="s">
        <v>227</v>
      </c>
      <c r="BF975" s="8" t="s">
        <v>227</v>
      </c>
      <c r="BG975" s="7" t="s">
        <v>227</v>
      </c>
      <c r="BH975" s="7" t="s">
        <v>227</v>
      </c>
      <c r="BI975" s="7"/>
      <c r="BJ975" s="4">
        <v>45</v>
      </c>
      <c r="BK975" s="8">
        <v>798.89</v>
      </c>
      <c r="BL975" s="2" t="s">
        <v>5718</v>
      </c>
      <c r="BM975" s="7"/>
      <c r="BN975" s="7"/>
      <c r="BO975" s="4"/>
      <c r="BP975" s="8"/>
      <c r="BQ975" s="4"/>
      <c r="BR975" s="8"/>
      <c r="BS975" s="7"/>
      <c r="BT975" s="7"/>
      <c r="BU975" s="2" t="s">
        <v>5719</v>
      </c>
      <c r="BV975" s="2" t="s">
        <v>227</v>
      </c>
      <c r="BW975" s="2" t="s">
        <v>227</v>
      </c>
      <c r="BX975" s="2" t="s">
        <v>235</v>
      </c>
      <c r="BY975" s="2" t="s">
        <v>236</v>
      </c>
      <c r="BZ975" s="2" t="s">
        <v>224</v>
      </c>
      <c r="CA975" s="2" t="s">
        <v>5707</v>
      </c>
      <c r="CB975" s="2" t="s">
        <v>881</v>
      </c>
      <c r="CC975" s="2" t="s">
        <v>239</v>
      </c>
      <c r="CD975" s="2" t="s">
        <v>227</v>
      </c>
      <c r="CE975" s="4">
        <v>232</v>
      </c>
      <c r="CF975" s="4"/>
      <c r="CG975" s="4"/>
      <c r="CH975" s="4"/>
      <c r="CI975" s="4"/>
      <c r="CJ975" s="4"/>
      <c r="CK975" s="4">
        <v>100</v>
      </c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>
        <v>100</v>
      </c>
      <c r="ES975" s="4"/>
      <c r="ET975" s="4"/>
      <c r="EU975" s="4"/>
      <c r="EV975" s="4"/>
      <c r="EW975" s="4"/>
      <c r="EX975" s="4"/>
      <c r="EY975" s="4"/>
      <c r="EZ975" s="4"/>
      <c r="FA975" s="4"/>
      <c r="FB975" s="4"/>
      <c r="FC975" s="4"/>
      <c r="FD975" s="4"/>
      <c r="FE975" s="4"/>
      <c r="FF975" s="4"/>
      <c r="FG975" s="4"/>
      <c r="FH975" s="4"/>
      <c r="FI975" s="4"/>
      <c r="FJ975" s="4"/>
      <c r="FK975" s="4"/>
      <c r="FL975" s="4"/>
      <c r="FM975" s="4"/>
      <c r="FN975" s="4"/>
      <c r="FO975" s="4"/>
      <c r="FP975" s="4"/>
      <c r="FQ975" s="4"/>
      <c r="FR975" s="4"/>
      <c r="FS975" s="4"/>
      <c r="FT975" s="4"/>
      <c r="FU975" s="4"/>
      <c r="FV975" s="4"/>
      <c r="FW975" s="4"/>
      <c r="FX975" s="4"/>
      <c r="FY975" s="4"/>
      <c r="FZ975" s="4"/>
      <c r="GA975" s="4"/>
      <c r="GB975" s="4">
        <v>190</v>
      </c>
      <c r="GC975" s="4"/>
      <c r="GD975" s="4"/>
      <c r="GE975" s="4"/>
      <c r="GF975" s="4"/>
      <c r="GG975" s="4"/>
      <c r="GH975" s="4"/>
      <c r="GI975" s="4"/>
      <c r="GJ975" s="4"/>
      <c r="GK975" s="4"/>
      <c r="GL975" s="4"/>
      <c r="GM975" s="4"/>
      <c r="GN975" s="4"/>
      <c r="GO975" s="4"/>
      <c r="GP975" s="4"/>
      <c r="GQ975" s="4"/>
      <c r="GR975" s="4"/>
      <c r="GS975" s="4"/>
      <c r="GT975" s="4"/>
      <c r="GU975" s="4"/>
      <c r="GV975" s="4"/>
      <c r="GW975" s="4"/>
      <c r="GX975" s="4"/>
    </row>
    <row r="976">
      <c r="A976" s="2" t="s">
        <v>5720</v>
      </c>
      <c r="B976" s="2" t="s">
        <v>278</v>
      </c>
      <c r="C976" s="2" t="s">
        <v>217</v>
      </c>
      <c r="D976" s="2" t="s">
        <v>280</v>
      </c>
      <c r="E976" s="2" t="s">
        <v>281</v>
      </c>
      <c r="F976" s="2" t="s">
        <v>5701</v>
      </c>
      <c r="G976" s="2" t="s">
        <v>5701</v>
      </c>
      <c r="H976" s="2" t="s">
        <v>5701</v>
      </c>
      <c r="I976" s="2" t="s">
        <v>283</v>
      </c>
      <c r="J976" s="2" t="s">
        <v>252</v>
      </c>
      <c r="K976" s="2" t="s">
        <v>410</v>
      </c>
      <c r="L976" s="3">
        <v>19</v>
      </c>
      <c r="M976" s="3">
        <v>19.95</v>
      </c>
      <c r="N976" s="3">
        <v>37.99</v>
      </c>
      <c r="O976" s="2" t="s">
        <v>224</v>
      </c>
      <c r="P976" s="2" t="s">
        <v>225</v>
      </c>
      <c r="Q976" s="2" t="s">
        <v>226</v>
      </c>
      <c r="R976" s="2" t="s">
        <v>227</v>
      </c>
      <c r="S976" s="2" t="s">
        <v>5714</v>
      </c>
      <c r="T976" s="2" t="s">
        <v>5703</v>
      </c>
      <c r="U976" s="2" t="s">
        <v>227</v>
      </c>
      <c r="V976" s="2" t="s">
        <v>230</v>
      </c>
      <c r="W976" s="2" t="s">
        <v>231</v>
      </c>
      <c r="X976" s="2" t="s">
        <v>227</v>
      </c>
      <c r="Y976" s="2" t="s">
        <v>5704</v>
      </c>
      <c r="Z976" s="4">
        <v>427</v>
      </c>
      <c r="AA976" s="4">
        <f>=ROUNDDOWN(19.4090909090909,0)</f>
      </c>
      <c r="AB976" s="5">
        <v>22</v>
      </c>
      <c r="AC976" s="2" t="s">
        <v>156</v>
      </c>
      <c r="AD976" s="4">
        <v>220</v>
      </c>
      <c r="AE976" s="4">
        <v>220</v>
      </c>
      <c r="AF976" s="6">
        <v>66</v>
      </c>
      <c r="AG976" s="6"/>
      <c r="AH976" s="7">
        <v>1</v>
      </c>
      <c r="AI976" s="4"/>
      <c r="AJ976" s="4">
        <f>=ROUNDDOWN({0},0)</f>
      </c>
      <c r="AK976" s="5"/>
      <c r="AL976" s="2" t="s">
        <v>227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227</v>
      </c>
      <c r="AW976" s="8" t="s">
        <v>227</v>
      </c>
      <c r="AX976" s="4" t="s">
        <v>227</v>
      </c>
      <c r="AY976" s="8" t="s">
        <v>227</v>
      </c>
      <c r="AZ976" s="7" t="s">
        <v>227</v>
      </c>
      <c r="BA976" s="7" t="s">
        <v>227</v>
      </c>
      <c r="BB976" s="7"/>
      <c r="BC976" s="4" t="s">
        <v>227</v>
      </c>
      <c r="BD976" s="8" t="s">
        <v>227</v>
      </c>
      <c r="BE976" s="4" t="s">
        <v>227</v>
      </c>
      <c r="BF976" s="8" t="s">
        <v>227</v>
      </c>
      <c r="BG976" s="7" t="s">
        <v>227</v>
      </c>
      <c r="BH976" s="7" t="s">
        <v>227</v>
      </c>
      <c r="BI976" s="7"/>
      <c r="BJ976" s="4">
        <v>92</v>
      </c>
      <c r="BK976" s="8">
        <v>1950.51</v>
      </c>
      <c r="BL976" s="2" t="s">
        <v>5721</v>
      </c>
      <c r="BM976" s="7"/>
      <c r="BN976" s="7"/>
      <c r="BO976" s="4"/>
      <c r="BP976" s="8"/>
      <c r="BQ976" s="4"/>
      <c r="BR976" s="8"/>
      <c r="BS976" s="7"/>
      <c r="BT976" s="7"/>
      <c r="BU976" s="2" t="s">
        <v>5722</v>
      </c>
      <c r="BV976" s="2" t="s">
        <v>227</v>
      </c>
      <c r="BW976" s="2" t="s">
        <v>227</v>
      </c>
      <c r="BX976" s="2" t="s">
        <v>235</v>
      </c>
      <c r="BY976" s="2" t="s">
        <v>236</v>
      </c>
      <c r="BZ976" s="2" t="s">
        <v>224</v>
      </c>
      <c r="CA976" s="2" t="s">
        <v>5707</v>
      </c>
      <c r="CB976" s="2" t="s">
        <v>339</v>
      </c>
      <c r="CC976" s="2" t="s">
        <v>239</v>
      </c>
      <c r="CD976" s="2" t="s">
        <v>227</v>
      </c>
      <c r="CE976" s="4">
        <v>227</v>
      </c>
      <c r="CF976" s="4"/>
      <c r="CG976" s="4"/>
      <c r="CH976" s="4"/>
      <c r="CI976" s="4"/>
      <c r="CJ976" s="4"/>
      <c r="CK976" s="4">
        <v>200</v>
      </c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>
        <v>220</v>
      </c>
      <c r="ES976" s="4"/>
      <c r="ET976" s="4"/>
      <c r="EU976" s="4"/>
      <c r="EV976" s="4"/>
      <c r="EW976" s="4"/>
      <c r="EX976" s="4"/>
      <c r="EY976" s="4"/>
      <c r="EZ976" s="4"/>
      <c r="FA976" s="4"/>
      <c r="FB976" s="4"/>
      <c r="FC976" s="4"/>
      <c r="FD976" s="4"/>
      <c r="FE976" s="4"/>
      <c r="FF976" s="4"/>
      <c r="FG976" s="4"/>
      <c r="FH976" s="4"/>
      <c r="FI976" s="4"/>
      <c r="FJ976" s="4"/>
      <c r="FK976" s="4"/>
      <c r="FL976" s="4"/>
      <c r="FM976" s="4"/>
      <c r="FN976" s="4"/>
      <c r="FO976" s="4"/>
      <c r="FP976" s="4"/>
      <c r="FQ976" s="4"/>
      <c r="FR976" s="4"/>
      <c r="FS976" s="4"/>
      <c r="FT976" s="4"/>
      <c r="FU976" s="4"/>
      <c r="FV976" s="4"/>
      <c r="FW976" s="4"/>
      <c r="FX976" s="4"/>
      <c r="FY976" s="4"/>
      <c r="FZ976" s="4"/>
      <c r="GA976" s="4"/>
      <c r="GB976" s="4"/>
      <c r="GC976" s="4"/>
      <c r="GD976" s="4"/>
      <c r="GE976" s="4"/>
      <c r="GF976" s="4"/>
      <c r="GG976" s="4"/>
      <c r="GH976" s="4"/>
      <c r="GI976" s="4"/>
      <c r="GJ976" s="4"/>
      <c r="GK976" s="4"/>
      <c r="GL976" s="4"/>
      <c r="GM976" s="4"/>
      <c r="GN976" s="4"/>
      <c r="GO976" s="4"/>
      <c r="GP976" s="4"/>
      <c r="GQ976" s="4"/>
      <c r="GR976" s="4"/>
      <c r="GS976" s="4"/>
      <c r="GT976" s="4"/>
      <c r="GU976" s="4"/>
      <c r="GV976" s="4"/>
      <c r="GW976" s="4"/>
      <c r="GX976" s="4"/>
    </row>
    <row r="977">
      <c r="A977" s="2" t="s">
        <v>5723</v>
      </c>
      <c r="B977" s="2" t="s">
        <v>278</v>
      </c>
      <c r="C977" s="2" t="s">
        <v>217</v>
      </c>
      <c r="D977" s="2" t="s">
        <v>280</v>
      </c>
      <c r="E977" s="2" t="s">
        <v>281</v>
      </c>
      <c r="F977" s="2" t="s">
        <v>5701</v>
      </c>
      <c r="G977" s="2" t="s">
        <v>5701</v>
      </c>
      <c r="H977" s="2" t="s">
        <v>5701</v>
      </c>
      <c r="I977" s="2" t="s">
        <v>283</v>
      </c>
      <c r="J977" s="2" t="s">
        <v>247</v>
      </c>
      <c r="K977" s="2" t="s">
        <v>363</v>
      </c>
      <c r="L977" s="3">
        <v>16.5</v>
      </c>
      <c r="M977" s="3">
        <v>17.32</v>
      </c>
      <c r="N977" s="3">
        <v>32.99</v>
      </c>
      <c r="O977" s="2" t="s">
        <v>224</v>
      </c>
      <c r="P977" s="2" t="s">
        <v>225</v>
      </c>
      <c r="Q977" s="2" t="s">
        <v>226</v>
      </c>
      <c r="R977" s="2" t="s">
        <v>227</v>
      </c>
      <c r="S977" s="2" t="s">
        <v>5724</v>
      </c>
      <c r="T977" s="2" t="s">
        <v>5703</v>
      </c>
      <c r="U977" s="2" t="s">
        <v>227</v>
      </c>
      <c r="V977" s="2" t="s">
        <v>230</v>
      </c>
      <c r="W977" s="2" t="s">
        <v>231</v>
      </c>
      <c r="X977" s="2" t="s">
        <v>227</v>
      </c>
      <c r="Y977" s="2" t="s">
        <v>232</v>
      </c>
      <c r="Z977" s="4">
        <v>230</v>
      </c>
      <c r="AA977" s="4">
        <f>=ROUNDDOWN(71.875,0)</f>
      </c>
      <c r="AB977" s="5">
        <v>3.2</v>
      </c>
      <c r="AC977" s="2" t="s">
        <v>227</v>
      </c>
      <c r="AD977" s="4"/>
      <c r="AE977" s="4"/>
      <c r="AF977" s="6">
        <v>66</v>
      </c>
      <c r="AG977" s="6"/>
      <c r="AH977" s="7">
        <v>1</v>
      </c>
      <c r="AI977" s="4"/>
      <c r="AJ977" s="4">
        <f>=ROUNDDOWN({0},0)</f>
      </c>
      <c r="AK977" s="5"/>
      <c r="AL977" s="2" t="s">
        <v>227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/>
      <c r="AW977" s="8"/>
      <c r="AX977" s="4"/>
      <c r="AY977" s="8"/>
      <c r="AZ977" s="7"/>
      <c r="BA977" s="7"/>
      <c r="BB977" s="7"/>
      <c r="BC977" s="4" t="s">
        <v>227</v>
      </c>
      <c r="BD977" s="8" t="s">
        <v>227</v>
      </c>
      <c r="BE977" s="4" t="s">
        <v>227</v>
      </c>
      <c r="BF977" s="8" t="s">
        <v>227</v>
      </c>
      <c r="BG977" s="7" t="s">
        <v>227</v>
      </c>
      <c r="BH977" s="7" t="s">
        <v>227</v>
      </c>
      <c r="BI977" s="7"/>
      <c r="BJ977" s="4">
        <v>20</v>
      </c>
      <c r="BK977" s="8">
        <v>347.59</v>
      </c>
      <c r="BL977" s="2" t="s">
        <v>318</v>
      </c>
      <c r="BM977" s="7"/>
      <c r="BN977" s="7"/>
      <c r="BO977" s="4"/>
      <c r="BP977" s="8"/>
      <c r="BQ977" s="4"/>
      <c r="BR977" s="8"/>
      <c r="BS977" s="7"/>
      <c r="BT977" s="7"/>
      <c r="BU977" s="2" t="s">
        <v>5725</v>
      </c>
      <c r="BV977" s="2" t="s">
        <v>227</v>
      </c>
      <c r="BW977" s="2" t="s">
        <v>227</v>
      </c>
      <c r="BX977" s="2" t="s">
        <v>235</v>
      </c>
      <c r="BY977" s="2" t="s">
        <v>236</v>
      </c>
      <c r="BZ977" s="2" t="s">
        <v>224</v>
      </c>
      <c r="CA977" s="2" t="s">
        <v>5707</v>
      </c>
      <c r="CB977" s="2" t="s">
        <v>5726</v>
      </c>
      <c r="CC977" s="2" t="s">
        <v>239</v>
      </c>
      <c r="CD977" s="2" t="s">
        <v>227</v>
      </c>
      <c r="CE977" s="4">
        <v>230</v>
      </c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/>
      <c r="ER977" s="4"/>
      <c r="ES977" s="4"/>
      <c r="ET977" s="4"/>
      <c r="EU977" s="4"/>
      <c r="EV977" s="4"/>
      <c r="EW977" s="4"/>
      <c r="EX977" s="4"/>
      <c r="EY977" s="4"/>
      <c r="EZ977" s="4"/>
      <c r="FA977" s="4"/>
      <c r="FB977" s="4"/>
      <c r="FC977" s="4"/>
      <c r="FD977" s="4"/>
      <c r="FE977" s="4"/>
      <c r="FF977" s="4"/>
      <c r="FG977" s="4"/>
      <c r="FH977" s="4"/>
      <c r="FI977" s="4"/>
      <c r="FJ977" s="4"/>
      <c r="FK977" s="4"/>
      <c r="FL977" s="4"/>
      <c r="FM977" s="4"/>
      <c r="FN977" s="4"/>
      <c r="FO977" s="4"/>
      <c r="FP977" s="4"/>
      <c r="FQ977" s="4"/>
      <c r="FR977" s="4"/>
      <c r="FS977" s="4"/>
      <c r="FT977" s="4"/>
      <c r="FU977" s="4"/>
      <c r="FV977" s="4"/>
      <c r="FW977" s="4"/>
      <c r="FX977" s="4"/>
      <c r="FY977" s="4"/>
      <c r="FZ977" s="4"/>
      <c r="GA977" s="4"/>
      <c r="GB977" s="4"/>
      <c r="GC977" s="4"/>
      <c r="GD977" s="4"/>
      <c r="GE977" s="4"/>
      <c r="GF977" s="4"/>
      <c r="GG977" s="4"/>
      <c r="GH977" s="4"/>
      <c r="GI977" s="4"/>
      <c r="GJ977" s="4"/>
      <c r="GK977" s="4"/>
      <c r="GL977" s="4"/>
      <c r="GM977" s="4"/>
      <c r="GN977" s="4"/>
      <c r="GO977" s="4"/>
      <c r="GP977" s="4"/>
      <c r="GQ977" s="4"/>
      <c r="GR977" s="4"/>
      <c r="GS977" s="4"/>
      <c r="GT977" s="4"/>
      <c r="GU977" s="4"/>
      <c r="GV977" s="4"/>
      <c r="GW977" s="4"/>
      <c r="GX977" s="4"/>
    </row>
    <row r="978">
      <c r="A978" s="2" t="s">
        <v>5727</v>
      </c>
      <c r="B978" s="2" t="s">
        <v>278</v>
      </c>
      <c r="C978" s="2" t="s">
        <v>217</v>
      </c>
      <c r="D978" s="2" t="s">
        <v>280</v>
      </c>
      <c r="E978" s="2" t="s">
        <v>281</v>
      </c>
      <c r="F978" s="2" t="s">
        <v>5701</v>
      </c>
      <c r="G978" s="2" t="s">
        <v>5701</v>
      </c>
      <c r="H978" s="2" t="s">
        <v>5701</v>
      </c>
      <c r="I978" s="2" t="s">
        <v>283</v>
      </c>
      <c r="J978" s="2" t="s">
        <v>222</v>
      </c>
      <c r="K978" s="2" t="s">
        <v>264</v>
      </c>
      <c r="L978" s="3">
        <v>16.5</v>
      </c>
      <c r="M978" s="3">
        <v>17.32</v>
      </c>
      <c r="N978" s="3">
        <v>32.99</v>
      </c>
      <c r="O978" s="2" t="s">
        <v>224</v>
      </c>
      <c r="P978" s="2" t="s">
        <v>225</v>
      </c>
      <c r="Q978" s="2" t="s">
        <v>226</v>
      </c>
      <c r="R978" s="2" t="s">
        <v>227</v>
      </c>
      <c r="S978" s="2" t="s">
        <v>5728</v>
      </c>
      <c r="T978" s="2" t="s">
        <v>5703</v>
      </c>
      <c r="U978" s="2" t="s">
        <v>227</v>
      </c>
      <c r="V978" s="2" t="s">
        <v>230</v>
      </c>
      <c r="W978" s="2" t="s">
        <v>231</v>
      </c>
      <c r="X978" s="2" t="s">
        <v>227</v>
      </c>
      <c r="Y978" s="2" t="s">
        <v>5704</v>
      </c>
      <c r="Z978" s="4">
        <v>67</v>
      </c>
      <c r="AA978" s="4">
        <f>=ROUNDDOWN(20.3030303030303,0)</f>
      </c>
      <c r="AB978" s="5">
        <v>3.3</v>
      </c>
      <c r="AC978" s="2" t="s">
        <v>156</v>
      </c>
      <c r="AD978" s="4">
        <v>140</v>
      </c>
      <c r="AE978" s="4">
        <v>160</v>
      </c>
      <c r="AF978" s="6">
        <v>66</v>
      </c>
      <c r="AG978" s="6"/>
      <c r="AH978" s="7">
        <v>1</v>
      </c>
      <c r="AI978" s="4"/>
      <c r="AJ978" s="4">
        <f>=ROUNDDOWN({0},0)</f>
      </c>
      <c r="AK978" s="5"/>
      <c r="AL978" s="2" t="s">
        <v>227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/>
      <c r="AW978" s="8"/>
      <c r="AX978" s="4"/>
      <c r="AY978" s="8"/>
      <c r="AZ978" s="7"/>
      <c r="BA978" s="7"/>
      <c r="BB978" s="7"/>
      <c r="BC978" s="4" t="s">
        <v>227</v>
      </c>
      <c r="BD978" s="8" t="s">
        <v>227</v>
      </c>
      <c r="BE978" s="4" t="s">
        <v>227</v>
      </c>
      <c r="BF978" s="8" t="s">
        <v>227</v>
      </c>
      <c r="BG978" s="7" t="s">
        <v>227</v>
      </c>
      <c r="BH978" s="7" t="s">
        <v>227</v>
      </c>
      <c r="BI978" s="7"/>
      <c r="BJ978" s="4">
        <v>17</v>
      </c>
      <c r="BK978" s="8">
        <v>262.09</v>
      </c>
      <c r="BL978" s="2" t="s">
        <v>5729</v>
      </c>
      <c r="BM978" s="7"/>
      <c r="BN978" s="7"/>
      <c r="BO978" s="4"/>
      <c r="BP978" s="8"/>
      <c r="BQ978" s="4"/>
      <c r="BR978" s="8"/>
      <c r="BS978" s="7"/>
      <c r="BT978" s="7"/>
      <c r="BU978" s="2" t="s">
        <v>5730</v>
      </c>
      <c r="BV978" s="2" t="s">
        <v>227</v>
      </c>
      <c r="BW978" s="2" t="s">
        <v>227</v>
      </c>
      <c r="BX978" s="2" t="s">
        <v>235</v>
      </c>
      <c r="BY978" s="2" t="s">
        <v>236</v>
      </c>
      <c r="BZ978" s="2" t="s">
        <v>224</v>
      </c>
      <c r="CA978" s="2" t="s">
        <v>5707</v>
      </c>
      <c r="CB978" s="2" t="s">
        <v>1089</v>
      </c>
      <c r="CC978" s="2" t="s">
        <v>239</v>
      </c>
      <c r="CD978" s="2" t="s">
        <v>227</v>
      </c>
      <c r="CE978" s="4">
        <v>67</v>
      </c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>
        <v>140</v>
      </c>
      <c r="ES978" s="4"/>
      <c r="ET978" s="4"/>
      <c r="EU978" s="4"/>
      <c r="EV978" s="4"/>
      <c r="EW978" s="4"/>
      <c r="EX978" s="4"/>
      <c r="EY978" s="4"/>
      <c r="EZ978" s="4"/>
      <c r="FA978" s="4"/>
      <c r="FB978" s="4"/>
      <c r="FC978" s="4"/>
      <c r="FD978" s="4"/>
      <c r="FE978" s="4"/>
      <c r="FF978" s="4"/>
      <c r="FG978" s="4"/>
      <c r="FH978" s="4"/>
      <c r="FI978" s="4"/>
      <c r="FJ978" s="4"/>
      <c r="FK978" s="4"/>
      <c r="FL978" s="4"/>
      <c r="FM978" s="4"/>
      <c r="FN978" s="4"/>
      <c r="FO978" s="4"/>
      <c r="FP978" s="4"/>
      <c r="FQ978" s="4"/>
      <c r="FR978" s="4"/>
      <c r="FS978" s="4"/>
      <c r="FT978" s="4"/>
      <c r="FU978" s="4"/>
      <c r="FV978" s="4"/>
      <c r="FW978" s="4"/>
      <c r="FX978" s="4"/>
      <c r="FY978" s="4"/>
      <c r="FZ978" s="4"/>
      <c r="GA978" s="4"/>
      <c r="GB978" s="4">
        <v>20</v>
      </c>
      <c r="GC978" s="4"/>
      <c r="GD978" s="4"/>
      <c r="GE978" s="4"/>
      <c r="GF978" s="4"/>
      <c r="GG978" s="4"/>
      <c r="GH978" s="4"/>
      <c r="GI978" s="4"/>
      <c r="GJ978" s="4"/>
      <c r="GK978" s="4"/>
      <c r="GL978" s="4"/>
      <c r="GM978" s="4"/>
      <c r="GN978" s="4"/>
      <c r="GO978" s="4"/>
      <c r="GP978" s="4"/>
      <c r="GQ978" s="4"/>
      <c r="GR978" s="4"/>
      <c r="GS978" s="4"/>
      <c r="GT978" s="4"/>
      <c r="GU978" s="4"/>
      <c r="GV978" s="4"/>
      <c r="GW978" s="4"/>
      <c r="GX978" s="4"/>
    </row>
    <row r="979">
      <c r="A979" s="2" t="s">
        <v>5731</v>
      </c>
      <c r="B979" s="2" t="s">
        <v>278</v>
      </c>
      <c r="C979" s="2" t="s">
        <v>2227</v>
      </c>
      <c r="D979" s="2" t="s">
        <v>280</v>
      </c>
      <c r="E979" s="2" t="s">
        <v>281</v>
      </c>
      <c r="F979" s="2" t="s">
        <v>5732</v>
      </c>
      <c r="G979" s="2" t="s">
        <v>5732</v>
      </c>
      <c r="H979" s="2" t="s">
        <v>5732</v>
      </c>
      <c r="I979" s="2" t="s">
        <v>5733</v>
      </c>
      <c r="J979" s="2" t="s">
        <v>257</v>
      </c>
      <c r="K979" s="2" t="s">
        <v>672</v>
      </c>
      <c r="L979" s="3">
        <v>34.5</v>
      </c>
      <c r="M979" s="3">
        <v>36.22</v>
      </c>
      <c r="N979" s="3">
        <v>74.99</v>
      </c>
      <c r="O979" s="2" t="s">
        <v>224</v>
      </c>
      <c r="P979" s="2" t="s">
        <v>225</v>
      </c>
      <c r="Q979" s="2" t="s">
        <v>226</v>
      </c>
      <c r="R979" s="2" t="s">
        <v>227</v>
      </c>
      <c r="S979" s="2" t="s">
        <v>5734</v>
      </c>
      <c r="T979" s="2" t="s">
        <v>1698</v>
      </c>
      <c r="U979" s="2" t="s">
        <v>287</v>
      </c>
      <c r="V979" s="2" t="s">
        <v>230</v>
      </c>
      <c r="W979" s="2" t="s">
        <v>231</v>
      </c>
      <c r="X979" s="2" t="s">
        <v>227</v>
      </c>
      <c r="Y979" s="2" t="s">
        <v>232</v>
      </c>
      <c r="Z979" s="4">
        <v>92</v>
      </c>
      <c r="AA979" s="4">
        <f>=ROUNDDOWN(2.96774193548387,0)</f>
      </c>
      <c r="AB979" s="5">
        <v>31</v>
      </c>
      <c r="AC979" s="2" t="s">
        <v>1810</v>
      </c>
      <c r="AD979" s="4">
        <v>152</v>
      </c>
      <c r="AE979" s="4">
        <v>810</v>
      </c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227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/>
      <c r="AW979" s="8"/>
      <c r="AX979" s="4"/>
      <c r="AY979" s="8"/>
      <c r="AZ979" s="7"/>
      <c r="BA979" s="7"/>
      <c r="BB979" s="7"/>
      <c r="BC979" s="4" t="s">
        <v>227</v>
      </c>
      <c r="BD979" s="8" t="s">
        <v>227</v>
      </c>
      <c r="BE979" s="4" t="s">
        <v>227</v>
      </c>
      <c r="BF979" s="8" t="s">
        <v>227</v>
      </c>
      <c r="BG979" s="7" t="s">
        <v>227</v>
      </c>
      <c r="BH979" s="7" t="s">
        <v>227</v>
      </c>
      <c r="BI979" s="7"/>
      <c r="BJ979" s="4">
        <v>63</v>
      </c>
      <c r="BK979" s="8">
        <v>2345.03</v>
      </c>
      <c r="BL979" s="2" t="s">
        <v>2176</v>
      </c>
      <c r="BM979" s="7"/>
      <c r="BN979" s="7"/>
      <c r="BO979" s="4"/>
      <c r="BP979" s="8"/>
      <c r="BQ979" s="4"/>
      <c r="BR979" s="8"/>
      <c r="BS979" s="7"/>
      <c r="BT979" s="7"/>
      <c r="BU979" s="2" t="s">
        <v>5735</v>
      </c>
      <c r="BV979" s="2" t="s">
        <v>227</v>
      </c>
      <c r="BW979" s="2" t="s">
        <v>227</v>
      </c>
      <c r="BX979" s="2" t="s">
        <v>235</v>
      </c>
      <c r="BY979" s="2" t="s">
        <v>236</v>
      </c>
      <c r="BZ979" s="2" t="s">
        <v>224</v>
      </c>
      <c r="CA979" s="2" t="s">
        <v>237</v>
      </c>
      <c r="CB979" s="2" t="s">
        <v>5736</v>
      </c>
      <c r="CC979" s="2" t="s">
        <v>239</v>
      </c>
      <c r="CD979" s="2" t="s">
        <v>227</v>
      </c>
      <c r="CE979" s="4">
        <v>92</v>
      </c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>
        <v>152</v>
      </c>
      <c r="CX979" s="4"/>
      <c r="CY979" s="4"/>
      <c r="CZ979" s="4"/>
      <c r="DA979" s="4"/>
      <c r="DB979" s="4"/>
      <c r="DC979" s="4"/>
      <c r="DD979" s="4"/>
      <c r="DE979" s="4"/>
      <c r="DF979" s="4">
        <v>154</v>
      </c>
      <c r="DG979" s="4"/>
      <c r="DH979" s="4"/>
      <c r="DI979" s="4"/>
      <c r="DJ979" s="4"/>
      <c r="DK979" s="4"/>
      <c r="DL979" s="4"/>
      <c r="DM979" s="4"/>
      <c r="DN979" s="4"/>
      <c r="DO979" s="4">
        <v>154</v>
      </c>
      <c r="DP979" s="4"/>
      <c r="DQ979" s="4"/>
      <c r="DR979" s="4"/>
      <c r="DS979" s="4"/>
      <c r="DT979" s="4"/>
      <c r="DU979" s="4"/>
      <c r="DV979" s="4"/>
      <c r="DW979" s="4">
        <v>60</v>
      </c>
      <c r="DX979" s="4"/>
      <c r="DY979" s="4"/>
      <c r="DZ979" s="4"/>
      <c r="EA979" s="4"/>
      <c r="EB979" s="4"/>
      <c r="EC979" s="4">
        <v>70</v>
      </c>
      <c r="ED979" s="4">
        <v>50</v>
      </c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>
        <v>70</v>
      </c>
      <c r="EQ979" s="4"/>
      <c r="ER979" s="4"/>
      <c r="ES979" s="4"/>
      <c r="ET979" s="4"/>
      <c r="EU979" s="4"/>
      <c r="EV979" s="4"/>
      <c r="EW979" s="4"/>
      <c r="EX979" s="4"/>
      <c r="EY979" s="4"/>
      <c r="EZ979" s="4"/>
      <c r="FA979" s="4"/>
      <c r="FB979" s="4">
        <v>100</v>
      </c>
      <c r="FC979" s="4"/>
      <c r="FD979" s="4"/>
      <c r="FE979" s="4"/>
      <c r="FF979" s="4"/>
      <c r="FG979" s="4"/>
      <c r="FH979" s="4"/>
      <c r="FI979" s="4"/>
      <c r="FJ979" s="4"/>
      <c r="FK979" s="4"/>
      <c r="FL979" s="4"/>
      <c r="FM979" s="4"/>
      <c r="FN979" s="4"/>
      <c r="FO979" s="4"/>
      <c r="FP979" s="4"/>
      <c r="FQ979" s="4"/>
      <c r="FR979" s="4"/>
      <c r="FS979" s="4"/>
      <c r="FT979" s="4"/>
      <c r="FU979" s="4"/>
      <c r="FV979" s="4"/>
      <c r="FW979" s="4"/>
      <c r="FX979" s="4"/>
      <c r="FY979" s="4"/>
      <c r="FZ979" s="4"/>
      <c r="GA979" s="4"/>
      <c r="GB979" s="4"/>
      <c r="GC979" s="4"/>
      <c r="GD979" s="4"/>
      <c r="GE979" s="4"/>
      <c r="GF979" s="4"/>
      <c r="GG979" s="4"/>
      <c r="GH979" s="4"/>
      <c r="GI979" s="4"/>
      <c r="GJ979" s="4"/>
      <c r="GK979" s="4"/>
      <c r="GL979" s="4"/>
      <c r="GM979" s="4"/>
      <c r="GN979" s="4"/>
      <c r="GO979" s="4"/>
      <c r="GP979" s="4"/>
      <c r="GQ979" s="4"/>
      <c r="GR979" s="4"/>
      <c r="GS979" s="4"/>
      <c r="GT979" s="4"/>
      <c r="GU979" s="4"/>
      <c r="GV979" s="4"/>
      <c r="GW979" s="4"/>
      <c r="GX979" s="4"/>
    </row>
    <row r="980">
      <c r="A980" s="2" t="s">
        <v>5737</v>
      </c>
      <c r="B980" s="2" t="s">
        <v>278</v>
      </c>
      <c r="C980" s="2" t="s">
        <v>2227</v>
      </c>
      <c r="D980" s="2" t="s">
        <v>280</v>
      </c>
      <c r="E980" s="2" t="s">
        <v>281</v>
      </c>
      <c r="F980" s="2" t="s">
        <v>5732</v>
      </c>
      <c r="G980" s="2" t="s">
        <v>5732</v>
      </c>
      <c r="H980" s="2" t="s">
        <v>5732</v>
      </c>
      <c r="I980" s="2" t="s">
        <v>5733</v>
      </c>
      <c r="J980" s="2" t="s">
        <v>222</v>
      </c>
      <c r="K980" s="2" t="s">
        <v>223</v>
      </c>
      <c r="L980" s="3">
        <v>19.78</v>
      </c>
      <c r="M980" s="3">
        <v>20.77</v>
      </c>
      <c r="N980" s="3">
        <v>42.99</v>
      </c>
      <c r="O980" s="2" t="s">
        <v>224</v>
      </c>
      <c r="P980" s="2" t="s">
        <v>550</v>
      </c>
      <c r="Q980" s="2" t="s">
        <v>226</v>
      </c>
      <c r="R980" s="2" t="s">
        <v>227</v>
      </c>
      <c r="S980" s="2" t="s">
        <v>5738</v>
      </c>
      <c r="T980" s="2" t="s">
        <v>1698</v>
      </c>
      <c r="U980" s="2" t="s">
        <v>674</v>
      </c>
      <c r="V980" s="2" t="s">
        <v>230</v>
      </c>
      <c r="W980" s="2" t="s">
        <v>231</v>
      </c>
      <c r="X980" s="2" t="s">
        <v>227</v>
      </c>
      <c r="Y980" s="2" t="s">
        <v>232</v>
      </c>
      <c r="Z980" s="4">
        <v>233</v>
      </c>
      <c r="AA980" s="4">
        <f>=ROUNDDOWN(7.06060606060606,0)</f>
      </c>
      <c r="AB980" s="5">
        <v>33</v>
      </c>
      <c r="AC980" s="2" t="s">
        <v>1810</v>
      </c>
      <c r="AD980" s="4">
        <v>173</v>
      </c>
      <c r="AE980" s="4">
        <v>970</v>
      </c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227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 t="s">
        <v>227</v>
      </c>
      <c r="AW980" s="8" t="s">
        <v>227</v>
      </c>
      <c r="AX980" s="4" t="s">
        <v>227</v>
      </c>
      <c r="AY980" s="8" t="s">
        <v>227</v>
      </c>
      <c r="AZ980" s="7" t="s">
        <v>227</v>
      </c>
      <c r="BA980" s="7" t="s">
        <v>227</v>
      </c>
      <c r="BB980" s="7"/>
      <c r="BC980" s="4" t="s">
        <v>227</v>
      </c>
      <c r="BD980" s="8" t="s">
        <v>227</v>
      </c>
      <c r="BE980" s="4" t="s">
        <v>227</v>
      </c>
      <c r="BF980" s="8" t="s">
        <v>227</v>
      </c>
      <c r="BG980" s="7" t="s">
        <v>227</v>
      </c>
      <c r="BH980" s="7" t="s">
        <v>227</v>
      </c>
      <c r="BI980" s="7"/>
      <c r="BJ980" s="4">
        <v>26</v>
      </c>
      <c r="BK980" s="8">
        <v>562.68</v>
      </c>
      <c r="BL980" s="2" t="s">
        <v>4114</v>
      </c>
      <c r="BM980" s="7"/>
      <c r="BN980" s="7"/>
      <c r="BO980" s="4"/>
      <c r="BP980" s="8"/>
      <c r="BQ980" s="4"/>
      <c r="BR980" s="8"/>
      <c r="BS980" s="7"/>
      <c r="BT980" s="7"/>
      <c r="BU980" s="2" t="s">
        <v>5739</v>
      </c>
      <c r="BV980" s="2" t="s">
        <v>227</v>
      </c>
      <c r="BW980" s="2" t="s">
        <v>227</v>
      </c>
      <c r="BX980" s="2" t="s">
        <v>235</v>
      </c>
      <c r="BY980" s="2" t="s">
        <v>236</v>
      </c>
      <c r="BZ980" s="2" t="s">
        <v>224</v>
      </c>
      <c r="CA980" s="2" t="s">
        <v>2810</v>
      </c>
      <c r="CB980" s="2" t="s">
        <v>443</v>
      </c>
      <c r="CC980" s="2" t="s">
        <v>239</v>
      </c>
      <c r="CD980" s="2" t="s">
        <v>227</v>
      </c>
      <c r="CE980" s="4">
        <v>233</v>
      </c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>
        <v>173</v>
      </c>
      <c r="CX980" s="4"/>
      <c r="CY980" s="4"/>
      <c r="CZ980" s="4"/>
      <c r="DA980" s="4"/>
      <c r="DB980" s="4"/>
      <c r="DC980" s="4"/>
      <c r="DD980" s="4"/>
      <c r="DE980" s="4"/>
      <c r="DF980" s="4">
        <v>209</v>
      </c>
      <c r="DG980" s="4"/>
      <c r="DH980" s="4"/>
      <c r="DI980" s="4"/>
      <c r="DJ980" s="4"/>
      <c r="DK980" s="4"/>
      <c r="DL980" s="4"/>
      <c r="DM980" s="4"/>
      <c r="DN980" s="4"/>
      <c r="DO980" s="4">
        <v>108</v>
      </c>
      <c r="DP980" s="4"/>
      <c r="DQ980" s="4"/>
      <c r="DR980" s="4"/>
      <c r="DS980" s="4"/>
      <c r="DT980" s="4"/>
      <c r="DU980" s="4"/>
      <c r="DV980" s="4"/>
      <c r="DW980" s="4">
        <v>160</v>
      </c>
      <c r="DX980" s="4"/>
      <c r="DY980" s="4"/>
      <c r="DZ980" s="4"/>
      <c r="EA980" s="4"/>
      <c r="EB980" s="4"/>
      <c r="EC980" s="4">
        <v>80</v>
      </c>
      <c r="ED980" s="4">
        <v>50</v>
      </c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>
        <v>70</v>
      </c>
      <c r="EQ980" s="4"/>
      <c r="ER980" s="4"/>
      <c r="ES980" s="4"/>
      <c r="ET980" s="4"/>
      <c r="EU980" s="4"/>
      <c r="EV980" s="4"/>
      <c r="EW980" s="4"/>
      <c r="EX980" s="4"/>
      <c r="EY980" s="4"/>
      <c r="EZ980" s="4"/>
      <c r="FA980" s="4"/>
      <c r="FB980" s="4">
        <v>120</v>
      </c>
      <c r="FC980" s="4"/>
      <c r="FD980" s="4"/>
      <c r="FE980" s="4"/>
      <c r="FF980" s="4"/>
      <c r="FG980" s="4"/>
      <c r="FH980" s="4"/>
      <c r="FI980" s="4"/>
      <c r="FJ980" s="4"/>
      <c r="FK980" s="4"/>
      <c r="FL980" s="4"/>
      <c r="FM980" s="4"/>
      <c r="FN980" s="4"/>
      <c r="FO980" s="4"/>
      <c r="FP980" s="4"/>
      <c r="FQ980" s="4"/>
      <c r="FR980" s="4"/>
      <c r="FS980" s="4"/>
      <c r="FT980" s="4"/>
      <c r="FU980" s="4"/>
      <c r="FV980" s="4"/>
      <c r="FW980" s="4"/>
      <c r="FX980" s="4"/>
      <c r="FY980" s="4"/>
      <c r="FZ980" s="4"/>
      <c r="GA980" s="4"/>
      <c r="GB980" s="4"/>
      <c r="GC980" s="4"/>
      <c r="GD980" s="4"/>
      <c r="GE980" s="4"/>
      <c r="GF980" s="4"/>
      <c r="GG980" s="4"/>
      <c r="GH980" s="4"/>
      <c r="GI980" s="4"/>
      <c r="GJ980" s="4"/>
      <c r="GK980" s="4"/>
      <c r="GL980" s="4"/>
      <c r="GM980" s="4"/>
      <c r="GN980" s="4"/>
      <c r="GO980" s="4"/>
      <c r="GP980" s="4"/>
      <c r="GQ980" s="4"/>
      <c r="GR980" s="4"/>
      <c r="GS980" s="4"/>
      <c r="GT980" s="4"/>
      <c r="GU980" s="4"/>
      <c r="GV980" s="4"/>
      <c r="GW980" s="4"/>
      <c r="GX980" s="4"/>
    </row>
    <row r="981">
      <c r="A981" s="2" t="s">
        <v>5740</v>
      </c>
      <c r="B981" s="2" t="s">
        <v>278</v>
      </c>
      <c r="C981" s="2" t="s">
        <v>2227</v>
      </c>
      <c r="D981" s="2" t="s">
        <v>280</v>
      </c>
      <c r="E981" s="2" t="s">
        <v>281</v>
      </c>
      <c r="F981" s="2" t="s">
        <v>5732</v>
      </c>
      <c r="G981" s="2" t="s">
        <v>5732</v>
      </c>
      <c r="H981" s="2" t="s">
        <v>5732</v>
      </c>
      <c r="I981" s="2" t="s">
        <v>5733</v>
      </c>
      <c r="J981" s="2" t="s">
        <v>257</v>
      </c>
      <c r="K981" s="2" t="s">
        <v>223</v>
      </c>
      <c r="L981" s="3">
        <v>34.5</v>
      </c>
      <c r="M981" s="3">
        <v>36.22</v>
      </c>
      <c r="N981" s="3">
        <v>74.99</v>
      </c>
      <c r="O981" s="2" t="s">
        <v>224</v>
      </c>
      <c r="P981" s="2" t="s">
        <v>530</v>
      </c>
      <c r="Q981" s="2" t="s">
        <v>226</v>
      </c>
      <c r="R981" s="2" t="s">
        <v>227</v>
      </c>
      <c r="S981" s="2" t="s">
        <v>5738</v>
      </c>
      <c r="T981" s="2" t="s">
        <v>1698</v>
      </c>
      <c r="U981" s="2" t="s">
        <v>287</v>
      </c>
      <c r="V981" s="2" t="s">
        <v>230</v>
      </c>
      <c r="W981" s="2" t="s">
        <v>231</v>
      </c>
      <c r="X981" s="2" t="s">
        <v>227</v>
      </c>
      <c r="Y981" s="2" t="s">
        <v>232</v>
      </c>
      <c r="Z981" s="4">
        <v>79</v>
      </c>
      <c r="AA981" s="4">
        <f>=ROUNDDOWN(2.39393939393939,0)</f>
      </c>
      <c r="AB981" s="5">
        <v>33</v>
      </c>
      <c r="AC981" s="2" t="s">
        <v>1810</v>
      </c>
      <c r="AD981" s="4">
        <v>186</v>
      </c>
      <c r="AE981" s="4">
        <v>950</v>
      </c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227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227</v>
      </c>
      <c r="AW981" s="8" t="s">
        <v>227</v>
      </c>
      <c r="AX981" s="4" t="s">
        <v>227</v>
      </c>
      <c r="AY981" s="8" t="s">
        <v>227</v>
      </c>
      <c r="AZ981" s="7" t="s">
        <v>227</v>
      </c>
      <c r="BA981" s="7" t="s">
        <v>227</v>
      </c>
      <c r="BB981" s="7"/>
      <c r="BC981" s="4" t="s">
        <v>227</v>
      </c>
      <c r="BD981" s="8" t="s">
        <v>227</v>
      </c>
      <c r="BE981" s="4" t="s">
        <v>227</v>
      </c>
      <c r="BF981" s="8" t="s">
        <v>227</v>
      </c>
      <c r="BG981" s="7" t="s">
        <v>227</v>
      </c>
      <c r="BH981" s="7" t="s">
        <v>227</v>
      </c>
      <c r="BI981" s="7"/>
      <c r="BJ981" s="4">
        <v>105</v>
      </c>
      <c r="BK981" s="8">
        <v>4099.52</v>
      </c>
      <c r="BL981" s="2" t="s">
        <v>5741</v>
      </c>
      <c r="BM981" s="7"/>
      <c r="BN981" s="7"/>
      <c r="BO981" s="4"/>
      <c r="BP981" s="8"/>
      <c r="BQ981" s="4"/>
      <c r="BR981" s="8"/>
      <c r="BS981" s="7"/>
      <c r="BT981" s="7"/>
      <c r="BU981" s="2" t="s">
        <v>5742</v>
      </c>
      <c r="BV981" s="2" t="s">
        <v>227</v>
      </c>
      <c r="BW981" s="2" t="s">
        <v>227</v>
      </c>
      <c r="BX981" s="2" t="s">
        <v>235</v>
      </c>
      <c r="BY981" s="2" t="s">
        <v>236</v>
      </c>
      <c r="BZ981" s="2" t="s">
        <v>224</v>
      </c>
      <c r="CA981" s="2" t="s">
        <v>2810</v>
      </c>
      <c r="CB981" s="2" t="s">
        <v>443</v>
      </c>
      <c r="CC981" s="2" t="s">
        <v>239</v>
      </c>
      <c r="CD981" s="2" t="s">
        <v>227</v>
      </c>
      <c r="CE981" s="4">
        <v>79</v>
      </c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>
        <v>186</v>
      </c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>
        <v>157</v>
      </c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>
        <v>237</v>
      </c>
      <c r="DX981" s="4"/>
      <c r="DY981" s="4"/>
      <c r="DZ981" s="4"/>
      <c r="EA981" s="4"/>
      <c r="EB981" s="4"/>
      <c r="EC981" s="4">
        <v>90</v>
      </c>
      <c r="ED981" s="4">
        <v>60</v>
      </c>
      <c r="EE981" s="4"/>
      <c r="EF981" s="4"/>
      <c r="EG981" s="4"/>
      <c r="EH981" s="4"/>
      <c r="EI981" s="4"/>
      <c r="EJ981" s="4"/>
      <c r="EK981" s="4">
        <v>130</v>
      </c>
      <c r="EL981" s="4"/>
      <c r="EM981" s="4"/>
      <c r="EN981" s="4"/>
      <c r="EO981" s="4"/>
      <c r="EP981" s="4">
        <v>90</v>
      </c>
      <c r="EQ981" s="4"/>
      <c r="ER981" s="4"/>
      <c r="ES981" s="4"/>
      <c r="ET981" s="4"/>
      <c r="EU981" s="4"/>
      <c r="EV981" s="4"/>
      <c r="EW981" s="4"/>
      <c r="EX981" s="4"/>
      <c r="EY981" s="4"/>
      <c r="EZ981" s="4"/>
      <c r="FA981" s="4"/>
      <c r="FB981" s="4"/>
      <c r="FC981" s="4"/>
      <c r="FD981" s="4"/>
      <c r="FE981" s="4"/>
      <c r="FF981" s="4"/>
      <c r="FG981" s="4"/>
      <c r="FH981" s="4"/>
      <c r="FI981" s="4"/>
      <c r="FJ981" s="4"/>
      <c r="FK981" s="4"/>
      <c r="FL981" s="4"/>
      <c r="FM981" s="4"/>
      <c r="FN981" s="4"/>
      <c r="FO981" s="4"/>
      <c r="FP981" s="4"/>
      <c r="FQ981" s="4"/>
      <c r="FR981" s="4"/>
      <c r="FS981" s="4"/>
      <c r="FT981" s="4"/>
      <c r="FU981" s="4"/>
      <c r="FV981" s="4"/>
      <c r="FW981" s="4"/>
      <c r="FX981" s="4"/>
      <c r="FY981" s="4"/>
      <c r="FZ981" s="4"/>
      <c r="GA981" s="4"/>
      <c r="GB981" s="4"/>
      <c r="GC981" s="4"/>
      <c r="GD981" s="4"/>
      <c r="GE981" s="4"/>
      <c r="GF981" s="4"/>
      <c r="GG981" s="4"/>
      <c r="GH981" s="4"/>
      <c r="GI981" s="4"/>
      <c r="GJ981" s="4"/>
      <c r="GK981" s="4"/>
      <c r="GL981" s="4"/>
      <c r="GM981" s="4"/>
      <c r="GN981" s="4"/>
      <c r="GO981" s="4"/>
      <c r="GP981" s="4"/>
      <c r="GQ981" s="4"/>
      <c r="GR981" s="4"/>
      <c r="GS981" s="4"/>
      <c r="GT981" s="4"/>
      <c r="GU981" s="4"/>
      <c r="GV981" s="4"/>
      <c r="GW981" s="4"/>
      <c r="GX981" s="4"/>
    </row>
    <row r="982">
      <c r="A982" s="2" t="s">
        <v>5743</v>
      </c>
      <c r="B982" s="2" t="s">
        <v>278</v>
      </c>
      <c r="C982" s="2" t="s">
        <v>2227</v>
      </c>
      <c r="D982" s="2" t="s">
        <v>280</v>
      </c>
      <c r="E982" s="2" t="s">
        <v>281</v>
      </c>
      <c r="F982" s="2" t="s">
        <v>5732</v>
      </c>
      <c r="G982" s="2" t="s">
        <v>5732</v>
      </c>
      <c r="H982" s="2" t="s">
        <v>5732</v>
      </c>
      <c r="I982" s="2" t="s">
        <v>5733</v>
      </c>
      <c r="J982" s="2" t="s">
        <v>252</v>
      </c>
      <c r="K982" s="2" t="s">
        <v>1428</v>
      </c>
      <c r="L982" s="3">
        <v>28.35</v>
      </c>
      <c r="M982" s="3">
        <v>29.77</v>
      </c>
      <c r="N982" s="3">
        <v>62.99</v>
      </c>
      <c r="O982" s="2" t="s">
        <v>224</v>
      </c>
      <c r="P982" s="2" t="s">
        <v>2038</v>
      </c>
      <c r="Q982" s="2" t="s">
        <v>226</v>
      </c>
      <c r="R982" s="2" t="s">
        <v>227</v>
      </c>
      <c r="S982" s="2" t="s">
        <v>5744</v>
      </c>
      <c r="T982" s="2" t="s">
        <v>1698</v>
      </c>
      <c r="U982" s="2" t="s">
        <v>287</v>
      </c>
      <c r="V982" s="2" t="s">
        <v>230</v>
      </c>
      <c r="W982" s="2" t="s">
        <v>231</v>
      </c>
      <c r="X982" s="2" t="s">
        <v>227</v>
      </c>
      <c r="Y982" s="2" t="s">
        <v>5745</v>
      </c>
      <c r="Z982" s="4">
        <v>143</v>
      </c>
      <c r="AA982" s="4">
        <f>=ROUNDDOWN(2.86,0)</f>
      </c>
      <c r="AB982" s="5">
        <v>50</v>
      </c>
      <c r="AC982" s="2" t="s">
        <v>5746</v>
      </c>
      <c r="AD982" s="4">
        <v>338</v>
      </c>
      <c r="AE982" s="4">
        <v>1690</v>
      </c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227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/>
      <c r="AW982" s="8"/>
      <c r="AX982" s="4"/>
      <c r="AY982" s="8"/>
      <c r="AZ982" s="7"/>
      <c r="BA982" s="7"/>
      <c r="BB982" s="7"/>
      <c r="BC982" s="4" t="s">
        <v>227</v>
      </c>
      <c r="BD982" s="8" t="s">
        <v>227</v>
      </c>
      <c r="BE982" s="4" t="s">
        <v>227</v>
      </c>
      <c r="BF982" s="8" t="s">
        <v>227</v>
      </c>
      <c r="BG982" s="7" t="s">
        <v>227</v>
      </c>
      <c r="BH982" s="7" t="s">
        <v>227</v>
      </c>
      <c r="BI982" s="7"/>
      <c r="BJ982" s="4">
        <v>94</v>
      </c>
      <c r="BK982" s="8">
        <v>3045.43</v>
      </c>
      <c r="BL982" s="2" t="s">
        <v>5747</v>
      </c>
      <c r="BM982" s="7"/>
      <c r="BN982" s="7"/>
      <c r="BO982" s="4"/>
      <c r="BP982" s="8"/>
      <c r="BQ982" s="4"/>
      <c r="BR982" s="8"/>
      <c r="BS982" s="7"/>
      <c r="BT982" s="7"/>
      <c r="BU982" s="2" t="s">
        <v>5748</v>
      </c>
      <c r="BV982" s="2" t="s">
        <v>227</v>
      </c>
      <c r="BW982" s="2" t="s">
        <v>227</v>
      </c>
      <c r="BX982" s="2" t="s">
        <v>235</v>
      </c>
      <c r="BY982" s="2" t="s">
        <v>236</v>
      </c>
      <c r="BZ982" s="2" t="s">
        <v>224</v>
      </c>
      <c r="CA982" s="2" t="s">
        <v>2810</v>
      </c>
      <c r="CB982" s="2" t="s">
        <v>5749</v>
      </c>
      <c r="CC982" s="2" t="s">
        <v>239</v>
      </c>
      <c r="CD982" s="2" t="s">
        <v>227</v>
      </c>
      <c r="CE982" s="4">
        <v>143</v>
      </c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>
        <v>338</v>
      </c>
      <c r="DC982" s="4"/>
      <c r="DD982" s="4"/>
      <c r="DE982" s="4"/>
      <c r="DF982" s="4">
        <v>290</v>
      </c>
      <c r="DG982" s="4"/>
      <c r="DH982" s="4"/>
      <c r="DI982" s="4"/>
      <c r="DJ982" s="4"/>
      <c r="DK982" s="4"/>
      <c r="DL982" s="4"/>
      <c r="DM982" s="4"/>
      <c r="DN982" s="4"/>
      <c r="DO982" s="4">
        <v>102</v>
      </c>
      <c r="DP982" s="4"/>
      <c r="DQ982" s="4"/>
      <c r="DR982" s="4"/>
      <c r="DS982" s="4"/>
      <c r="DT982" s="4"/>
      <c r="DU982" s="4"/>
      <c r="DV982" s="4"/>
      <c r="DW982" s="4">
        <v>320</v>
      </c>
      <c r="DX982" s="4"/>
      <c r="DY982" s="4"/>
      <c r="DZ982" s="4"/>
      <c r="EA982" s="4"/>
      <c r="EB982" s="4"/>
      <c r="EC982" s="4">
        <v>160</v>
      </c>
      <c r="ED982" s="4">
        <v>100</v>
      </c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/>
      <c r="EP982" s="4">
        <v>150</v>
      </c>
      <c r="EQ982" s="4"/>
      <c r="ER982" s="4"/>
      <c r="ES982" s="4"/>
      <c r="ET982" s="4"/>
      <c r="EU982" s="4"/>
      <c r="EV982" s="4"/>
      <c r="EW982" s="4"/>
      <c r="EX982" s="4"/>
      <c r="EY982" s="4"/>
      <c r="EZ982" s="4"/>
      <c r="FA982" s="4"/>
      <c r="FB982" s="4">
        <v>230</v>
      </c>
      <c r="FC982" s="4"/>
      <c r="FD982" s="4"/>
      <c r="FE982" s="4"/>
      <c r="FF982" s="4"/>
      <c r="FG982" s="4"/>
      <c r="FH982" s="4"/>
      <c r="FI982" s="4"/>
      <c r="FJ982" s="4"/>
      <c r="FK982" s="4"/>
      <c r="FL982" s="4"/>
      <c r="FM982" s="4"/>
      <c r="FN982" s="4"/>
      <c r="FO982" s="4"/>
      <c r="FP982" s="4"/>
      <c r="FQ982" s="4"/>
      <c r="FR982" s="4"/>
      <c r="FS982" s="4"/>
      <c r="FT982" s="4"/>
      <c r="FU982" s="4"/>
      <c r="FV982" s="4"/>
      <c r="FW982" s="4"/>
      <c r="FX982" s="4"/>
      <c r="FY982" s="4"/>
      <c r="FZ982" s="4"/>
      <c r="GA982" s="4"/>
      <c r="GB982" s="4"/>
      <c r="GC982" s="4"/>
      <c r="GD982" s="4"/>
      <c r="GE982" s="4"/>
      <c r="GF982" s="4"/>
      <c r="GG982" s="4"/>
      <c r="GH982" s="4"/>
      <c r="GI982" s="4"/>
      <c r="GJ982" s="4"/>
      <c r="GK982" s="4"/>
      <c r="GL982" s="4"/>
      <c r="GM982" s="4"/>
      <c r="GN982" s="4"/>
      <c r="GO982" s="4"/>
      <c r="GP982" s="4"/>
      <c r="GQ982" s="4"/>
      <c r="GR982" s="4"/>
      <c r="GS982" s="4"/>
      <c r="GT982" s="4"/>
      <c r="GU982" s="4"/>
      <c r="GV982" s="4"/>
      <c r="GW982" s="4"/>
      <c r="GX982" s="4"/>
    </row>
    <row r="983">
      <c r="A983" s="2" t="s">
        <v>5750</v>
      </c>
      <c r="B983" s="2" t="s">
        <v>278</v>
      </c>
      <c r="C983" s="2" t="s">
        <v>2227</v>
      </c>
      <c r="D983" s="2" t="s">
        <v>280</v>
      </c>
      <c r="E983" s="2" t="s">
        <v>281</v>
      </c>
      <c r="F983" s="2" t="s">
        <v>5732</v>
      </c>
      <c r="G983" s="2" t="s">
        <v>5732</v>
      </c>
      <c r="H983" s="2" t="s">
        <v>5732</v>
      </c>
      <c r="I983" s="2" t="s">
        <v>5733</v>
      </c>
      <c r="J983" s="2" t="s">
        <v>247</v>
      </c>
      <c r="K983" s="2" t="s">
        <v>410</v>
      </c>
      <c r="L983" s="3">
        <v>25.3</v>
      </c>
      <c r="M983" s="3">
        <v>26.56</v>
      </c>
      <c r="N983" s="3">
        <v>54.99</v>
      </c>
      <c r="O983" s="2" t="s">
        <v>224</v>
      </c>
      <c r="P983" s="2" t="s">
        <v>530</v>
      </c>
      <c r="Q983" s="2" t="s">
        <v>226</v>
      </c>
      <c r="R983" s="2" t="s">
        <v>227</v>
      </c>
      <c r="S983" s="2" t="s">
        <v>5751</v>
      </c>
      <c r="T983" s="2" t="s">
        <v>1698</v>
      </c>
      <c r="U983" s="2" t="s">
        <v>287</v>
      </c>
      <c r="V983" s="2" t="s">
        <v>230</v>
      </c>
      <c r="W983" s="2" t="s">
        <v>231</v>
      </c>
      <c r="X983" s="2" t="s">
        <v>227</v>
      </c>
      <c r="Y983" s="2" t="s">
        <v>232</v>
      </c>
      <c r="Z983" s="4">
        <v>219</v>
      </c>
      <c r="AA983" s="4">
        <f>=ROUNDDOWN(4.97727272727273,0)</f>
      </c>
      <c r="AB983" s="5">
        <v>44</v>
      </c>
      <c r="AC983" s="2" t="s">
        <v>1810</v>
      </c>
      <c r="AD983" s="4">
        <v>282</v>
      </c>
      <c r="AE983" s="4">
        <v>1270</v>
      </c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227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/>
      <c r="AW983" s="8"/>
      <c r="AX983" s="4"/>
      <c r="AY983" s="8"/>
      <c r="AZ983" s="7"/>
      <c r="BA983" s="7"/>
      <c r="BB983" s="7"/>
      <c r="BC983" s="4" t="s">
        <v>227</v>
      </c>
      <c r="BD983" s="8" t="s">
        <v>227</v>
      </c>
      <c r="BE983" s="4" t="s">
        <v>227</v>
      </c>
      <c r="BF983" s="8" t="s">
        <v>227</v>
      </c>
      <c r="BG983" s="7" t="s">
        <v>227</v>
      </c>
      <c r="BH983" s="7" t="s">
        <v>227</v>
      </c>
      <c r="BI983" s="7"/>
      <c r="BJ983" s="4">
        <v>64</v>
      </c>
      <c r="BK983" s="8">
        <v>1778</v>
      </c>
      <c r="BL983" s="2" t="s">
        <v>3617</v>
      </c>
      <c r="BM983" s="7"/>
      <c r="BN983" s="7"/>
      <c r="BO983" s="4"/>
      <c r="BP983" s="8"/>
      <c r="BQ983" s="4"/>
      <c r="BR983" s="8"/>
      <c r="BS983" s="7"/>
      <c r="BT983" s="7"/>
      <c r="BU983" s="2" t="s">
        <v>5752</v>
      </c>
      <c r="BV983" s="2" t="s">
        <v>227</v>
      </c>
      <c r="BW983" s="2" t="s">
        <v>227</v>
      </c>
      <c r="BX983" s="2" t="s">
        <v>235</v>
      </c>
      <c r="BY983" s="2" t="s">
        <v>236</v>
      </c>
      <c r="BZ983" s="2" t="s">
        <v>224</v>
      </c>
      <c r="CA983" s="2" t="s">
        <v>5753</v>
      </c>
      <c r="CB983" s="2" t="s">
        <v>5754</v>
      </c>
      <c r="CC983" s="2" t="s">
        <v>239</v>
      </c>
      <c r="CD983" s="2" t="s">
        <v>227</v>
      </c>
      <c r="CE983" s="4">
        <v>219</v>
      </c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>
        <v>282</v>
      </c>
      <c r="CX983" s="4"/>
      <c r="CY983" s="4"/>
      <c r="CZ983" s="4"/>
      <c r="DA983" s="4"/>
      <c r="DB983" s="4"/>
      <c r="DC983" s="4"/>
      <c r="DD983" s="4"/>
      <c r="DE983" s="4"/>
      <c r="DF983" s="4">
        <v>50</v>
      </c>
      <c r="DG983" s="4"/>
      <c r="DH983" s="4"/>
      <c r="DI983" s="4"/>
      <c r="DJ983" s="4"/>
      <c r="DK983" s="4"/>
      <c r="DL983" s="4"/>
      <c r="DM983" s="4"/>
      <c r="DN983" s="4"/>
      <c r="DO983" s="4">
        <v>216</v>
      </c>
      <c r="DP983" s="4"/>
      <c r="DQ983" s="4"/>
      <c r="DR983" s="4"/>
      <c r="DS983" s="4"/>
      <c r="DT983" s="4"/>
      <c r="DU983" s="4"/>
      <c r="DV983" s="4"/>
      <c r="DW983" s="4">
        <v>272</v>
      </c>
      <c r="DX983" s="4"/>
      <c r="DY983" s="4"/>
      <c r="DZ983" s="4"/>
      <c r="EA983" s="4"/>
      <c r="EB983" s="4"/>
      <c r="EC983" s="4"/>
      <c r="ED983" s="4">
        <v>80</v>
      </c>
      <c r="EE983" s="4"/>
      <c r="EF983" s="4"/>
      <c r="EG983" s="4"/>
      <c r="EH983" s="4"/>
      <c r="EI983" s="4">
        <v>120</v>
      </c>
      <c r="EJ983" s="4"/>
      <c r="EK983" s="4">
        <v>150</v>
      </c>
      <c r="EL983" s="4"/>
      <c r="EM983" s="4"/>
      <c r="EN983" s="4"/>
      <c r="EO983" s="4"/>
      <c r="EP983" s="4">
        <v>100</v>
      </c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/>
      <c r="FB983" s="4"/>
      <c r="FC983" s="4"/>
      <c r="FD983" s="4"/>
      <c r="FE983" s="4"/>
      <c r="FF983" s="4"/>
      <c r="FG983" s="4"/>
      <c r="FH983" s="4"/>
      <c r="FI983" s="4"/>
      <c r="FJ983" s="4"/>
      <c r="FK983" s="4"/>
      <c r="FL983" s="4"/>
      <c r="FM983" s="4"/>
      <c r="FN983" s="4"/>
      <c r="FO983" s="4"/>
      <c r="FP983" s="4"/>
      <c r="FQ983" s="4"/>
      <c r="FR983" s="4"/>
      <c r="FS983" s="4"/>
      <c r="FT983" s="4"/>
      <c r="FU983" s="4"/>
      <c r="FV983" s="4"/>
      <c r="FW983" s="4"/>
      <c r="FX983" s="4"/>
      <c r="FY983" s="4"/>
      <c r="FZ983" s="4"/>
      <c r="GA983" s="4"/>
      <c r="GB983" s="4"/>
      <c r="GC983" s="4"/>
      <c r="GD983" s="4"/>
      <c r="GE983" s="4"/>
      <c r="GF983" s="4"/>
      <c r="GG983" s="4"/>
      <c r="GH983" s="4"/>
      <c r="GI983" s="4"/>
      <c r="GJ983" s="4"/>
      <c r="GK983" s="4"/>
      <c r="GL983" s="4"/>
      <c r="GM983" s="4"/>
      <c r="GN983" s="4"/>
      <c r="GO983" s="4"/>
      <c r="GP983" s="4"/>
      <c r="GQ983" s="4"/>
      <c r="GR983" s="4"/>
      <c r="GS983" s="4"/>
      <c r="GT983" s="4"/>
      <c r="GU983" s="4"/>
      <c r="GV983" s="4"/>
      <c r="GW983" s="4"/>
      <c r="GX983" s="4"/>
    </row>
    <row r="984">
      <c r="A984" s="2" t="s">
        <v>5755</v>
      </c>
      <c r="B984" s="2" t="s">
        <v>278</v>
      </c>
      <c r="C984" s="2" t="s">
        <v>2227</v>
      </c>
      <c r="D984" s="2" t="s">
        <v>280</v>
      </c>
      <c r="E984" s="2" t="s">
        <v>281</v>
      </c>
      <c r="F984" s="2" t="s">
        <v>5732</v>
      </c>
      <c r="G984" s="2" t="s">
        <v>5732</v>
      </c>
      <c r="H984" s="2" t="s">
        <v>5732</v>
      </c>
      <c r="I984" s="2" t="s">
        <v>5733</v>
      </c>
      <c r="J984" s="2" t="s">
        <v>222</v>
      </c>
      <c r="K984" s="2" t="s">
        <v>363</v>
      </c>
      <c r="L984" s="3">
        <v>19.78</v>
      </c>
      <c r="M984" s="3">
        <v>20.77</v>
      </c>
      <c r="N984" s="3">
        <v>42.99</v>
      </c>
      <c r="O984" s="2" t="s">
        <v>224</v>
      </c>
      <c r="P984" s="2" t="s">
        <v>485</v>
      </c>
      <c r="Q984" s="2" t="s">
        <v>226</v>
      </c>
      <c r="R984" s="2" t="s">
        <v>227</v>
      </c>
      <c r="S984" s="2" t="s">
        <v>5756</v>
      </c>
      <c r="T984" s="2" t="s">
        <v>1698</v>
      </c>
      <c r="U984" s="2" t="s">
        <v>674</v>
      </c>
      <c r="V984" s="2" t="s">
        <v>230</v>
      </c>
      <c r="W984" s="2" t="s">
        <v>231</v>
      </c>
      <c r="X984" s="2" t="s">
        <v>227</v>
      </c>
      <c r="Y984" s="2" t="s">
        <v>232</v>
      </c>
      <c r="Z984" s="4">
        <v>159</v>
      </c>
      <c r="AA984" s="4">
        <f>=ROUNDDOWN(6.11538461538461,0)</f>
      </c>
      <c r="AB984" s="5">
        <v>26</v>
      </c>
      <c r="AC984" s="2" t="s">
        <v>5746</v>
      </c>
      <c r="AD984" s="4">
        <v>141</v>
      </c>
      <c r="AE984" s="4">
        <v>800</v>
      </c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227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/>
      <c r="AW984" s="8"/>
      <c r="AX984" s="4"/>
      <c r="AY984" s="8"/>
      <c r="AZ984" s="7"/>
      <c r="BA984" s="7"/>
      <c r="BB984" s="7"/>
      <c r="BC984" s="4" t="s">
        <v>227</v>
      </c>
      <c r="BD984" s="8" t="s">
        <v>227</v>
      </c>
      <c r="BE984" s="4" t="s">
        <v>227</v>
      </c>
      <c r="BF984" s="8" t="s">
        <v>227</v>
      </c>
      <c r="BG984" s="7" t="s">
        <v>227</v>
      </c>
      <c r="BH984" s="7" t="s">
        <v>227</v>
      </c>
      <c r="BI984" s="7"/>
      <c r="BJ984" s="4">
        <v>36</v>
      </c>
      <c r="BK984" s="8">
        <v>792.4</v>
      </c>
      <c r="BL984" s="2" t="s">
        <v>2581</v>
      </c>
      <c r="BM984" s="7"/>
      <c r="BN984" s="7"/>
      <c r="BO984" s="4"/>
      <c r="BP984" s="8"/>
      <c r="BQ984" s="4"/>
      <c r="BR984" s="8"/>
      <c r="BS984" s="7"/>
      <c r="BT984" s="7"/>
      <c r="BU984" s="2" t="s">
        <v>5757</v>
      </c>
      <c r="BV984" s="2" t="s">
        <v>227</v>
      </c>
      <c r="BW984" s="2" t="s">
        <v>227</v>
      </c>
      <c r="BX984" s="2" t="s">
        <v>235</v>
      </c>
      <c r="BY984" s="2" t="s">
        <v>236</v>
      </c>
      <c r="BZ984" s="2" t="s">
        <v>224</v>
      </c>
      <c r="CA984" s="2" t="s">
        <v>2810</v>
      </c>
      <c r="CB984" s="2" t="s">
        <v>443</v>
      </c>
      <c r="CC984" s="2" t="s">
        <v>239</v>
      </c>
      <c r="CD984" s="2" t="s">
        <v>227</v>
      </c>
      <c r="CE984" s="4">
        <v>159</v>
      </c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>
        <v>141</v>
      </c>
      <c r="DC984" s="4"/>
      <c r="DD984" s="4"/>
      <c r="DE984" s="4"/>
      <c r="DF984" s="4">
        <v>180</v>
      </c>
      <c r="DG984" s="4"/>
      <c r="DH984" s="4"/>
      <c r="DI984" s="4"/>
      <c r="DJ984" s="4"/>
      <c r="DK984" s="4"/>
      <c r="DL984" s="4"/>
      <c r="DM984" s="4"/>
      <c r="DN984" s="4"/>
      <c r="DO984" s="4">
        <v>69</v>
      </c>
      <c r="DP984" s="4"/>
      <c r="DQ984" s="4"/>
      <c r="DR984" s="4"/>
      <c r="DS984" s="4"/>
      <c r="DT984" s="4"/>
      <c r="DU984" s="4"/>
      <c r="DV984" s="4"/>
      <c r="DW984" s="4">
        <v>160</v>
      </c>
      <c r="DX984" s="4"/>
      <c r="DY984" s="4"/>
      <c r="DZ984" s="4"/>
      <c r="EA984" s="4"/>
      <c r="EB984" s="4"/>
      <c r="EC984" s="4">
        <v>60</v>
      </c>
      <c r="ED984" s="4">
        <v>40</v>
      </c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>
        <v>60</v>
      </c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/>
      <c r="FB984" s="4">
        <v>90</v>
      </c>
      <c r="FC984" s="4"/>
      <c r="FD984" s="4"/>
      <c r="FE984" s="4"/>
      <c r="FF984" s="4"/>
      <c r="FG984" s="4"/>
      <c r="FH984" s="4"/>
      <c r="FI984" s="4"/>
      <c r="FJ984" s="4"/>
      <c r="FK984" s="4"/>
      <c r="FL984" s="4"/>
      <c r="FM984" s="4"/>
      <c r="FN984" s="4"/>
      <c r="FO984" s="4"/>
      <c r="FP984" s="4"/>
      <c r="FQ984" s="4"/>
      <c r="FR984" s="4"/>
      <c r="FS984" s="4"/>
      <c r="FT984" s="4"/>
      <c r="FU984" s="4"/>
      <c r="FV984" s="4"/>
      <c r="FW984" s="4"/>
      <c r="FX984" s="4"/>
      <c r="FY984" s="4"/>
      <c r="FZ984" s="4"/>
      <c r="GA984" s="4"/>
      <c r="GB984" s="4"/>
      <c r="GC984" s="4"/>
      <c r="GD984" s="4"/>
      <c r="GE984" s="4"/>
      <c r="GF984" s="4"/>
      <c r="GG984" s="4"/>
      <c r="GH984" s="4"/>
      <c r="GI984" s="4"/>
      <c r="GJ984" s="4"/>
      <c r="GK984" s="4"/>
      <c r="GL984" s="4"/>
      <c r="GM984" s="4"/>
      <c r="GN984" s="4"/>
      <c r="GO984" s="4"/>
      <c r="GP984" s="4"/>
      <c r="GQ984" s="4"/>
      <c r="GR984" s="4"/>
      <c r="GS984" s="4"/>
      <c r="GT984" s="4"/>
      <c r="GU984" s="4"/>
      <c r="GV984" s="4"/>
      <c r="GW984" s="4"/>
      <c r="GX984" s="4"/>
    </row>
    <row r="985">
      <c r="A985" s="2" t="s">
        <v>5758</v>
      </c>
      <c r="B985" s="2" t="s">
        <v>573</v>
      </c>
      <c r="C985" s="2" t="s">
        <v>668</v>
      </c>
      <c r="D985" s="2" t="s">
        <v>832</v>
      </c>
      <c r="E985" s="2" t="s">
        <v>833</v>
      </c>
      <c r="F985" s="2" t="s">
        <v>5759</v>
      </c>
      <c r="G985" s="2" t="s">
        <v>5759</v>
      </c>
      <c r="H985" s="2" t="s">
        <v>5759</v>
      </c>
      <c r="I985" s="2" t="s">
        <v>1415</v>
      </c>
      <c r="J985" s="2" t="s">
        <v>548</v>
      </c>
      <c r="K985" s="2" t="s">
        <v>5760</v>
      </c>
      <c r="L985" s="3">
        <v>263.5</v>
      </c>
      <c r="M985" s="3">
        <v>276.68</v>
      </c>
      <c r="N985" s="3">
        <v>549</v>
      </c>
      <c r="O985" s="2" t="s">
        <v>224</v>
      </c>
      <c r="P985" s="2" t="s">
        <v>225</v>
      </c>
      <c r="Q985" s="2" t="s">
        <v>226</v>
      </c>
      <c r="R985" s="2" t="s">
        <v>227</v>
      </c>
      <c r="S985" s="2" t="s">
        <v>227</v>
      </c>
      <c r="T985" s="2" t="s">
        <v>227</v>
      </c>
      <c r="U985" s="2" t="s">
        <v>227</v>
      </c>
      <c r="V985" s="2" t="s">
        <v>230</v>
      </c>
      <c r="W985" s="2" t="s">
        <v>676</v>
      </c>
      <c r="X985" s="2" t="s">
        <v>227</v>
      </c>
      <c r="Y985" s="2" t="s">
        <v>5610</v>
      </c>
      <c r="Z985" s="4">
        <v>67</v>
      </c>
      <c r="AA985" s="4">
        <f>=ROUNDDOWN(9.57142857142857,0)</f>
      </c>
      <c r="AB985" s="5">
        <v>7</v>
      </c>
      <c r="AC985" s="2" t="s">
        <v>1690</v>
      </c>
      <c r="AD985" s="4">
        <v>12</v>
      </c>
      <c r="AE985" s="4">
        <v>100</v>
      </c>
      <c r="AF985" s="6">
        <v>66</v>
      </c>
      <c r="AG985" s="6"/>
      <c r="AH985" s="7">
        <v>1</v>
      </c>
      <c r="AI985" s="4"/>
      <c r="AJ985" s="4">
        <f>=ROUNDDOWN({0},0)</f>
      </c>
      <c r="AK985" s="5"/>
      <c r="AL985" s="2" t="s">
        <v>227</v>
      </c>
      <c r="AM985" s="4"/>
      <c r="AN985" s="4"/>
      <c r="AO985" s="7">
        <v>0.5484</v>
      </c>
      <c r="AP985" s="4"/>
      <c r="AQ985" s="8"/>
      <c r="AR985" s="4"/>
      <c r="AS985" s="8"/>
      <c r="AT985" s="7"/>
      <c r="AU985" s="7"/>
      <c r="AV985" s="4"/>
      <c r="AW985" s="8"/>
      <c r="AX985" s="4"/>
      <c r="AY985" s="8"/>
      <c r="AZ985" s="7"/>
      <c r="BA985" s="7"/>
      <c r="BB985" s="7"/>
      <c r="BC985" s="4"/>
      <c r="BD985" s="8"/>
      <c r="BE985" s="4"/>
      <c r="BF985" s="8"/>
      <c r="BG985" s="7"/>
      <c r="BH985" s="7"/>
      <c r="BI985" s="7"/>
      <c r="BJ985" s="4">
        <v>26</v>
      </c>
      <c r="BK985" s="8">
        <v>6777.36</v>
      </c>
      <c r="BL985" s="2" t="s">
        <v>5761</v>
      </c>
      <c r="BM985" s="7"/>
      <c r="BN985" s="7"/>
      <c r="BO985" s="4"/>
      <c r="BP985" s="8"/>
      <c r="BQ985" s="4"/>
      <c r="BR985" s="8"/>
      <c r="BS985" s="7"/>
      <c r="BT985" s="7"/>
      <c r="BU985" s="2" t="s">
        <v>5762</v>
      </c>
      <c r="BV985" s="2" t="s">
        <v>227</v>
      </c>
      <c r="BW985" s="2" t="s">
        <v>227</v>
      </c>
      <c r="BX985" s="2" t="s">
        <v>235</v>
      </c>
      <c r="BY985" s="2" t="s">
        <v>236</v>
      </c>
      <c r="BZ985" s="2" t="s">
        <v>224</v>
      </c>
      <c r="CA985" s="2" t="s">
        <v>5028</v>
      </c>
      <c r="CB985" s="2" t="s">
        <v>2502</v>
      </c>
      <c r="CC985" s="2" t="s">
        <v>239</v>
      </c>
      <c r="CD985" s="2" t="s">
        <v>227</v>
      </c>
      <c r="CE985" s="4"/>
      <c r="CF985" s="4">
        <v>67</v>
      </c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>
        <v>12</v>
      </c>
      <c r="DY985" s="4"/>
      <c r="DZ985" s="4"/>
      <c r="EA985" s="4">
        <v>88</v>
      </c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/>
      <c r="FA985" s="4"/>
      <c r="FB985" s="4"/>
      <c r="FC985" s="4"/>
      <c r="FD985" s="4"/>
      <c r="FE985" s="4"/>
      <c r="FF985" s="4"/>
      <c r="FG985" s="4"/>
      <c r="FH985" s="4"/>
      <c r="FI985" s="4"/>
      <c r="FJ985" s="4"/>
      <c r="FK985" s="4"/>
      <c r="FL985" s="4"/>
      <c r="FM985" s="4"/>
      <c r="FN985" s="4"/>
      <c r="FO985" s="4"/>
      <c r="FP985" s="4"/>
      <c r="FQ985" s="4"/>
      <c r="FR985" s="4"/>
      <c r="FS985" s="4"/>
      <c r="FT985" s="4"/>
      <c r="FU985" s="4"/>
      <c r="FV985" s="4"/>
      <c r="FW985" s="4"/>
      <c r="FX985" s="4"/>
      <c r="FY985" s="4"/>
      <c r="FZ985" s="4"/>
      <c r="GA985" s="4"/>
      <c r="GB985" s="4"/>
      <c r="GC985" s="4"/>
      <c r="GD985" s="4"/>
      <c r="GE985" s="4"/>
      <c r="GF985" s="4"/>
      <c r="GG985" s="4"/>
      <c r="GH985" s="4"/>
      <c r="GI985" s="4"/>
      <c r="GJ985" s="4"/>
      <c r="GK985" s="4"/>
      <c r="GL985" s="4"/>
      <c r="GM985" s="4"/>
      <c r="GN985" s="4"/>
      <c r="GO985" s="4"/>
      <c r="GP985" s="4"/>
      <c r="GQ985" s="4"/>
      <c r="GR985" s="4"/>
      <c r="GS985" s="4"/>
      <c r="GT985" s="4"/>
      <c r="GU985" s="4"/>
      <c r="GV985" s="4"/>
      <c r="GW985" s="4"/>
      <c r="GX985" s="4"/>
    </row>
    <row r="986">
      <c r="A986" s="2" t="s">
        <v>5763</v>
      </c>
      <c r="B986" s="2" t="s">
        <v>573</v>
      </c>
      <c r="C986" s="2" t="s">
        <v>668</v>
      </c>
      <c r="D986" s="2" t="s">
        <v>4418</v>
      </c>
      <c r="E986" s="2" t="s">
        <v>4419</v>
      </c>
      <c r="F986" s="2" t="s">
        <v>5764</v>
      </c>
      <c r="G986" s="2" t="s">
        <v>5764</v>
      </c>
      <c r="H986" s="2" t="s">
        <v>5764</v>
      </c>
      <c r="I986" s="2" t="s">
        <v>5765</v>
      </c>
      <c r="J986" s="2" t="s">
        <v>548</v>
      </c>
      <c r="K986" s="2" t="s">
        <v>737</v>
      </c>
      <c r="L986" s="3">
        <v>285.2</v>
      </c>
      <c r="M986" s="3">
        <v>299.46</v>
      </c>
      <c r="N986" s="3">
        <v>599</v>
      </c>
      <c r="O986" s="2" t="s">
        <v>224</v>
      </c>
      <c r="P986" s="2" t="s">
        <v>225</v>
      </c>
      <c r="Q986" s="2" t="s">
        <v>226</v>
      </c>
      <c r="R986" s="2" t="s">
        <v>227</v>
      </c>
      <c r="S986" s="2" t="s">
        <v>227</v>
      </c>
      <c r="T986" s="2" t="s">
        <v>227</v>
      </c>
      <c r="U986" s="2" t="s">
        <v>227</v>
      </c>
      <c r="V986" s="2" t="s">
        <v>230</v>
      </c>
      <c r="W986" s="2" t="s">
        <v>4968</v>
      </c>
      <c r="X986" s="2" t="s">
        <v>227</v>
      </c>
      <c r="Y986" s="2" t="s">
        <v>5644</v>
      </c>
      <c r="Z986" s="4">
        <v>101</v>
      </c>
      <c r="AA986" s="4">
        <f>=ROUNDDOWN(36.0714285714286,0)</f>
      </c>
      <c r="AB986" s="5">
        <v>2.8</v>
      </c>
      <c r="AC986" s="2" t="s">
        <v>938</v>
      </c>
      <c r="AD986" s="4">
        <v>80</v>
      </c>
      <c r="AE986" s="4">
        <v>130</v>
      </c>
      <c r="AF986" s="6">
        <v>74</v>
      </c>
      <c r="AG986" s="6">
        <v>60</v>
      </c>
      <c r="AH986" s="7">
        <v>1</v>
      </c>
      <c r="AI986" s="4"/>
      <c r="AJ986" s="4">
        <f>=ROUNDDOWN({0},0)</f>
      </c>
      <c r="AK986" s="5">
        <v>10.3</v>
      </c>
      <c r="AL986" s="2" t="s">
        <v>227</v>
      </c>
      <c r="AM986" s="4"/>
      <c r="AN986" s="4"/>
      <c r="AO986" s="7">
        <v>0.5484</v>
      </c>
      <c r="AP986" s="4"/>
      <c r="AQ986" s="8"/>
      <c r="AR986" s="4"/>
      <c r="AS986" s="8"/>
      <c r="AT986" s="7"/>
      <c r="AU986" s="7"/>
      <c r="AV986" s="4"/>
      <c r="AW986" s="8"/>
      <c r="AX986" s="4"/>
      <c r="AY986" s="8"/>
      <c r="AZ986" s="7"/>
      <c r="BA986" s="7"/>
      <c r="BB986" s="7"/>
      <c r="BC986" s="4" t="s">
        <v>227</v>
      </c>
      <c r="BD986" s="8" t="s">
        <v>227</v>
      </c>
      <c r="BE986" s="4" t="s">
        <v>227</v>
      </c>
      <c r="BF986" s="8" t="s">
        <v>227</v>
      </c>
      <c r="BG986" s="7" t="s">
        <v>227</v>
      </c>
      <c r="BH986" s="7" t="s">
        <v>227</v>
      </c>
      <c r="BI986" s="7"/>
      <c r="BJ986" s="4">
        <v>42</v>
      </c>
      <c r="BK986" s="8">
        <v>11516.57</v>
      </c>
      <c r="BL986" s="2" t="s">
        <v>5766</v>
      </c>
      <c r="BM986" s="7"/>
      <c r="BN986" s="7"/>
      <c r="BO986" s="4"/>
      <c r="BP986" s="8"/>
      <c r="BQ986" s="4"/>
      <c r="BR986" s="8"/>
      <c r="BS986" s="7"/>
      <c r="BT986" s="7"/>
      <c r="BU986" s="2" t="s">
        <v>5767</v>
      </c>
      <c r="BV986" s="2" t="s">
        <v>227</v>
      </c>
      <c r="BW986" s="2" t="s">
        <v>227</v>
      </c>
      <c r="BX986" s="2" t="s">
        <v>235</v>
      </c>
      <c r="BY986" s="2" t="s">
        <v>236</v>
      </c>
      <c r="BZ986" s="2" t="s">
        <v>224</v>
      </c>
      <c r="CA986" s="2" t="s">
        <v>2085</v>
      </c>
      <c r="CB986" s="2" t="s">
        <v>5768</v>
      </c>
      <c r="CC986" s="2" t="s">
        <v>239</v>
      </c>
      <c r="CD986" s="2" t="s">
        <v>227</v>
      </c>
      <c r="CE986" s="4"/>
      <c r="CF986" s="4">
        <v>101</v>
      </c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/>
      <c r="EU986" s="4"/>
      <c r="EV986" s="4"/>
      <c r="EW986" s="4"/>
      <c r="EX986" s="4"/>
      <c r="EY986" s="4"/>
      <c r="EZ986" s="4"/>
      <c r="FA986" s="4"/>
      <c r="FB986" s="4"/>
      <c r="FC986" s="4"/>
      <c r="FD986" s="4"/>
      <c r="FE986" s="4"/>
      <c r="FF986" s="4"/>
      <c r="FG986" s="4"/>
      <c r="FH986" s="4"/>
      <c r="FI986" s="4"/>
      <c r="FJ986" s="4"/>
      <c r="FK986" s="4"/>
      <c r="FL986" s="4"/>
      <c r="FM986" s="4"/>
      <c r="FN986" s="4"/>
      <c r="FO986" s="4"/>
      <c r="FP986" s="4"/>
      <c r="FQ986" s="4"/>
      <c r="FR986" s="4"/>
      <c r="FS986" s="4"/>
      <c r="FT986" s="4"/>
      <c r="FU986" s="4"/>
      <c r="FV986" s="4"/>
      <c r="FW986" s="4"/>
      <c r="FX986" s="4"/>
      <c r="FY986" s="4"/>
      <c r="FZ986" s="4"/>
      <c r="GA986" s="4"/>
      <c r="GB986" s="4"/>
      <c r="GC986" s="4"/>
      <c r="GD986" s="4"/>
      <c r="GE986" s="4"/>
      <c r="GF986" s="4"/>
      <c r="GG986" s="4"/>
      <c r="GH986" s="4"/>
      <c r="GI986" s="4">
        <v>80</v>
      </c>
      <c r="GJ986" s="4"/>
      <c r="GK986" s="4"/>
      <c r="GL986" s="4"/>
      <c r="GM986" s="4">
        <v>50</v>
      </c>
      <c r="GN986" s="4"/>
      <c r="GO986" s="4"/>
      <c r="GP986" s="4"/>
      <c r="GQ986" s="4"/>
      <c r="GR986" s="4"/>
      <c r="GS986" s="4"/>
      <c r="GT986" s="4"/>
      <c r="GU986" s="4"/>
      <c r="GV986" s="4"/>
      <c r="GW986" s="4"/>
      <c r="GX986" s="4"/>
    </row>
    <row r="987">
      <c r="A987" s="2" t="s">
        <v>5769</v>
      </c>
      <c r="B987" s="2" t="s">
        <v>573</v>
      </c>
      <c r="C987" s="2" t="s">
        <v>668</v>
      </c>
      <c r="D987" s="2" t="s">
        <v>3118</v>
      </c>
      <c r="E987" s="2" t="s">
        <v>3119</v>
      </c>
      <c r="F987" s="2" t="s">
        <v>5764</v>
      </c>
      <c r="G987" s="2" t="s">
        <v>5764</v>
      </c>
      <c r="H987" s="2" t="s">
        <v>5764</v>
      </c>
      <c r="I987" s="2" t="s">
        <v>3119</v>
      </c>
      <c r="J987" s="2" t="s">
        <v>548</v>
      </c>
      <c r="K987" s="2" t="s">
        <v>5770</v>
      </c>
      <c r="L987" s="3">
        <v>121.5</v>
      </c>
      <c r="M987" s="3">
        <v>127.58</v>
      </c>
      <c r="N987" s="3">
        <v>259</v>
      </c>
      <c r="O987" s="2" t="s">
        <v>224</v>
      </c>
      <c r="P987" s="2" t="s">
        <v>580</v>
      </c>
      <c r="Q987" s="2" t="s">
        <v>226</v>
      </c>
      <c r="R987" s="2" t="s">
        <v>227</v>
      </c>
      <c r="S987" s="2" t="s">
        <v>227</v>
      </c>
      <c r="T987" s="2" t="s">
        <v>227</v>
      </c>
      <c r="U987" s="2" t="s">
        <v>552</v>
      </c>
      <c r="V987" s="2" t="s">
        <v>230</v>
      </c>
      <c r="W987" s="2" t="s">
        <v>4968</v>
      </c>
      <c r="X987" s="2" t="s">
        <v>836</v>
      </c>
      <c r="Y987" s="2" t="s">
        <v>4595</v>
      </c>
      <c r="Z987" s="4">
        <v>92</v>
      </c>
      <c r="AA987" s="4">
        <f>=ROUNDDOWN(57.5,0)</f>
      </c>
      <c r="AB987" s="5">
        <v>1.6</v>
      </c>
      <c r="AC987" s="2" t="s">
        <v>862</v>
      </c>
      <c r="AD987" s="4">
        <v>60</v>
      </c>
      <c r="AE987" s="4">
        <v>60</v>
      </c>
      <c r="AF987" s="6">
        <v>74</v>
      </c>
      <c r="AG987" s="6">
        <v>60</v>
      </c>
      <c r="AH987" s="7">
        <v>1</v>
      </c>
      <c r="AI987" s="4"/>
      <c r="AJ987" s="4">
        <f>=ROUNDDOWN({0},0)</f>
      </c>
      <c r="AK987" s="5"/>
      <c r="AL987" s="2" t="s">
        <v>227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227</v>
      </c>
      <c r="AW987" s="8" t="s">
        <v>227</v>
      </c>
      <c r="AX987" s="4" t="s">
        <v>227</v>
      </c>
      <c r="AY987" s="8" t="s">
        <v>227</v>
      </c>
      <c r="AZ987" s="7" t="s">
        <v>227</v>
      </c>
      <c r="BA987" s="7" t="s">
        <v>227</v>
      </c>
      <c r="BB987" s="7" t="s">
        <v>227</v>
      </c>
      <c r="BC987" s="4" t="s">
        <v>227</v>
      </c>
      <c r="BD987" s="8" t="s">
        <v>227</v>
      </c>
      <c r="BE987" s="4" t="s">
        <v>227</v>
      </c>
      <c r="BF987" s="8" t="s">
        <v>227</v>
      </c>
      <c r="BG987" s="7" t="s">
        <v>227</v>
      </c>
      <c r="BH987" s="7" t="s">
        <v>227</v>
      </c>
      <c r="BI987" s="7"/>
      <c r="BJ987" s="4">
        <v>4</v>
      </c>
      <c r="BK987" s="8">
        <v>446.76</v>
      </c>
      <c r="BL987" s="2" t="s">
        <v>5771</v>
      </c>
      <c r="BM987" s="7"/>
      <c r="BN987" s="7"/>
      <c r="BO987" s="4"/>
      <c r="BP987" s="8"/>
      <c r="BQ987" s="4"/>
      <c r="BR987" s="8"/>
      <c r="BS987" s="7"/>
      <c r="BT987" s="7"/>
      <c r="BU987" s="2" t="s">
        <v>5772</v>
      </c>
      <c r="BV987" s="2" t="s">
        <v>227</v>
      </c>
      <c r="BW987" s="2" t="s">
        <v>227</v>
      </c>
      <c r="BX987" s="2" t="s">
        <v>235</v>
      </c>
      <c r="BY987" s="2" t="s">
        <v>236</v>
      </c>
      <c r="BZ987" s="2" t="s">
        <v>224</v>
      </c>
      <c r="CA987" s="2" t="s">
        <v>4597</v>
      </c>
      <c r="CB987" s="2" t="s">
        <v>1941</v>
      </c>
      <c r="CC987" s="2" t="s">
        <v>239</v>
      </c>
      <c r="CD987" s="2" t="s">
        <v>227</v>
      </c>
      <c r="CE987" s="4"/>
      <c r="CF987" s="4">
        <v>92</v>
      </c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/>
      <c r="FA987" s="4"/>
      <c r="FB987" s="4"/>
      <c r="FC987" s="4"/>
      <c r="FD987" s="4"/>
      <c r="FE987" s="4"/>
      <c r="FF987" s="4"/>
      <c r="FG987" s="4"/>
      <c r="FH987" s="4"/>
      <c r="FI987" s="4"/>
      <c r="FJ987" s="4"/>
      <c r="FK987" s="4"/>
      <c r="FL987" s="4"/>
      <c r="FM987" s="4"/>
      <c r="FN987" s="4"/>
      <c r="FO987" s="4"/>
      <c r="FP987" s="4"/>
      <c r="FQ987" s="4"/>
      <c r="FR987" s="4"/>
      <c r="FS987" s="4"/>
      <c r="FT987" s="4"/>
      <c r="FU987" s="4"/>
      <c r="FV987" s="4"/>
      <c r="FW987" s="4"/>
      <c r="FX987" s="4"/>
      <c r="FY987" s="4"/>
      <c r="FZ987" s="4"/>
      <c r="GA987" s="4"/>
      <c r="GB987" s="4"/>
      <c r="GC987" s="4"/>
      <c r="GD987" s="4"/>
      <c r="GE987" s="4"/>
      <c r="GF987" s="4"/>
      <c r="GG987" s="4">
        <v>60</v>
      </c>
      <c r="GH987" s="4"/>
      <c r="GI987" s="4"/>
      <c r="GJ987" s="4"/>
      <c r="GK987" s="4"/>
      <c r="GL987" s="4"/>
      <c r="GM987" s="4"/>
      <c r="GN987" s="4"/>
      <c r="GO987" s="4"/>
      <c r="GP987" s="4"/>
      <c r="GQ987" s="4"/>
      <c r="GR987" s="4"/>
      <c r="GS987" s="4"/>
      <c r="GT987" s="4"/>
      <c r="GU987" s="4"/>
      <c r="GV987" s="4"/>
      <c r="GW987" s="4"/>
      <c r="GX987" s="4"/>
    </row>
    <row r="988">
      <c r="A988" s="2" t="s">
        <v>5773</v>
      </c>
      <c r="B988" s="2" t="s">
        <v>573</v>
      </c>
      <c r="C988" s="2" t="s">
        <v>668</v>
      </c>
      <c r="D988" s="2" t="s">
        <v>1230</v>
      </c>
      <c r="E988" s="2" t="s">
        <v>1231</v>
      </c>
      <c r="F988" s="2" t="s">
        <v>5764</v>
      </c>
      <c r="G988" s="2" t="s">
        <v>5764</v>
      </c>
      <c r="H988" s="2" t="s">
        <v>5764</v>
      </c>
      <c r="I988" s="2" t="s">
        <v>5774</v>
      </c>
      <c r="J988" s="2" t="s">
        <v>548</v>
      </c>
      <c r="K988" s="2" t="s">
        <v>5770</v>
      </c>
      <c r="L988" s="3">
        <v>164.59</v>
      </c>
      <c r="M988" s="3">
        <v>172.82</v>
      </c>
      <c r="N988" s="3">
        <v>349</v>
      </c>
      <c r="O988" s="2" t="s">
        <v>224</v>
      </c>
      <c r="P988" s="2" t="s">
        <v>580</v>
      </c>
      <c r="Q988" s="2" t="s">
        <v>226</v>
      </c>
      <c r="R988" s="2" t="s">
        <v>227</v>
      </c>
      <c r="S988" s="2" t="s">
        <v>227</v>
      </c>
      <c r="T988" s="2" t="s">
        <v>227</v>
      </c>
      <c r="U988" s="2" t="s">
        <v>227</v>
      </c>
      <c r="V988" s="2" t="s">
        <v>230</v>
      </c>
      <c r="W988" s="2" t="s">
        <v>4968</v>
      </c>
      <c r="X988" s="2" t="s">
        <v>836</v>
      </c>
      <c r="Y988" s="2" t="s">
        <v>5775</v>
      </c>
      <c r="Z988" s="4">
        <v>95</v>
      </c>
      <c r="AA988" s="4">
        <f>=ROUNDDOWN(19,0)</f>
      </c>
      <c r="AB988" s="5">
        <v>5</v>
      </c>
      <c r="AC988" s="2" t="s">
        <v>862</v>
      </c>
      <c r="AD988" s="4">
        <v>70</v>
      </c>
      <c r="AE988" s="4">
        <v>70</v>
      </c>
      <c r="AF988" s="6">
        <v>74</v>
      </c>
      <c r="AG988" s="6">
        <v>60</v>
      </c>
      <c r="AH988" s="7">
        <v>1</v>
      </c>
      <c r="AI988" s="4"/>
      <c r="AJ988" s="4">
        <f>=ROUNDDOWN({0},0)</f>
      </c>
      <c r="AK988" s="5"/>
      <c r="AL988" s="2" t="s">
        <v>227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 t="s">
        <v>227</v>
      </c>
      <c r="AW988" s="8" t="s">
        <v>227</v>
      </c>
      <c r="AX988" s="4" t="s">
        <v>227</v>
      </c>
      <c r="AY988" s="8" t="s">
        <v>227</v>
      </c>
      <c r="AZ988" s="7" t="s">
        <v>227</v>
      </c>
      <c r="BA988" s="7" t="s">
        <v>227</v>
      </c>
      <c r="BB988" s="7" t="s">
        <v>227</v>
      </c>
      <c r="BC988" s="4" t="s">
        <v>227</v>
      </c>
      <c r="BD988" s="8" t="s">
        <v>227</v>
      </c>
      <c r="BE988" s="4" t="s">
        <v>227</v>
      </c>
      <c r="BF988" s="8" t="s">
        <v>227</v>
      </c>
      <c r="BG988" s="7" t="s">
        <v>227</v>
      </c>
      <c r="BH988" s="7" t="s">
        <v>227</v>
      </c>
      <c r="BI988" s="7"/>
      <c r="BJ988" s="4">
        <v>10</v>
      </c>
      <c r="BK988" s="8">
        <v>1651.32</v>
      </c>
      <c r="BL988" s="2" t="s">
        <v>5776</v>
      </c>
      <c r="BM988" s="7"/>
      <c r="BN988" s="7"/>
      <c r="BO988" s="4"/>
      <c r="BP988" s="8"/>
      <c r="BQ988" s="4"/>
      <c r="BR988" s="8"/>
      <c r="BS988" s="7"/>
      <c r="BT988" s="7"/>
      <c r="BU988" s="2" t="s">
        <v>5777</v>
      </c>
      <c r="BV988" s="2" t="s">
        <v>227</v>
      </c>
      <c r="BW988" s="2" t="s">
        <v>227</v>
      </c>
      <c r="BX988" s="2" t="s">
        <v>235</v>
      </c>
      <c r="BY988" s="2" t="s">
        <v>236</v>
      </c>
      <c r="BZ988" s="2" t="s">
        <v>224</v>
      </c>
      <c r="CA988" s="2" t="s">
        <v>5775</v>
      </c>
      <c r="CB988" s="2" t="s">
        <v>5778</v>
      </c>
      <c r="CC988" s="2" t="s">
        <v>239</v>
      </c>
      <c r="CD988" s="2" t="s">
        <v>227</v>
      </c>
      <c r="CE988" s="4"/>
      <c r="CF988" s="4">
        <v>92</v>
      </c>
      <c r="CG988" s="4"/>
      <c r="CH988" s="4">
        <v>3</v>
      </c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/>
      <c r="FA988" s="4"/>
      <c r="FB988" s="4"/>
      <c r="FC988" s="4"/>
      <c r="FD988" s="4"/>
      <c r="FE988" s="4"/>
      <c r="FF988" s="4"/>
      <c r="FG988" s="4"/>
      <c r="FH988" s="4"/>
      <c r="FI988" s="4"/>
      <c r="FJ988" s="4"/>
      <c r="FK988" s="4"/>
      <c r="FL988" s="4"/>
      <c r="FM988" s="4"/>
      <c r="FN988" s="4"/>
      <c r="FO988" s="4"/>
      <c r="FP988" s="4"/>
      <c r="FQ988" s="4"/>
      <c r="FR988" s="4"/>
      <c r="FS988" s="4"/>
      <c r="FT988" s="4"/>
      <c r="FU988" s="4"/>
      <c r="FV988" s="4"/>
      <c r="FW988" s="4"/>
      <c r="FX988" s="4"/>
      <c r="FY988" s="4"/>
      <c r="FZ988" s="4"/>
      <c r="GA988" s="4"/>
      <c r="GB988" s="4"/>
      <c r="GC988" s="4"/>
      <c r="GD988" s="4"/>
      <c r="GE988" s="4"/>
      <c r="GF988" s="4"/>
      <c r="GG988" s="4">
        <v>70</v>
      </c>
      <c r="GH988" s="4"/>
      <c r="GI988" s="4"/>
      <c r="GJ988" s="4"/>
      <c r="GK988" s="4"/>
      <c r="GL988" s="4"/>
      <c r="GM988" s="4"/>
      <c r="GN988" s="4"/>
      <c r="GO988" s="4"/>
      <c r="GP988" s="4"/>
      <c r="GQ988" s="4"/>
      <c r="GR988" s="4"/>
      <c r="GS988" s="4"/>
      <c r="GT988" s="4"/>
      <c r="GU988" s="4"/>
      <c r="GV988" s="4"/>
      <c r="GW988" s="4"/>
      <c r="GX988" s="4"/>
    </row>
    <row r="989">
      <c r="A989" s="2" t="s">
        <v>5779</v>
      </c>
      <c r="B989" s="2" t="s">
        <v>715</v>
      </c>
      <c r="C989" s="2" t="s">
        <v>1299</v>
      </c>
      <c r="D989" s="2" t="s">
        <v>716</v>
      </c>
      <c r="E989" s="2" t="s">
        <v>717</v>
      </c>
      <c r="F989" s="2" t="s">
        <v>5780</v>
      </c>
      <c r="G989" s="2" t="s">
        <v>4006</v>
      </c>
      <c r="H989" s="2" t="s">
        <v>4992</v>
      </c>
      <c r="I989" s="2" t="s">
        <v>5781</v>
      </c>
      <c r="J989" s="2" t="s">
        <v>848</v>
      </c>
      <c r="K989" s="2" t="s">
        <v>976</v>
      </c>
      <c r="L989" s="3">
        <v>12.3</v>
      </c>
      <c r="M989" s="3">
        <v>12.92</v>
      </c>
      <c r="N989" s="3">
        <v>29.99</v>
      </c>
      <c r="O989" s="2" t="s">
        <v>224</v>
      </c>
      <c r="P989" s="2" t="s">
        <v>225</v>
      </c>
      <c r="Q989" s="2" t="s">
        <v>226</v>
      </c>
      <c r="R989" s="2" t="s">
        <v>227</v>
      </c>
      <c r="S989" s="2" t="s">
        <v>5782</v>
      </c>
      <c r="T989" s="2" t="s">
        <v>227</v>
      </c>
      <c r="U989" s="2" t="s">
        <v>552</v>
      </c>
      <c r="V989" s="2" t="s">
        <v>2232</v>
      </c>
      <c r="W989" s="2" t="s">
        <v>231</v>
      </c>
      <c r="X989" s="2" t="s">
        <v>725</v>
      </c>
      <c r="Y989" s="2" t="s">
        <v>5783</v>
      </c>
      <c r="Z989" s="4">
        <v>21</v>
      </c>
      <c r="AA989" s="4">
        <f>=ROUNDDOWN(1.10526315789474,0)</f>
      </c>
      <c r="AB989" s="5">
        <v>19</v>
      </c>
      <c r="AC989" s="2" t="s">
        <v>182</v>
      </c>
      <c r="AD989" s="4">
        <v>192</v>
      </c>
      <c r="AE989" s="4">
        <v>476</v>
      </c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227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 t="s">
        <v>227</v>
      </c>
      <c r="AW989" s="8" t="s">
        <v>227</v>
      </c>
      <c r="AX989" s="4" t="s">
        <v>227</v>
      </c>
      <c r="AY989" s="8" t="s">
        <v>227</v>
      </c>
      <c r="AZ989" s="7" t="s">
        <v>227</v>
      </c>
      <c r="BA989" s="7" t="s">
        <v>227</v>
      </c>
      <c r="BB989" s="7"/>
      <c r="BC989" s="4" t="s">
        <v>227</v>
      </c>
      <c r="BD989" s="8" t="s">
        <v>227</v>
      </c>
      <c r="BE989" s="4" t="s">
        <v>227</v>
      </c>
      <c r="BF989" s="8" t="s">
        <v>227</v>
      </c>
      <c r="BG989" s="7" t="s">
        <v>227</v>
      </c>
      <c r="BH989" s="7" t="s">
        <v>227</v>
      </c>
      <c r="BI989" s="7"/>
      <c r="BJ989" s="4">
        <v>52</v>
      </c>
      <c r="BK989" s="8">
        <v>704.52</v>
      </c>
      <c r="BL989" s="2" t="s">
        <v>5784</v>
      </c>
      <c r="BM989" s="7"/>
      <c r="BN989" s="7"/>
      <c r="BO989" s="4"/>
      <c r="BP989" s="8"/>
      <c r="BQ989" s="4"/>
      <c r="BR989" s="8"/>
      <c r="BS989" s="7"/>
      <c r="BT989" s="7"/>
      <c r="BU989" s="2" t="s">
        <v>5785</v>
      </c>
      <c r="BV989" s="2" t="s">
        <v>227</v>
      </c>
      <c r="BW989" s="2" t="s">
        <v>227</v>
      </c>
      <c r="BX989" s="2" t="s">
        <v>235</v>
      </c>
      <c r="BY989" s="2" t="s">
        <v>236</v>
      </c>
      <c r="BZ989" s="2" t="s">
        <v>224</v>
      </c>
      <c r="CA989" s="2" t="s">
        <v>3198</v>
      </c>
      <c r="CB989" s="2" t="s">
        <v>5786</v>
      </c>
      <c r="CC989" s="2" t="s">
        <v>239</v>
      </c>
      <c r="CD989" s="2" t="s">
        <v>227</v>
      </c>
      <c r="CE989" s="4">
        <v>21</v>
      </c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/>
      <c r="FB989" s="4"/>
      <c r="FC989" s="4"/>
      <c r="FD989" s="4"/>
      <c r="FE989" s="4"/>
      <c r="FF989" s="4"/>
      <c r="FG989" s="4"/>
      <c r="FH989" s="4"/>
      <c r="FI989" s="4"/>
      <c r="FJ989" s="4"/>
      <c r="FK989" s="4"/>
      <c r="FL989" s="4"/>
      <c r="FM989" s="4"/>
      <c r="FN989" s="4"/>
      <c r="FO989" s="4"/>
      <c r="FP989" s="4"/>
      <c r="FQ989" s="4"/>
      <c r="FR989" s="4">
        <v>192</v>
      </c>
      <c r="FS989" s="4"/>
      <c r="FT989" s="4"/>
      <c r="FU989" s="4"/>
      <c r="FV989" s="4"/>
      <c r="FW989" s="4">
        <v>124</v>
      </c>
      <c r="FX989" s="4"/>
      <c r="FY989" s="4"/>
      <c r="FZ989" s="4"/>
      <c r="GA989" s="4"/>
      <c r="GB989" s="4"/>
      <c r="GC989" s="4"/>
      <c r="GD989" s="4"/>
      <c r="GE989" s="4"/>
      <c r="GF989" s="4"/>
      <c r="GG989" s="4"/>
      <c r="GH989" s="4"/>
      <c r="GI989" s="4"/>
      <c r="GJ989" s="4"/>
      <c r="GK989" s="4"/>
      <c r="GL989" s="4"/>
      <c r="GM989" s="4"/>
      <c r="GN989" s="4"/>
      <c r="GO989" s="4"/>
      <c r="GP989" s="4"/>
      <c r="GQ989" s="4"/>
      <c r="GR989" s="4"/>
      <c r="GS989" s="4">
        <v>160</v>
      </c>
      <c r="GT989" s="4"/>
      <c r="GU989" s="4"/>
      <c r="GV989" s="4"/>
      <c r="GW989" s="4"/>
      <c r="GX989" s="4"/>
    </row>
    <row r="990">
      <c r="A990" s="2" t="s">
        <v>5787</v>
      </c>
      <c r="B990" s="2" t="s">
        <v>715</v>
      </c>
      <c r="C990" s="2" t="s">
        <v>1299</v>
      </c>
      <c r="D990" s="2" t="s">
        <v>716</v>
      </c>
      <c r="E990" s="2" t="s">
        <v>717</v>
      </c>
      <c r="F990" s="2" t="s">
        <v>5780</v>
      </c>
      <c r="G990" s="2" t="s">
        <v>4006</v>
      </c>
      <c r="H990" s="2" t="s">
        <v>4992</v>
      </c>
      <c r="I990" s="2" t="s">
        <v>5781</v>
      </c>
      <c r="J990" s="2" t="s">
        <v>722</v>
      </c>
      <c r="K990" s="2" t="s">
        <v>976</v>
      </c>
      <c r="L990" s="3">
        <v>14</v>
      </c>
      <c r="M990" s="3">
        <v>14.7</v>
      </c>
      <c r="N990" s="3">
        <v>34.99</v>
      </c>
      <c r="O990" s="2" t="s">
        <v>224</v>
      </c>
      <c r="P990" s="2" t="s">
        <v>225</v>
      </c>
      <c r="Q990" s="2" t="s">
        <v>226</v>
      </c>
      <c r="R990" s="2" t="s">
        <v>227</v>
      </c>
      <c r="S990" s="2" t="s">
        <v>5782</v>
      </c>
      <c r="T990" s="2" t="s">
        <v>227</v>
      </c>
      <c r="U990" s="2" t="s">
        <v>552</v>
      </c>
      <c r="V990" s="2" t="s">
        <v>2232</v>
      </c>
      <c r="W990" s="2" t="s">
        <v>231</v>
      </c>
      <c r="X990" s="2" t="s">
        <v>725</v>
      </c>
      <c r="Y990" s="2" t="s">
        <v>5783</v>
      </c>
      <c r="Z990" s="4">
        <v>293</v>
      </c>
      <c r="AA990" s="4">
        <f>=ROUNDDOWN(9.45161290322581,0)</f>
      </c>
      <c r="AB990" s="5">
        <v>31</v>
      </c>
      <c r="AC990" s="2" t="s">
        <v>182</v>
      </c>
      <c r="AD990" s="4">
        <v>40</v>
      </c>
      <c r="AE990" s="4">
        <v>748</v>
      </c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227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 t="s">
        <v>227</v>
      </c>
      <c r="AW990" s="8" t="s">
        <v>227</v>
      </c>
      <c r="AX990" s="4" t="s">
        <v>227</v>
      </c>
      <c r="AY990" s="8" t="s">
        <v>227</v>
      </c>
      <c r="AZ990" s="7" t="s">
        <v>227</v>
      </c>
      <c r="BA990" s="7" t="s">
        <v>227</v>
      </c>
      <c r="BB990" s="7"/>
      <c r="BC990" s="4" t="s">
        <v>227</v>
      </c>
      <c r="BD990" s="8" t="s">
        <v>227</v>
      </c>
      <c r="BE990" s="4" t="s">
        <v>227</v>
      </c>
      <c r="BF990" s="8" t="s">
        <v>227</v>
      </c>
      <c r="BG990" s="7" t="s">
        <v>227</v>
      </c>
      <c r="BH990" s="7" t="s">
        <v>227</v>
      </c>
      <c r="BI990" s="7"/>
      <c r="BJ990" s="4">
        <v>185</v>
      </c>
      <c r="BK990" s="8">
        <v>2839.44</v>
      </c>
      <c r="BL990" s="2" t="s">
        <v>5788</v>
      </c>
      <c r="BM990" s="7"/>
      <c r="BN990" s="7"/>
      <c r="BO990" s="4"/>
      <c r="BP990" s="8"/>
      <c r="BQ990" s="4"/>
      <c r="BR990" s="8"/>
      <c r="BS990" s="7"/>
      <c r="BT990" s="7"/>
      <c r="BU990" s="2" t="s">
        <v>5789</v>
      </c>
      <c r="BV990" s="2" t="s">
        <v>227</v>
      </c>
      <c r="BW990" s="2" t="s">
        <v>227</v>
      </c>
      <c r="BX990" s="2" t="s">
        <v>235</v>
      </c>
      <c r="BY990" s="2" t="s">
        <v>236</v>
      </c>
      <c r="BZ990" s="2" t="s">
        <v>224</v>
      </c>
      <c r="CA990" s="2" t="s">
        <v>3198</v>
      </c>
      <c r="CB990" s="2" t="s">
        <v>1228</v>
      </c>
      <c r="CC990" s="2" t="s">
        <v>239</v>
      </c>
      <c r="CD990" s="2" t="s">
        <v>227</v>
      </c>
      <c r="CE990" s="4">
        <v>293</v>
      </c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/>
      <c r="FB990" s="4"/>
      <c r="FC990" s="4"/>
      <c r="FD990" s="4"/>
      <c r="FE990" s="4"/>
      <c r="FF990" s="4"/>
      <c r="FG990" s="4"/>
      <c r="FH990" s="4"/>
      <c r="FI990" s="4"/>
      <c r="FJ990" s="4"/>
      <c r="FK990" s="4"/>
      <c r="FL990" s="4"/>
      <c r="FM990" s="4"/>
      <c r="FN990" s="4"/>
      <c r="FO990" s="4"/>
      <c r="FP990" s="4"/>
      <c r="FQ990" s="4"/>
      <c r="FR990" s="4">
        <v>40</v>
      </c>
      <c r="FS990" s="4"/>
      <c r="FT990" s="4"/>
      <c r="FU990" s="4"/>
      <c r="FV990" s="4"/>
      <c r="FW990" s="4">
        <v>448</v>
      </c>
      <c r="FX990" s="4"/>
      <c r="FY990" s="4"/>
      <c r="FZ990" s="4"/>
      <c r="GA990" s="4"/>
      <c r="GB990" s="4"/>
      <c r="GC990" s="4"/>
      <c r="GD990" s="4"/>
      <c r="GE990" s="4"/>
      <c r="GF990" s="4"/>
      <c r="GG990" s="4"/>
      <c r="GH990" s="4"/>
      <c r="GI990" s="4"/>
      <c r="GJ990" s="4"/>
      <c r="GK990" s="4"/>
      <c r="GL990" s="4"/>
      <c r="GM990" s="4"/>
      <c r="GN990" s="4"/>
      <c r="GO990" s="4"/>
      <c r="GP990" s="4"/>
      <c r="GQ990" s="4"/>
      <c r="GR990" s="4"/>
      <c r="GS990" s="4">
        <v>260</v>
      </c>
      <c r="GT990" s="4"/>
      <c r="GU990" s="4"/>
      <c r="GV990" s="4"/>
      <c r="GW990" s="4"/>
      <c r="GX990" s="4"/>
    </row>
    <row r="991">
      <c r="A991" s="2" t="s">
        <v>5790</v>
      </c>
      <c r="B991" s="2" t="s">
        <v>744</v>
      </c>
      <c r="C991" s="2" t="s">
        <v>360</v>
      </c>
      <c r="D991" s="2" t="s">
        <v>745</v>
      </c>
      <c r="E991" s="2" t="s">
        <v>746</v>
      </c>
      <c r="F991" s="2" t="s">
        <v>5791</v>
      </c>
      <c r="G991" s="2" t="s">
        <v>5791</v>
      </c>
      <c r="H991" s="2" t="s">
        <v>5791</v>
      </c>
      <c r="I991" s="2" t="s">
        <v>5792</v>
      </c>
      <c r="J991" s="2" t="s">
        <v>5793</v>
      </c>
      <c r="K991" s="2" t="s">
        <v>1067</v>
      </c>
      <c r="L991" s="3">
        <v>24</v>
      </c>
      <c r="M991" s="3">
        <v>25.2</v>
      </c>
      <c r="N991" s="3">
        <v>49.99</v>
      </c>
      <c r="O991" s="2" t="s">
        <v>224</v>
      </c>
      <c r="P991" s="2" t="s">
        <v>550</v>
      </c>
      <c r="Q991" s="2" t="s">
        <v>226</v>
      </c>
      <c r="R991" s="2" t="s">
        <v>227</v>
      </c>
      <c r="S991" s="2" t="s">
        <v>5794</v>
      </c>
      <c r="T991" s="2" t="s">
        <v>227</v>
      </c>
      <c r="U991" s="2" t="s">
        <v>227</v>
      </c>
      <c r="V991" s="2" t="s">
        <v>288</v>
      </c>
      <c r="W991" s="2" t="s">
        <v>231</v>
      </c>
      <c r="X991" s="2" t="s">
        <v>227</v>
      </c>
      <c r="Y991" s="2" t="s">
        <v>232</v>
      </c>
      <c r="Z991" s="4">
        <v>295</v>
      </c>
      <c r="AA991" s="4">
        <f>=ROUNDDOWN(21.0714285714286,0)</f>
      </c>
      <c r="AB991" s="5">
        <v>14</v>
      </c>
      <c r="AC991" s="2" t="s">
        <v>752</v>
      </c>
      <c r="AD991" s="4">
        <v>100</v>
      </c>
      <c r="AE991" s="4">
        <v>240</v>
      </c>
      <c r="AF991" s="6">
        <v>67</v>
      </c>
      <c r="AG991" s="6"/>
      <c r="AH991" s="7">
        <v>1</v>
      </c>
      <c r="AI991" s="4"/>
      <c r="AJ991" s="4">
        <f>=ROUNDDOWN({0},0)</f>
      </c>
      <c r="AK991" s="5"/>
      <c r="AL991" s="2" t="s">
        <v>227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/>
      <c r="AW991" s="8"/>
      <c r="AX991" s="4"/>
      <c r="AY991" s="8"/>
      <c r="AZ991" s="7"/>
      <c r="BA991" s="7"/>
      <c r="BB991" s="7"/>
      <c r="BC991" s="4"/>
      <c r="BD991" s="8"/>
      <c r="BE991" s="4"/>
      <c r="BF991" s="8"/>
      <c r="BG991" s="7"/>
      <c r="BH991" s="7"/>
      <c r="BI991" s="7"/>
      <c r="BJ991" s="4">
        <v>77</v>
      </c>
      <c r="BK991" s="8">
        <v>2072.61</v>
      </c>
      <c r="BL991" s="2" t="s">
        <v>5795</v>
      </c>
      <c r="BM991" s="7"/>
      <c r="BN991" s="7"/>
      <c r="BO991" s="4"/>
      <c r="BP991" s="8"/>
      <c r="BQ991" s="4"/>
      <c r="BR991" s="8"/>
      <c r="BS991" s="7"/>
      <c r="BT991" s="7"/>
      <c r="BU991" s="2" t="s">
        <v>5796</v>
      </c>
      <c r="BV991" s="2" t="s">
        <v>227</v>
      </c>
      <c r="BW991" s="2" t="s">
        <v>227</v>
      </c>
      <c r="BX991" s="2" t="s">
        <v>235</v>
      </c>
      <c r="BY991" s="2" t="s">
        <v>236</v>
      </c>
      <c r="BZ991" s="2" t="s">
        <v>224</v>
      </c>
      <c r="CA991" s="2" t="s">
        <v>1088</v>
      </c>
      <c r="CB991" s="2" t="s">
        <v>5797</v>
      </c>
      <c r="CC991" s="2" t="s">
        <v>239</v>
      </c>
      <c r="CD991" s="2" t="s">
        <v>227</v>
      </c>
      <c r="CE991" s="4">
        <v>295</v>
      </c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>
        <v>100</v>
      </c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/>
      <c r="FB991" s="4"/>
      <c r="FC991" s="4"/>
      <c r="FD991" s="4"/>
      <c r="FE991" s="4"/>
      <c r="FF991" s="4"/>
      <c r="FG991" s="4"/>
      <c r="FH991" s="4"/>
      <c r="FI991" s="4"/>
      <c r="FJ991" s="4"/>
      <c r="FK991" s="4"/>
      <c r="FL991" s="4"/>
      <c r="FM991" s="4"/>
      <c r="FN991" s="4"/>
      <c r="FO991" s="4"/>
      <c r="FP991" s="4"/>
      <c r="FQ991" s="4"/>
      <c r="FR991" s="4"/>
      <c r="FS991" s="4"/>
      <c r="FT991" s="4"/>
      <c r="FU991" s="4"/>
      <c r="FV991" s="4"/>
      <c r="FW991" s="4"/>
      <c r="FX991" s="4"/>
      <c r="FY991" s="4"/>
      <c r="FZ991" s="4"/>
      <c r="GA991" s="4"/>
      <c r="GB991" s="4"/>
      <c r="GC991" s="4"/>
      <c r="GD991" s="4"/>
      <c r="GE991" s="4"/>
      <c r="GF991" s="4"/>
      <c r="GG991" s="4"/>
      <c r="GH991" s="4"/>
      <c r="GI991" s="4"/>
      <c r="GJ991" s="4"/>
      <c r="GK991" s="4"/>
      <c r="GL991" s="4"/>
      <c r="GM991" s="4"/>
      <c r="GN991" s="4"/>
      <c r="GO991" s="4"/>
      <c r="GP991" s="4"/>
      <c r="GQ991" s="4"/>
      <c r="GR991" s="4"/>
      <c r="GS991" s="4"/>
      <c r="GT991" s="4"/>
      <c r="GU991" s="4">
        <v>140</v>
      </c>
      <c r="GV991" s="4"/>
      <c r="GW991" s="4"/>
      <c r="GX991" s="4"/>
    </row>
    <row r="992">
      <c r="A992" s="2" t="s">
        <v>5798</v>
      </c>
      <c r="B992" s="2" t="s">
        <v>514</v>
      </c>
      <c r="C992" s="2" t="s">
        <v>360</v>
      </c>
      <c r="D992" s="2" t="s">
        <v>516</v>
      </c>
      <c r="E992" s="2" t="s">
        <v>517</v>
      </c>
      <c r="F992" s="2" t="s">
        <v>5799</v>
      </c>
      <c r="G992" s="2" t="s">
        <v>5799</v>
      </c>
      <c r="H992" s="2" t="s">
        <v>5799</v>
      </c>
      <c r="I992" s="2" t="s">
        <v>5800</v>
      </c>
      <c r="J992" s="2" t="s">
        <v>593</v>
      </c>
      <c r="K992" s="2" t="s">
        <v>1242</v>
      </c>
      <c r="L992" s="3">
        <v>24</v>
      </c>
      <c r="M992" s="3">
        <v>25.2</v>
      </c>
      <c r="N992" s="3">
        <v>49.99</v>
      </c>
      <c r="O992" s="2" t="s">
        <v>224</v>
      </c>
      <c r="P992" s="2" t="s">
        <v>225</v>
      </c>
      <c r="Q992" s="2" t="s">
        <v>226</v>
      </c>
      <c r="R992" s="2" t="s">
        <v>227</v>
      </c>
      <c r="S992" s="2" t="s">
        <v>5801</v>
      </c>
      <c r="T992" s="2" t="s">
        <v>286</v>
      </c>
      <c r="U992" s="2" t="s">
        <v>594</v>
      </c>
      <c r="V992" s="2" t="s">
        <v>230</v>
      </c>
      <c r="W992" s="2" t="s">
        <v>836</v>
      </c>
      <c r="X992" s="2" t="s">
        <v>227</v>
      </c>
      <c r="Y992" s="2" t="s">
        <v>5802</v>
      </c>
      <c r="Z992" s="4"/>
      <c r="AA992" s="4">
        <f>=ROUNDDOWN({0},0)</f>
      </c>
      <c r="AB992" s="5">
        <v>80</v>
      </c>
      <c r="AC992" s="2" t="s">
        <v>366</v>
      </c>
      <c r="AD992" s="4">
        <v>840</v>
      </c>
      <c r="AE992" s="4">
        <v>2320</v>
      </c>
      <c r="AF992" s="6">
        <v>73</v>
      </c>
      <c r="AG992" s="6"/>
      <c r="AH992" s="7">
        <v>0.5161</v>
      </c>
      <c r="AI992" s="4"/>
      <c r="AJ992" s="4">
        <f>=ROUNDDOWN({0},0)</f>
      </c>
      <c r="AK992" s="5"/>
      <c r="AL992" s="2" t="s">
        <v>227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/>
      <c r="AW992" s="8"/>
      <c r="AX992" s="4"/>
      <c r="AY992" s="8"/>
      <c r="AZ992" s="7"/>
      <c r="BA992" s="7"/>
      <c r="BB992" s="7"/>
      <c r="BC992" s="4" t="s">
        <v>227</v>
      </c>
      <c r="BD992" s="8" t="s">
        <v>227</v>
      </c>
      <c r="BE992" s="4" t="s">
        <v>227</v>
      </c>
      <c r="BF992" s="8" t="s">
        <v>227</v>
      </c>
      <c r="BG992" s="7" t="s">
        <v>227</v>
      </c>
      <c r="BH992" s="7" t="s">
        <v>227</v>
      </c>
      <c r="BI992" s="7"/>
      <c r="BJ992" s="4">
        <v>233</v>
      </c>
      <c r="BK992" s="8">
        <v>5923.51</v>
      </c>
      <c r="BL992" s="2" t="s">
        <v>5803</v>
      </c>
      <c r="BM992" s="7"/>
      <c r="BN992" s="7"/>
      <c r="BO992" s="4"/>
      <c r="BP992" s="8"/>
      <c r="BQ992" s="4"/>
      <c r="BR992" s="8"/>
      <c r="BS992" s="7"/>
      <c r="BT992" s="7"/>
      <c r="BU992" s="2" t="s">
        <v>5804</v>
      </c>
      <c r="BV992" s="2" t="s">
        <v>227</v>
      </c>
      <c r="BW992" s="2" t="s">
        <v>227</v>
      </c>
      <c r="BX992" s="2" t="s">
        <v>711</v>
      </c>
      <c r="BY992" s="2" t="s">
        <v>236</v>
      </c>
      <c r="BZ992" s="2" t="s">
        <v>224</v>
      </c>
      <c r="CA992" s="2" t="s">
        <v>5802</v>
      </c>
      <c r="CB992" s="2" t="s">
        <v>5805</v>
      </c>
      <c r="CC992" s="2" t="s">
        <v>239</v>
      </c>
      <c r="CD992" s="2" t="s">
        <v>227</v>
      </c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/>
      <c r="FB992" s="4"/>
      <c r="FC992" s="4"/>
      <c r="FD992" s="4"/>
      <c r="FE992" s="4"/>
      <c r="FF992" s="4"/>
      <c r="FG992" s="4"/>
      <c r="FH992" s="4"/>
      <c r="FI992" s="4"/>
      <c r="FJ992" s="4">
        <v>840</v>
      </c>
      <c r="FK992" s="4"/>
      <c r="FL992" s="4"/>
      <c r="FM992" s="4"/>
      <c r="FN992" s="4"/>
      <c r="FO992" s="4"/>
      <c r="FP992" s="4">
        <v>420</v>
      </c>
      <c r="FQ992" s="4"/>
      <c r="FR992" s="4"/>
      <c r="FS992" s="4"/>
      <c r="FT992" s="4"/>
      <c r="FU992" s="4"/>
      <c r="FV992" s="4"/>
      <c r="FW992" s="4"/>
      <c r="FX992" s="4"/>
      <c r="FY992" s="4"/>
      <c r="FZ992" s="4"/>
      <c r="GA992" s="4">
        <v>420</v>
      </c>
      <c r="GB992" s="4"/>
      <c r="GC992" s="4"/>
      <c r="GD992" s="4"/>
      <c r="GE992" s="4"/>
      <c r="GF992" s="4"/>
      <c r="GG992" s="4"/>
      <c r="GH992" s="4"/>
      <c r="GI992" s="4"/>
      <c r="GJ992" s="4"/>
      <c r="GK992" s="4"/>
      <c r="GL992" s="4"/>
      <c r="GM992" s="4"/>
      <c r="GN992" s="4"/>
      <c r="GO992" s="4"/>
      <c r="GP992" s="4"/>
      <c r="GQ992" s="4"/>
      <c r="GR992" s="4"/>
      <c r="GS992" s="4"/>
      <c r="GT992" s="4"/>
      <c r="GU992" s="4">
        <v>640</v>
      </c>
      <c r="GV992" s="4"/>
      <c r="GW992" s="4"/>
      <c r="GX992" s="4"/>
    </row>
    <row r="993">
      <c r="A993" s="2" t="s">
        <v>5806</v>
      </c>
      <c r="B993" s="2" t="s">
        <v>514</v>
      </c>
      <c r="C993" s="2" t="s">
        <v>360</v>
      </c>
      <c r="D993" s="2" t="s">
        <v>516</v>
      </c>
      <c r="E993" s="2" t="s">
        <v>517</v>
      </c>
      <c r="F993" s="2" t="s">
        <v>5799</v>
      </c>
      <c r="G993" s="2" t="s">
        <v>5799</v>
      </c>
      <c r="H993" s="2" t="s">
        <v>5799</v>
      </c>
      <c r="I993" s="2" t="s">
        <v>5800</v>
      </c>
      <c r="J993" s="2" t="s">
        <v>593</v>
      </c>
      <c r="K993" s="2" t="s">
        <v>410</v>
      </c>
      <c r="L993" s="3">
        <v>24</v>
      </c>
      <c r="M993" s="3">
        <v>25.2</v>
      </c>
      <c r="N993" s="3">
        <v>49.99</v>
      </c>
      <c r="O993" s="2" t="s">
        <v>224</v>
      </c>
      <c r="P993" s="2" t="s">
        <v>485</v>
      </c>
      <c r="Q993" s="2" t="s">
        <v>226</v>
      </c>
      <c r="R993" s="2" t="s">
        <v>227</v>
      </c>
      <c r="S993" s="2" t="s">
        <v>5801</v>
      </c>
      <c r="T993" s="2" t="s">
        <v>227</v>
      </c>
      <c r="U993" s="2" t="s">
        <v>594</v>
      </c>
      <c r="V993" s="2" t="s">
        <v>230</v>
      </c>
      <c r="W993" s="2" t="s">
        <v>836</v>
      </c>
      <c r="X993" s="2" t="s">
        <v>227</v>
      </c>
      <c r="Y993" s="2" t="s">
        <v>3959</v>
      </c>
      <c r="Z993" s="4">
        <v>878</v>
      </c>
      <c r="AA993" s="4">
        <f>=ROUNDDOWN(23.1052631578947,0)</f>
      </c>
      <c r="AB993" s="5">
        <v>38</v>
      </c>
      <c r="AC993" s="2" t="s">
        <v>366</v>
      </c>
      <c r="AD993" s="4">
        <v>420</v>
      </c>
      <c r="AE993" s="4">
        <v>1050</v>
      </c>
      <c r="AF993" s="6">
        <v>73</v>
      </c>
      <c r="AG993" s="6"/>
      <c r="AH993" s="7">
        <v>1</v>
      </c>
      <c r="AI993" s="4"/>
      <c r="AJ993" s="4">
        <f>=ROUNDDOWN({0},0)</f>
      </c>
      <c r="AK993" s="5"/>
      <c r="AL993" s="2" t="s">
        <v>227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/>
      <c r="AW993" s="8"/>
      <c r="AX993" s="4"/>
      <c r="AY993" s="8"/>
      <c r="AZ993" s="7"/>
      <c r="BA993" s="7"/>
      <c r="BB993" s="7"/>
      <c r="BC993" s="4" t="s">
        <v>227</v>
      </c>
      <c r="BD993" s="8" t="s">
        <v>227</v>
      </c>
      <c r="BE993" s="4" t="s">
        <v>227</v>
      </c>
      <c r="BF993" s="8" t="s">
        <v>227</v>
      </c>
      <c r="BG993" s="7" t="s">
        <v>227</v>
      </c>
      <c r="BH993" s="7" t="s">
        <v>227</v>
      </c>
      <c r="BI993" s="7"/>
      <c r="BJ993" s="4">
        <v>185</v>
      </c>
      <c r="BK993" s="8">
        <v>4574.59</v>
      </c>
      <c r="BL993" s="2" t="s">
        <v>5807</v>
      </c>
      <c r="BM993" s="7"/>
      <c r="BN993" s="7"/>
      <c r="BO993" s="4"/>
      <c r="BP993" s="8"/>
      <c r="BQ993" s="4"/>
      <c r="BR993" s="8"/>
      <c r="BS993" s="7"/>
      <c r="BT993" s="7"/>
      <c r="BU993" s="2" t="s">
        <v>5808</v>
      </c>
      <c r="BV993" s="2" t="s">
        <v>227</v>
      </c>
      <c r="BW993" s="2" t="s">
        <v>227</v>
      </c>
      <c r="BX993" s="2" t="s">
        <v>711</v>
      </c>
      <c r="BY993" s="2" t="s">
        <v>236</v>
      </c>
      <c r="BZ993" s="2" t="s">
        <v>224</v>
      </c>
      <c r="CA993" s="2" t="s">
        <v>1137</v>
      </c>
      <c r="CB993" s="2" t="s">
        <v>2236</v>
      </c>
      <c r="CC993" s="2" t="s">
        <v>239</v>
      </c>
      <c r="CD993" s="2" t="s">
        <v>227</v>
      </c>
      <c r="CE993" s="4">
        <v>878</v>
      </c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/>
      <c r="FB993" s="4"/>
      <c r="FC993" s="4"/>
      <c r="FD993" s="4"/>
      <c r="FE993" s="4"/>
      <c r="FF993" s="4"/>
      <c r="FG993" s="4"/>
      <c r="FH993" s="4"/>
      <c r="FI993" s="4"/>
      <c r="FJ993" s="4">
        <v>420</v>
      </c>
      <c r="FK993" s="4"/>
      <c r="FL993" s="4"/>
      <c r="FM993" s="4"/>
      <c r="FN993" s="4"/>
      <c r="FO993" s="4"/>
      <c r="FP993" s="4"/>
      <c r="FQ993" s="4"/>
      <c r="FR993" s="4"/>
      <c r="FS993" s="4"/>
      <c r="FT993" s="4"/>
      <c r="FU993" s="4"/>
      <c r="FV993" s="4"/>
      <c r="FW993" s="4"/>
      <c r="FX993" s="4"/>
      <c r="FY993" s="4"/>
      <c r="FZ993" s="4"/>
      <c r="GA993" s="4">
        <v>210</v>
      </c>
      <c r="GB993" s="4"/>
      <c r="GC993" s="4"/>
      <c r="GD993" s="4"/>
      <c r="GE993" s="4"/>
      <c r="GF993" s="4"/>
      <c r="GG993" s="4"/>
      <c r="GH993" s="4"/>
      <c r="GI993" s="4"/>
      <c r="GJ993" s="4"/>
      <c r="GK993" s="4"/>
      <c r="GL993" s="4"/>
      <c r="GM993" s="4"/>
      <c r="GN993" s="4"/>
      <c r="GO993" s="4"/>
      <c r="GP993" s="4"/>
      <c r="GQ993" s="4"/>
      <c r="GR993" s="4"/>
      <c r="GS993" s="4"/>
      <c r="GT993" s="4"/>
      <c r="GU993" s="4">
        <v>420</v>
      </c>
      <c r="GV993" s="4"/>
      <c r="GW993" s="4"/>
      <c r="GX993" s="4"/>
    </row>
    <row r="994">
      <c r="A994" s="2" t="s">
        <v>5809</v>
      </c>
      <c r="B994" s="2" t="s">
        <v>514</v>
      </c>
      <c r="C994" s="2" t="s">
        <v>360</v>
      </c>
      <c r="D994" s="2" t="s">
        <v>516</v>
      </c>
      <c r="E994" s="2" t="s">
        <v>517</v>
      </c>
      <c r="F994" s="2" t="s">
        <v>5799</v>
      </c>
      <c r="G994" s="2" t="s">
        <v>5799</v>
      </c>
      <c r="H994" s="2" t="s">
        <v>5799</v>
      </c>
      <c r="I994" s="2" t="s">
        <v>5800</v>
      </c>
      <c r="J994" s="2" t="s">
        <v>593</v>
      </c>
      <c r="K994" s="2" t="s">
        <v>1577</v>
      </c>
      <c r="L994" s="3">
        <v>24</v>
      </c>
      <c r="M994" s="3">
        <v>25.2</v>
      </c>
      <c r="N994" s="3">
        <v>49.99</v>
      </c>
      <c r="O994" s="2" t="s">
        <v>224</v>
      </c>
      <c r="P994" s="2" t="s">
        <v>225</v>
      </c>
      <c r="Q994" s="2" t="s">
        <v>226</v>
      </c>
      <c r="R994" s="2" t="s">
        <v>227</v>
      </c>
      <c r="S994" s="2" t="s">
        <v>5801</v>
      </c>
      <c r="T994" s="2" t="s">
        <v>286</v>
      </c>
      <c r="U994" s="2" t="s">
        <v>594</v>
      </c>
      <c r="V994" s="2" t="s">
        <v>230</v>
      </c>
      <c r="W994" s="2" t="s">
        <v>836</v>
      </c>
      <c r="X994" s="2" t="s">
        <v>231</v>
      </c>
      <c r="Y994" s="2" t="s">
        <v>5013</v>
      </c>
      <c r="Z994" s="4"/>
      <c r="AA994" s="4">
        <f>=ROUNDDOWN({0},0)</f>
      </c>
      <c r="AB994" s="5">
        <v>54</v>
      </c>
      <c r="AC994" s="2" t="s">
        <v>5810</v>
      </c>
      <c r="AD994" s="4">
        <v>420</v>
      </c>
      <c r="AE994" s="4">
        <v>1890</v>
      </c>
      <c r="AF994" s="6">
        <v>73</v>
      </c>
      <c r="AG994" s="6"/>
      <c r="AH994" s="7">
        <v>0.4194</v>
      </c>
      <c r="AI994" s="4"/>
      <c r="AJ994" s="4">
        <f>=ROUNDDOWN({0},0)</f>
      </c>
      <c r="AK994" s="5"/>
      <c r="AL994" s="2" t="s">
        <v>227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/>
      <c r="AW994" s="8"/>
      <c r="AX994" s="4"/>
      <c r="AY994" s="8"/>
      <c r="AZ994" s="7"/>
      <c r="BA994" s="7"/>
      <c r="BB994" s="7"/>
      <c r="BC994" s="4" t="s">
        <v>227</v>
      </c>
      <c r="BD994" s="8" t="s">
        <v>227</v>
      </c>
      <c r="BE994" s="4" t="s">
        <v>227</v>
      </c>
      <c r="BF994" s="8" t="s">
        <v>227</v>
      </c>
      <c r="BG994" s="7" t="s">
        <v>227</v>
      </c>
      <c r="BH994" s="7" t="s">
        <v>227</v>
      </c>
      <c r="BI994" s="7"/>
      <c r="BJ994" s="4">
        <v>129</v>
      </c>
      <c r="BK994" s="8">
        <v>3185.58</v>
      </c>
      <c r="BL994" s="2" t="s">
        <v>5811</v>
      </c>
      <c r="BM994" s="7"/>
      <c r="BN994" s="7"/>
      <c r="BO994" s="4"/>
      <c r="BP994" s="8"/>
      <c r="BQ994" s="4"/>
      <c r="BR994" s="8"/>
      <c r="BS994" s="7"/>
      <c r="BT994" s="7"/>
      <c r="BU994" s="2" t="s">
        <v>5812</v>
      </c>
      <c r="BV994" s="2" t="s">
        <v>227</v>
      </c>
      <c r="BW994" s="2" t="s">
        <v>227</v>
      </c>
      <c r="BX994" s="2" t="s">
        <v>711</v>
      </c>
      <c r="BY994" s="2" t="s">
        <v>236</v>
      </c>
      <c r="BZ994" s="2" t="s">
        <v>224</v>
      </c>
      <c r="CA994" s="2" t="s">
        <v>5813</v>
      </c>
      <c r="CB994" s="2" t="s">
        <v>1785</v>
      </c>
      <c r="CC994" s="2" t="s">
        <v>239</v>
      </c>
      <c r="CD994" s="2" t="s">
        <v>227</v>
      </c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>
        <v>420</v>
      </c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/>
      <c r="FA994" s="4"/>
      <c r="FB994" s="4"/>
      <c r="FC994" s="4"/>
      <c r="FD994" s="4"/>
      <c r="FE994" s="4"/>
      <c r="FF994" s="4"/>
      <c r="FG994" s="4"/>
      <c r="FH994" s="4"/>
      <c r="FI994" s="4"/>
      <c r="FJ994" s="4">
        <v>840</v>
      </c>
      <c r="FK994" s="4"/>
      <c r="FL994" s="4"/>
      <c r="FM994" s="4"/>
      <c r="FN994" s="4"/>
      <c r="FO994" s="4"/>
      <c r="FP994" s="4"/>
      <c r="FQ994" s="4"/>
      <c r="FR994" s="4"/>
      <c r="FS994" s="4"/>
      <c r="FT994" s="4"/>
      <c r="FU994" s="4"/>
      <c r="FV994" s="4"/>
      <c r="FW994" s="4"/>
      <c r="FX994" s="4"/>
      <c r="FY994" s="4"/>
      <c r="FZ994" s="4"/>
      <c r="GA994" s="4">
        <v>420</v>
      </c>
      <c r="GB994" s="4"/>
      <c r="GC994" s="4"/>
      <c r="GD994" s="4"/>
      <c r="GE994" s="4"/>
      <c r="GF994" s="4"/>
      <c r="GG994" s="4"/>
      <c r="GH994" s="4"/>
      <c r="GI994" s="4"/>
      <c r="GJ994" s="4"/>
      <c r="GK994" s="4"/>
      <c r="GL994" s="4"/>
      <c r="GM994" s="4"/>
      <c r="GN994" s="4"/>
      <c r="GO994" s="4"/>
      <c r="GP994" s="4"/>
      <c r="GQ994" s="4"/>
      <c r="GR994" s="4"/>
      <c r="GS994" s="4"/>
      <c r="GT994" s="4"/>
      <c r="GU994" s="4">
        <v>210</v>
      </c>
      <c r="GV994" s="4"/>
      <c r="GW994" s="4"/>
      <c r="GX994" s="4"/>
    </row>
    <row r="995">
      <c r="A995" s="2" t="s">
        <v>5814</v>
      </c>
      <c r="B995" s="2" t="s">
        <v>514</v>
      </c>
      <c r="C995" s="2" t="s">
        <v>360</v>
      </c>
      <c r="D995" s="2" t="s">
        <v>516</v>
      </c>
      <c r="E995" s="2" t="s">
        <v>517</v>
      </c>
      <c r="F995" s="2" t="s">
        <v>5799</v>
      </c>
      <c r="G995" s="2" t="s">
        <v>5799</v>
      </c>
      <c r="H995" s="2" t="s">
        <v>5799</v>
      </c>
      <c r="I995" s="2" t="s">
        <v>5800</v>
      </c>
      <c r="J995" s="2" t="s">
        <v>593</v>
      </c>
      <c r="K995" s="2" t="s">
        <v>448</v>
      </c>
      <c r="L995" s="3">
        <v>24</v>
      </c>
      <c r="M995" s="3">
        <v>25.2</v>
      </c>
      <c r="N995" s="3">
        <v>49.99</v>
      </c>
      <c r="O995" s="2" t="s">
        <v>224</v>
      </c>
      <c r="P995" s="2" t="s">
        <v>225</v>
      </c>
      <c r="Q995" s="2" t="s">
        <v>226</v>
      </c>
      <c r="R995" s="2" t="s">
        <v>227</v>
      </c>
      <c r="S995" s="2" t="s">
        <v>5801</v>
      </c>
      <c r="T995" s="2" t="s">
        <v>227</v>
      </c>
      <c r="U995" s="2" t="s">
        <v>594</v>
      </c>
      <c r="V995" s="2" t="s">
        <v>230</v>
      </c>
      <c r="W995" s="2" t="s">
        <v>836</v>
      </c>
      <c r="X995" s="2" t="s">
        <v>227</v>
      </c>
      <c r="Y995" s="2" t="s">
        <v>3959</v>
      </c>
      <c r="Z995" s="4">
        <v>218</v>
      </c>
      <c r="AA995" s="4">
        <f>=ROUNDDOWN(3.57377049180328,0)</f>
      </c>
      <c r="AB995" s="5">
        <v>61</v>
      </c>
      <c r="AC995" s="2" t="s">
        <v>5810</v>
      </c>
      <c r="AD995" s="4">
        <v>361</v>
      </c>
      <c r="AE995" s="4">
        <v>1621</v>
      </c>
      <c r="AF995" s="6">
        <v>73</v>
      </c>
      <c r="AG995" s="6"/>
      <c r="AH995" s="7">
        <v>1</v>
      </c>
      <c r="AI995" s="4"/>
      <c r="AJ995" s="4">
        <f>=ROUNDDOWN({0},0)</f>
      </c>
      <c r="AK995" s="5"/>
      <c r="AL995" s="2" t="s">
        <v>227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/>
      <c r="AW995" s="8"/>
      <c r="AX995" s="4"/>
      <c r="AY995" s="8"/>
      <c r="AZ995" s="7"/>
      <c r="BA995" s="7"/>
      <c r="BB995" s="7"/>
      <c r="BC995" s="4" t="s">
        <v>227</v>
      </c>
      <c r="BD995" s="8" t="s">
        <v>227</v>
      </c>
      <c r="BE995" s="4" t="s">
        <v>227</v>
      </c>
      <c r="BF995" s="8" t="s">
        <v>227</v>
      </c>
      <c r="BG995" s="7" t="s">
        <v>227</v>
      </c>
      <c r="BH995" s="7" t="s">
        <v>227</v>
      </c>
      <c r="BI995" s="7"/>
      <c r="BJ995" s="4">
        <v>283</v>
      </c>
      <c r="BK995" s="8">
        <v>7275.99</v>
      </c>
      <c r="BL995" s="2" t="s">
        <v>5009</v>
      </c>
      <c r="BM995" s="7"/>
      <c r="BN995" s="7"/>
      <c r="BO995" s="4"/>
      <c r="BP995" s="8"/>
      <c r="BQ995" s="4"/>
      <c r="BR995" s="8"/>
      <c r="BS995" s="7"/>
      <c r="BT995" s="7"/>
      <c r="BU995" s="2" t="s">
        <v>5815</v>
      </c>
      <c r="BV995" s="2" t="s">
        <v>227</v>
      </c>
      <c r="BW995" s="2" t="s">
        <v>227</v>
      </c>
      <c r="BX995" s="2" t="s">
        <v>711</v>
      </c>
      <c r="BY995" s="2" t="s">
        <v>236</v>
      </c>
      <c r="BZ995" s="2" t="s">
        <v>224</v>
      </c>
      <c r="CA995" s="2" t="s">
        <v>1137</v>
      </c>
      <c r="CB995" s="2" t="s">
        <v>2362</v>
      </c>
      <c r="CC995" s="2" t="s">
        <v>239</v>
      </c>
      <c r="CD995" s="2" t="s">
        <v>227</v>
      </c>
      <c r="CE995" s="4">
        <v>218</v>
      </c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>
        <v>361</v>
      </c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/>
      <c r="FB995" s="4"/>
      <c r="FC995" s="4"/>
      <c r="FD995" s="4"/>
      <c r="FE995" s="4"/>
      <c r="FF995" s="4"/>
      <c r="FG995" s="4"/>
      <c r="FH995" s="4"/>
      <c r="FI995" s="4"/>
      <c r="FJ995" s="4">
        <v>840</v>
      </c>
      <c r="FK995" s="4"/>
      <c r="FL995" s="4"/>
      <c r="FM995" s="4"/>
      <c r="FN995" s="4"/>
      <c r="FO995" s="4"/>
      <c r="FP995" s="4"/>
      <c r="FQ995" s="4"/>
      <c r="FR995" s="4"/>
      <c r="FS995" s="4"/>
      <c r="FT995" s="4"/>
      <c r="FU995" s="4"/>
      <c r="FV995" s="4"/>
      <c r="FW995" s="4"/>
      <c r="FX995" s="4"/>
      <c r="FY995" s="4"/>
      <c r="FZ995" s="4"/>
      <c r="GA995" s="4"/>
      <c r="GB995" s="4"/>
      <c r="GC995" s="4"/>
      <c r="GD995" s="4"/>
      <c r="GE995" s="4"/>
      <c r="GF995" s="4"/>
      <c r="GG995" s="4"/>
      <c r="GH995" s="4"/>
      <c r="GI995" s="4"/>
      <c r="GJ995" s="4"/>
      <c r="GK995" s="4"/>
      <c r="GL995" s="4"/>
      <c r="GM995" s="4"/>
      <c r="GN995" s="4"/>
      <c r="GO995" s="4"/>
      <c r="GP995" s="4"/>
      <c r="GQ995" s="4"/>
      <c r="GR995" s="4"/>
      <c r="GS995" s="4"/>
      <c r="GT995" s="4"/>
      <c r="GU995" s="4">
        <v>420</v>
      </c>
      <c r="GV995" s="4"/>
      <c r="GW995" s="4"/>
      <c r="GX995" s="4"/>
    </row>
    <row r="996">
      <c r="A996" s="2" t="s">
        <v>5816</v>
      </c>
      <c r="B996" s="2" t="s">
        <v>514</v>
      </c>
      <c r="C996" s="2" t="s">
        <v>360</v>
      </c>
      <c r="D996" s="2" t="s">
        <v>516</v>
      </c>
      <c r="E996" s="2" t="s">
        <v>517</v>
      </c>
      <c r="F996" s="2" t="s">
        <v>5799</v>
      </c>
      <c r="G996" s="2" t="s">
        <v>5799</v>
      </c>
      <c r="H996" s="2" t="s">
        <v>5799</v>
      </c>
      <c r="I996" s="2" t="s">
        <v>5800</v>
      </c>
      <c r="J996" s="2" t="s">
        <v>593</v>
      </c>
      <c r="K996" s="2" t="s">
        <v>264</v>
      </c>
      <c r="L996" s="3">
        <v>24</v>
      </c>
      <c r="M996" s="3">
        <v>25.2</v>
      </c>
      <c r="N996" s="3">
        <v>49.99</v>
      </c>
      <c r="O996" s="2" t="s">
        <v>224</v>
      </c>
      <c r="P996" s="2" t="s">
        <v>485</v>
      </c>
      <c r="Q996" s="2" t="s">
        <v>226</v>
      </c>
      <c r="R996" s="2" t="s">
        <v>227</v>
      </c>
      <c r="S996" s="2" t="s">
        <v>5801</v>
      </c>
      <c r="T996" s="2" t="s">
        <v>227</v>
      </c>
      <c r="U996" s="2" t="s">
        <v>594</v>
      </c>
      <c r="V996" s="2" t="s">
        <v>230</v>
      </c>
      <c r="W996" s="2" t="s">
        <v>836</v>
      </c>
      <c r="X996" s="2" t="s">
        <v>227</v>
      </c>
      <c r="Y996" s="2" t="s">
        <v>3959</v>
      </c>
      <c r="Z996" s="4">
        <v>28</v>
      </c>
      <c r="AA996" s="4">
        <f>=ROUNDDOWN(0.373333333333333,0)</f>
      </c>
      <c r="AB996" s="5">
        <v>75</v>
      </c>
      <c r="AC996" s="2" t="s">
        <v>366</v>
      </c>
      <c r="AD996" s="4">
        <v>840</v>
      </c>
      <c r="AE996" s="4">
        <v>2110</v>
      </c>
      <c r="AF996" s="6">
        <v>73</v>
      </c>
      <c r="AG996" s="6"/>
      <c r="AH996" s="7">
        <v>0.9677</v>
      </c>
      <c r="AI996" s="4"/>
      <c r="AJ996" s="4">
        <f>=ROUNDDOWN({0},0)</f>
      </c>
      <c r="AK996" s="5"/>
      <c r="AL996" s="2" t="s">
        <v>227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/>
      <c r="AW996" s="8"/>
      <c r="AX996" s="4"/>
      <c r="AY996" s="8"/>
      <c r="AZ996" s="7"/>
      <c r="BA996" s="7"/>
      <c r="BB996" s="7"/>
      <c r="BC996" s="4" t="s">
        <v>227</v>
      </c>
      <c r="BD996" s="8" t="s">
        <v>227</v>
      </c>
      <c r="BE996" s="4" t="s">
        <v>227</v>
      </c>
      <c r="BF996" s="8" t="s">
        <v>227</v>
      </c>
      <c r="BG996" s="7" t="s">
        <v>227</v>
      </c>
      <c r="BH996" s="7" t="s">
        <v>227</v>
      </c>
      <c r="BI996" s="7"/>
      <c r="BJ996" s="4">
        <v>454</v>
      </c>
      <c r="BK996" s="8">
        <v>11505.12</v>
      </c>
      <c r="BL996" s="2" t="s">
        <v>5817</v>
      </c>
      <c r="BM996" s="7"/>
      <c r="BN996" s="7"/>
      <c r="BO996" s="4"/>
      <c r="BP996" s="8"/>
      <c r="BQ996" s="4"/>
      <c r="BR996" s="8"/>
      <c r="BS996" s="7"/>
      <c r="BT996" s="7"/>
      <c r="BU996" s="2" t="s">
        <v>5818</v>
      </c>
      <c r="BV996" s="2" t="s">
        <v>227</v>
      </c>
      <c r="BW996" s="2" t="s">
        <v>227</v>
      </c>
      <c r="BX996" s="2" t="s">
        <v>711</v>
      </c>
      <c r="BY996" s="2" t="s">
        <v>236</v>
      </c>
      <c r="BZ996" s="2" t="s">
        <v>224</v>
      </c>
      <c r="CA996" s="2" t="s">
        <v>1137</v>
      </c>
      <c r="CB996" s="2" t="s">
        <v>5819</v>
      </c>
      <c r="CC996" s="2" t="s">
        <v>239</v>
      </c>
      <c r="CD996" s="2" t="s">
        <v>227</v>
      </c>
      <c r="CE996" s="4">
        <v>28</v>
      </c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/>
      <c r="FA996" s="4"/>
      <c r="FB996" s="4"/>
      <c r="FC996" s="4"/>
      <c r="FD996" s="4"/>
      <c r="FE996" s="4"/>
      <c r="FF996" s="4"/>
      <c r="FG996" s="4"/>
      <c r="FH996" s="4"/>
      <c r="FI996" s="4"/>
      <c r="FJ996" s="4">
        <v>840</v>
      </c>
      <c r="FK996" s="4"/>
      <c r="FL996" s="4"/>
      <c r="FM996" s="4"/>
      <c r="FN996" s="4"/>
      <c r="FO996" s="4"/>
      <c r="FP996" s="4">
        <v>640</v>
      </c>
      <c r="FQ996" s="4"/>
      <c r="FR996" s="4"/>
      <c r="FS996" s="4"/>
      <c r="FT996" s="4"/>
      <c r="FU996" s="4"/>
      <c r="FV996" s="4"/>
      <c r="FW996" s="4"/>
      <c r="FX996" s="4"/>
      <c r="FY996" s="4"/>
      <c r="FZ996" s="4"/>
      <c r="GA996" s="4">
        <v>420</v>
      </c>
      <c r="GB996" s="4"/>
      <c r="GC996" s="4"/>
      <c r="GD996" s="4"/>
      <c r="GE996" s="4"/>
      <c r="GF996" s="4"/>
      <c r="GG996" s="4"/>
      <c r="GH996" s="4"/>
      <c r="GI996" s="4"/>
      <c r="GJ996" s="4"/>
      <c r="GK996" s="4"/>
      <c r="GL996" s="4"/>
      <c r="GM996" s="4"/>
      <c r="GN996" s="4"/>
      <c r="GO996" s="4"/>
      <c r="GP996" s="4"/>
      <c r="GQ996" s="4"/>
      <c r="GR996" s="4"/>
      <c r="GS996" s="4"/>
      <c r="GT996" s="4"/>
      <c r="GU996" s="4">
        <v>210</v>
      </c>
      <c r="GV996" s="4"/>
      <c r="GW996" s="4"/>
      <c r="GX996" s="4"/>
    </row>
    <row r="997">
      <c r="A997" s="2" t="s">
        <v>5820</v>
      </c>
      <c r="B997" s="2" t="s">
        <v>542</v>
      </c>
      <c r="C997" s="2" t="s">
        <v>360</v>
      </c>
      <c r="D997" s="2" t="s">
        <v>544</v>
      </c>
      <c r="E997" s="2" t="s">
        <v>545</v>
      </c>
      <c r="F997" s="2" t="s">
        <v>5821</v>
      </c>
      <c r="G997" s="2" t="s">
        <v>5821</v>
      </c>
      <c r="H997" s="2" t="s">
        <v>5821</v>
      </c>
      <c r="I997" s="2" t="s">
        <v>5822</v>
      </c>
      <c r="J997" s="2" t="s">
        <v>548</v>
      </c>
      <c r="K997" s="2" t="s">
        <v>223</v>
      </c>
      <c r="L997" s="3">
        <v>36.42</v>
      </c>
      <c r="M997" s="3">
        <v>38.24</v>
      </c>
      <c r="N997" s="3">
        <v>76.49</v>
      </c>
      <c r="O997" s="2" t="s">
        <v>224</v>
      </c>
      <c r="P997" s="2" t="s">
        <v>580</v>
      </c>
      <c r="Q997" s="2" t="s">
        <v>226</v>
      </c>
      <c r="R997" s="2" t="s">
        <v>227</v>
      </c>
      <c r="S997" s="2" t="s">
        <v>227</v>
      </c>
      <c r="T997" s="2" t="s">
        <v>227</v>
      </c>
      <c r="U997" s="2" t="s">
        <v>552</v>
      </c>
      <c r="V997" s="2" t="s">
        <v>1045</v>
      </c>
      <c r="W997" s="2" t="s">
        <v>1045</v>
      </c>
      <c r="X997" s="2" t="s">
        <v>581</v>
      </c>
      <c r="Y997" s="2" t="s">
        <v>783</v>
      </c>
      <c r="Z997" s="4">
        <v>96</v>
      </c>
      <c r="AA997" s="4">
        <f>=ROUNDDOWN(48,0)</f>
      </c>
      <c r="AB997" s="5">
        <v>2</v>
      </c>
      <c r="AC997" s="2" t="s">
        <v>227</v>
      </c>
      <c r="AD997" s="4"/>
      <c r="AE997" s="4"/>
      <c r="AF997" s="6">
        <v>63</v>
      </c>
      <c r="AG997" s="6"/>
      <c r="AH997" s="7">
        <v>1</v>
      </c>
      <c r="AI997" s="4"/>
      <c r="AJ997" s="4">
        <f>=ROUNDDOWN({0},0)</f>
      </c>
      <c r="AK997" s="5"/>
      <c r="AL997" s="2" t="s">
        <v>227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/>
      <c r="AW997" s="8"/>
      <c r="AX997" s="4"/>
      <c r="AY997" s="8"/>
      <c r="AZ997" s="7"/>
      <c r="BA997" s="7"/>
      <c r="BB997" s="7"/>
      <c r="BC997" s="4"/>
      <c r="BD997" s="8"/>
      <c r="BE997" s="4"/>
      <c r="BF997" s="8"/>
      <c r="BG997" s="7"/>
      <c r="BH997" s="7"/>
      <c r="BI997" s="7"/>
      <c r="BJ997" s="4">
        <v>13</v>
      </c>
      <c r="BK997" s="8">
        <v>541.62</v>
      </c>
      <c r="BL997" s="2" t="s">
        <v>5823</v>
      </c>
      <c r="BM997" s="7"/>
      <c r="BN997" s="7"/>
      <c r="BO997" s="4"/>
      <c r="BP997" s="8"/>
      <c r="BQ997" s="4"/>
      <c r="BR997" s="8"/>
      <c r="BS997" s="7"/>
      <c r="BT997" s="7"/>
      <c r="BU997" s="2" t="s">
        <v>5824</v>
      </c>
      <c r="BV997" s="2" t="s">
        <v>227</v>
      </c>
      <c r="BW997" s="2" t="s">
        <v>227</v>
      </c>
      <c r="BX997" s="2" t="s">
        <v>235</v>
      </c>
      <c r="BY997" s="2" t="s">
        <v>236</v>
      </c>
      <c r="BZ997" s="2" t="s">
        <v>224</v>
      </c>
      <c r="CA997" s="2" t="s">
        <v>2322</v>
      </c>
      <c r="CB997" s="2" t="s">
        <v>1635</v>
      </c>
      <c r="CC997" s="2" t="s">
        <v>239</v>
      </c>
      <c r="CD997" s="2" t="s">
        <v>227</v>
      </c>
      <c r="CE997" s="4">
        <v>96</v>
      </c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/>
      <c r="FB997" s="4"/>
      <c r="FC997" s="4"/>
      <c r="FD997" s="4"/>
      <c r="FE997" s="4"/>
      <c r="FF997" s="4"/>
      <c r="FG997" s="4"/>
      <c r="FH997" s="4"/>
      <c r="FI997" s="4"/>
      <c r="FJ997" s="4"/>
      <c r="FK997" s="4"/>
      <c r="FL997" s="4"/>
      <c r="FM997" s="4"/>
      <c r="FN997" s="4"/>
      <c r="FO997" s="4"/>
      <c r="FP997" s="4"/>
      <c r="FQ997" s="4"/>
      <c r="FR997" s="4"/>
      <c r="FS997" s="4"/>
      <c r="FT997" s="4"/>
      <c r="FU997" s="4"/>
      <c r="FV997" s="4"/>
      <c r="FW997" s="4"/>
      <c r="FX997" s="4"/>
      <c r="FY997" s="4"/>
      <c r="FZ997" s="4"/>
      <c r="GA997" s="4"/>
      <c r="GB997" s="4"/>
      <c r="GC997" s="4"/>
      <c r="GD997" s="4"/>
      <c r="GE997" s="4"/>
      <c r="GF997" s="4"/>
      <c r="GG997" s="4"/>
      <c r="GH997" s="4"/>
      <c r="GI997" s="4"/>
      <c r="GJ997" s="4"/>
      <c r="GK997" s="4"/>
      <c r="GL997" s="4"/>
      <c r="GM997" s="4"/>
      <c r="GN997" s="4"/>
      <c r="GO997" s="4"/>
      <c r="GP997" s="4"/>
      <c r="GQ997" s="4"/>
      <c r="GR997" s="4"/>
      <c r="GS997" s="4"/>
      <c r="GT997" s="4"/>
      <c r="GU997" s="4"/>
      <c r="GV997" s="4"/>
      <c r="GW997" s="4"/>
      <c r="GX997" s="4"/>
    </row>
    <row r="998">
      <c r="A998" s="2" t="s">
        <v>5825</v>
      </c>
      <c r="B998" s="2" t="s">
        <v>216</v>
      </c>
      <c r="C998" s="2" t="s">
        <v>360</v>
      </c>
      <c r="D998" s="2" t="s">
        <v>1423</v>
      </c>
      <c r="E998" s="2" t="s">
        <v>5440</v>
      </c>
      <c r="F998" s="2" t="s">
        <v>5826</v>
      </c>
      <c r="G998" s="2" t="s">
        <v>5826</v>
      </c>
      <c r="H998" s="2" t="s">
        <v>5826</v>
      </c>
      <c r="I998" s="2" t="s">
        <v>5827</v>
      </c>
      <c r="J998" s="2" t="s">
        <v>257</v>
      </c>
      <c r="K998" s="2" t="s">
        <v>264</v>
      </c>
      <c r="L998" s="3">
        <v>15</v>
      </c>
      <c r="M998" s="3">
        <v>15.75</v>
      </c>
      <c r="N998" s="3">
        <v>34.99</v>
      </c>
      <c r="O998" s="2" t="s">
        <v>224</v>
      </c>
      <c r="P998" s="2" t="s">
        <v>225</v>
      </c>
      <c r="Q998" s="2" t="s">
        <v>226</v>
      </c>
      <c r="R998" s="2" t="s">
        <v>227</v>
      </c>
      <c r="S998" s="2" t="s">
        <v>5828</v>
      </c>
      <c r="T998" s="2" t="s">
        <v>375</v>
      </c>
      <c r="U998" s="2" t="s">
        <v>552</v>
      </c>
      <c r="V998" s="2" t="s">
        <v>230</v>
      </c>
      <c r="W998" s="2" t="s">
        <v>231</v>
      </c>
      <c r="X998" s="2" t="s">
        <v>487</v>
      </c>
      <c r="Y998" s="2" t="s">
        <v>3634</v>
      </c>
      <c r="Z998" s="4">
        <v>172</v>
      </c>
      <c r="AA998" s="4">
        <f>=ROUNDDOWN(13.2307692307692,0)</f>
      </c>
      <c r="AB998" s="5">
        <v>13</v>
      </c>
      <c r="AC998" s="2" t="s">
        <v>152</v>
      </c>
      <c r="AD998" s="4">
        <v>100</v>
      </c>
      <c r="AE998" s="4">
        <v>200</v>
      </c>
      <c r="AF998" s="6">
        <v>65</v>
      </c>
      <c r="AG998" s="6"/>
      <c r="AH998" s="7">
        <v>1</v>
      </c>
      <c r="AI998" s="4"/>
      <c r="AJ998" s="4">
        <f>=ROUNDDOWN({0},0)</f>
      </c>
      <c r="AK998" s="5"/>
      <c r="AL998" s="2" t="s">
        <v>227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 t="s">
        <v>227</v>
      </c>
      <c r="AW998" s="8" t="s">
        <v>227</v>
      </c>
      <c r="AX998" s="4" t="s">
        <v>227</v>
      </c>
      <c r="AY998" s="8" t="s">
        <v>227</v>
      </c>
      <c r="AZ998" s="7" t="s">
        <v>227</v>
      </c>
      <c r="BA998" s="7" t="s">
        <v>227</v>
      </c>
      <c r="BB998" s="7"/>
      <c r="BC998" s="4" t="s">
        <v>227</v>
      </c>
      <c r="BD998" s="8" t="s">
        <v>227</v>
      </c>
      <c r="BE998" s="4" t="s">
        <v>227</v>
      </c>
      <c r="BF998" s="8" t="s">
        <v>227</v>
      </c>
      <c r="BG998" s="7" t="s">
        <v>227</v>
      </c>
      <c r="BH998" s="7" t="s">
        <v>227</v>
      </c>
      <c r="BI998" s="7"/>
      <c r="BJ998" s="4">
        <v>29</v>
      </c>
      <c r="BK998" s="8">
        <v>489.82</v>
      </c>
      <c r="BL998" s="2" t="s">
        <v>3617</v>
      </c>
      <c r="BM998" s="7"/>
      <c r="BN998" s="7"/>
      <c r="BO998" s="4"/>
      <c r="BP998" s="8"/>
      <c r="BQ998" s="4"/>
      <c r="BR998" s="8"/>
      <c r="BS998" s="7"/>
      <c r="BT998" s="7"/>
      <c r="BU998" s="2" t="s">
        <v>5829</v>
      </c>
      <c r="BV998" s="2" t="s">
        <v>227</v>
      </c>
      <c r="BW998" s="2" t="s">
        <v>227</v>
      </c>
      <c r="BX998" s="2" t="s">
        <v>235</v>
      </c>
      <c r="BY998" s="2" t="s">
        <v>236</v>
      </c>
      <c r="BZ998" s="2" t="s">
        <v>224</v>
      </c>
      <c r="CA998" s="2" t="s">
        <v>5561</v>
      </c>
      <c r="CB998" s="2" t="s">
        <v>1993</v>
      </c>
      <c r="CC998" s="2" t="s">
        <v>239</v>
      </c>
      <c r="CD998" s="2" t="s">
        <v>227</v>
      </c>
      <c r="CE998" s="4">
        <v>172</v>
      </c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>
        <v>100</v>
      </c>
      <c r="EO998" s="4"/>
      <c r="EP998" s="4"/>
      <c r="EQ998" s="4"/>
      <c r="ER998" s="4"/>
      <c r="ES998" s="4"/>
      <c r="ET998" s="4"/>
      <c r="EU998" s="4"/>
      <c r="EV998" s="4"/>
      <c r="EW998" s="4"/>
      <c r="EX998" s="4">
        <v>100</v>
      </c>
      <c r="EY998" s="4"/>
      <c r="EZ998" s="4"/>
      <c r="FA998" s="4"/>
      <c r="FB998" s="4"/>
      <c r="FC998" s="4"/>
      <c r="FD998" s="4"/>
      <c r="FE998" s="4"/>
      <c r="FF998" s="4"/>
      <c r="FG998" s="4"/>
      <c r="FH998" s="4"/>
      <c r="FI998" s="4"/>
      <c r="FJ998" s="4"/>
      <c r="FK998" s="4"/>
      <c r="FL998" s="4"/>
      <c r="FM998" s="4"/>
      <c r="FN998" s="4"/>
      <c r="FO998" s="4"/>
      <c r="FP998" s="4"/>
      <c r="FQ998" s="4"/>
      <c r="FR998" s="4"/>
      <c r="FS998" s="4"/>
      <c r="FT998" s="4"/>
      <c r="FU998" s="4"/>
      <c r="FV998" s="4"/>
      <c r="FW998" s="4"/>
      <c r="FX998" s="4"/>
      <c r="FY998" s="4"/>
      <c r="FZ998" s="4"/>
      <c r="GA998" s="4"/>
      <c r="GB998" s="4"/>
      <c r="GC998" s="4"/>
      <c r="GD998" s="4"/>
      <c r="GE998" s="4"/>
      <c r="GF998" s="4"/>
      <c r="GG998" s="4"/>
      <c r="GH998" s="4"/>
      <c r="GI998" s="4"/>
      <c r="GJ998" s="4"/>
      <c r="GK998" s="4"/>
      <c r="GL998" s="4"/>
      <c r="GM998" s="4"/>
      <c r="GN998" s="4"/>
      <c r="GO998" s="4"/>
      <c r="GP998" s="4"/>
      <c r="GQ998" s="4"/>
      <c r="GR998" s="4"/>
      <c r="GS998" s="4"/>
      <c r="GT998" s="4"/>
      <c r="GU998" s="4"/>
      <c r="GV998" s="4"/>
      <c r="GW998" s="4"/>
      <c r="GX998" s="4"/>
    </row>
    <row r="999">
      <c r="A999" s="2" t="s">
        <v>5830</v>
      </c>
      <c r="B999" s="2" t="s">
        <v>216</v>
      </c>
      <c r="C999" s="2" t="s">
        <v>360</v>
      </c>
      <c r="D999" s="2" t="s">
        <v>1423</v>
      </c>
      <c r="E999" s="2" t="s">
        <v>5440</v>
      </c>
      <c r="F999" s="2" t="s">
        <v>5826</v>
      </c>
      <c r="G999" s="2" t="s">
        <v>5826</v>
      </c>
      <c r="H999" s="2" t="s">
        <v>5826</v>
      </c>
      <c r="I999" s="2" t="s">
        <v>5827</v>
      </c>
      <c r="J999" s="2" t="s">
        <v>4268</v>
      </c>
      <c r="K999" s="2" t="s">
        <v>264</v>
      </c>
      <c r="L999" s="3">
        <v>13.71</v>
      </c>
      <c r="M999" s="3">
        <v>14.4</v>
      </c>
      <c r="N999" s="3">
        <v>31.99</v>
      </c>
      <c r="O999" s="2" t="s">
        <v>224</v>
      </c>
      <c r="P999" s="2" t="s">
        <v>225</v>
      </c>
      <c r="Q999" s="2" t="s">
        <v>226</v>
      </c>
      <c r="R999" s="2" t="s">
        <v>227</v>
      </c>
      <c r="S999" s="2" t="s">
        <v>5828</v>
      </c>
      <c r="T999" s="2" t="s">
        <v>375</v>
      </c>
      <c r="U999" s="2" t="s">
        <v>552</v>
      </c>
      <c r="V999" s="2" t="s">
        <v>230</v>
      </c>
      <c r="W999" s="2" t="s">
        <v>231</v>
      </c>
      <c r="X999" s="2" t="s">
        <v>487</v>
      </c>
      <c r="Y999" s="2" t="s">
        <v>1109</v>
      </c>
      <c r="Z999" s="4">
        <v>248</v>
      </c>
      <c r="AA999" s="4">
        <f>=ROUNDDOWN(15.5,0)</f>
      </c>
      <c r="AB999" s="5">
        <v>16</v>
      </c>
      <c r="AC999" s="2" t="s">
        <v>162</v>
      </c>
      <c r="AD999" s="4">
        <v>200</v>
      </c>
      <c r="AE999" s="4">
        <v>400</v>
      </c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227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227</v>
      </c>
      <c r="AW999" s="8" t="s">
        <v>227</v>
      </c>
      <c r="AX999" s="4" t="s">
        <v>227</v>
      </c>
      <c r="AY999" s="8" t="s">
        <v>227</v>
      </c>
      <c r="AZ999" s="7" t="s">
        <v>227</v>
      </c>
      <c r="BA999" s="7" t="s">
        <v>227</v>
      </c>
      <c r="BB999" s="7"/>
      <c r="BC999" s="4" t="s">
        <v>227</v>
      </c>
      <c r="BD999" s="8" t="s">
        <v>227</v>
      </c>
      <c r="BE999" s="4" t="s">
        <v>227</v>
      </c>
      <c r="BF999" s="8" t="s">
        <v>227</v>
      </c>
      <c r="BG999" s="7" t="s">
        <v>227</v>
      </c>
      <c r="BH999" s="7" t="s">
        <v>227</v>
      </c>
      <c r="BI999" s="7"/>
      <c r="BJ999" s="4">
        <v>73</v>
      </c>
      <c r="BK999" s="8">
        <v>1146.69</v>
      </c>
      <c r="BL999" s="2" t="s">
        <v>5823</v>
      </c>
      <c r="BM999" s="7"/>
      <c r="BN999" s="7"/>
      <c r="BO999" s="4"/>
      <c r="BP999" s="8"/>
      <c r="BQ999" s="4"/>
      <c r="BR999" s="8"/>
      <c r="BS999" s="7"/>
      <c r="BT999" s="7"/>
      <c r="BU999" s="2" t="s">
        <v>5831</v>
      </c>
      <c r="BV999" s="2" t="s">
        <v>227</v>
      </c>
      <c r="BW999" s="2" t="s">
        <v>227</v>
      </c>
      <c r="BX999" s="2" t="s">
        <v>235</v>
      </c>
      <c r="BY999" s="2" t="s">
        <v>236</v>
      </c>
      <c r="BZ999" s="2" t="s">
        <v>224</v>
      </c>
      <c r="CA999" s="2" t="s">
        <v>5561</v>
      </c>
      <c r="CB999" s="2" t="s">
        <v>1991</v>
      </c>
      <c r="CC999" s="2" t="s">
        <v>239</v>
      </c>
      <c r="CD999" s="2" t="s">
        <v>227</v>
      </c>
      <c r="CE999" s="4">
        <v>248</v>
      </c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>
        <v>200</v>
      </c>
      <c r="EY999" s="4"/>
      <c r="EZ999" s="4"/>
      <c r="FA999" s="4"/>
      <c r="FB999" s="4"/>
      <c r="FC999" s="4"/>
      <c r="FD999" s="4"/>
      <c r="FE999" s="4"/>
      <c r="FF999" s="4"/>
      <c r="FG999" s="4"/>
      <c r="FH999" s="4"/>
      <c r="FI999" s="4"/>
      <c r="FJ999" s="4"/>
      <c r="FK999" s="4"/>
      <c r="FL999" s="4"/>
      <c r="FM999" s="4"/>
      <c r="FN999" s="4"/>
      <c r="FO999" s="4"/>
      <c r="FP999" s="4"/>
      <c r="FQ999" s="4"/>
      <c r="FR999" s="4"/>
      <c r="FS999" s="4"/>
      <c r="FT999" s="4"/>
      <c r="FU999" s="4"/>
      <c r="FV999" s="4"/>
      <c r="FW999" s="4"/>
      <c r="FX999" s="4"/>
      <c r="FY999" s="4"/>
      <c r="FZ999" s="4"/>
      <c r="GA999" s="4"/>
      <c r="GB999" s="4"/>
      <c r="GC999" s="4"/>
      <c r="GD999" s="4"/>
      <c r="GE999" s="4"/>
      <c r="GF999" s="4"/>
      <c r="GG999" s="4"/>
      <c r="GH999" s="4"/>
      <c r="GI999" s="4">
        <v>100</v>
      </c>
      <c r="GJ999" s="4"/>
      <c r="GK999" s="4"/>
      <c r="GL999" s="4"/>
      <c r="GM999" s="4"/>
      <c r="GN999" s="4"/>
      <c r="GO999" s="4"/>
      <c r="GP999" s="4"/>
      <c r="GQ999" s="4"/>
      <c r="GR999" s="4"/>
      <c r="GS999" s="4"/>
      <c r="GT999" s="4"/>
      <c r="GU999" s="4"/>
      <c r="GV999" s="4">
        <v>100</v>
      </c>
      <c r="GW999" s="4"/>
      <c r="GX999" s="4"/>
    </row>
    <row r="1000">
      <c r="A1000" s="2" t="s">
        <v>5832</v>
      </c>
      <c r="B1000" s="2" t="s">
        <v>573</v>
      </c>
      <c r="C1000" s="2" t="s">
        <v>360</v>
      </c>
      <c r="D1000" s="2" t="s">
        <v>1515</v>
      </c>
      <c r="E1000" s="2" t="s">
        <v>1516</v>
      </c>
      <c r="F1000" s="2" t="s">
        <v>5833</v>
      </c>
      <c r="G1000" s="2" t="s">
        <v>5834</v>
      </c>
      <c r="H1000" s="2" t="s">
        <v>5835</v>
      </c>
      <c r="I1000" s="2" t="s">
        <v>5836</v>
      </c>
      <c r="J1000" s="2" t="s">
        <v>548</v>
      </c>
      <c r="K1000" s="2" t="s">
        <v>827</v>
      </c>
      <c r="L1000" s="3">
        <v>171</v>
      </c>
      <c r="M1000" s="3">
        <v>179.55</v>
      </c>
      <c r="N1000" s="3">
        <v>359</v>
      </c>
      <c r="O1000" s="2" t="s">
        <v>224</v>
      </c>
      <c r="P1000" s="2" t="s">
        <v>580</v>
      </c>
      <c r="Q1000" s="2" t="s">
        <v>226</v>
      </c>
      <c r="R1000" s="2" t="s">
        <v>227</v>
      </c>
      <c r="S1000" s="2" t="s">
        <v>227</v>
      </c>
      <c r="T1000" s="2" t="s">
        <v>227</v>
      </c>
      <c r="U1000" s="2" t="s">
        <v>552</v>
      </c>
      <c r="V1000" s="2" t="s">
        <v>230</v>
      </c>
      <c r="W1000" s="2" t="s">
        <v>581</v>
      </c>
      <c r="X1000" s="2" t="s">
        <v>1008</v>
      </c>
      <c r="Y1000" s="2" t="s">
        <v>1180</v>
      </c>
      <c r="Z1000" s="4">
        <v>39</v>
      </c>
      <c r="AA1000" s="4">
        <f>=ROUNDDOWN(39,0)</f>
      </c>
      <c r="AB1000" s="5">
        <v>1</v>
      </c>
      <c r="AC1000" s="2" t="s">
        <v>227</v>
      </c>
      <c r="AD1000" s="4"/>
      <c r="AE1000" s="4"/>
      <c r="AF1000" s="6">
        <v>66</v>
      </c>
      <c r="AG1000" s="6"/>
      <c r="AH1000" s="7">
        <v>1</v>
      </c>
      <c r="AI1000" s="4"/>
      <c r="AJ1000" s="4">
        <f>=ROUNDDOWN({0},0)</f>
      </c>
      <c r="AK1000" s="5"/>
      <c r="AL1000" s="2" t="s">
        <v>227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/>
      <c r="AW1000" s="8"/>
      <c r="AX1000" s="4"/>
      <c r="AY1000" s="8"/>
      <c r="AZ1000" s="7"/>
      <c r="BA1000" s="7"/>
      <c r="BB1000" s="7"/>
      <c r="BC1000" s="4"/>
      <c r="BD1000" s="8"/>
      <c r="BE1000" s="4"/>
      <c r="BF1000" s="8"/>
      <c r="BG1000" s="7"/>
      <c r="BH1000" s="7"/>
      <c r="BI1000" s="7"/>
      <c r="BJ1000" s="4"/>
      <c r="BK1000" s="8"/>
      <c r="BL1000" s="2" t="s">
        <v>227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5837</v>
      </c>
      <c r="BV1000" s="2" t="s">
        <v>227</v>
      </c>
      <c r="BW1000" s="2" t="s">
        <v>227</v>
      </c>
      <c r="BX1000" s="2" t="s">
        <v>235</v>
      </c>
      <c r="BY1000" s="2" t="s">
        <v>236</v>
      </c>
      <c r="BZ1000" s="2" t="s">
        <v>224</v>
      </c>
      <c r="CA1000" s="2" t="s">
        <v>3870</v>
      </c>
      <c r="CB1000" s="2" t="s">
        <v>1919</v>
      </c>
      <c r="CC1000" s="2" t="s">
        <v>239</v>
      </c>
      <c r="CD1000" s="2" t="s">
        <v>227</v>
      </c>
      <c r="CE1000" s="4"/>
      <c r="CF1000" s="4">
        <v>39</v>
      </c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/>
      <c r="FA1000" s="4"/>
      <c r="FB1000" s="4"/>
      <c r="FC1000" s="4"/>
      <c r="FD1000" s="4"/>
      <c r="FE1000" s="4"/>
      <c r="FF1000" s="4"/>
      <c r="FG1000" s="4"/>
      <c r="FH1000" s="4"/>
      <c r="FI1000" s="4"/>
      <c r="FJ1000" s="4"/>
      <c r="FK1000" s="4"/>
      <c r="FL1000" s="4"/>
      <c r="FM1000" s="4"/>
      <c r="FN1000" s="4"/>
      <c r="FO1000" s="4"/>
      <c r="FP1000" s="4"/>
      <c r="FQ1000" s="4"/>
      <c r="FR1000" s="4"/>
      <c r="FS1000" s="4"/>
      <c r="FT1000" s="4"/>
      <c r="FU1000" s="4"/>
      <c r="FV1000" s="4"/>
      <c r="FW1000" s="4"/>
      <c r="FX1000" s="4"/>
      <c r="FY1000" s="4"/>
      <c r="FZ1000" s="4"/>
      <c r="GA1000" s="4"/>
      <c r="GB1000" s="4"/>
      <c r="GC1000" s="4"/>
      <c r="GD1000" s="4"/>
      <c r="GE1000" s="4"/>
      <c r="GF1000" s="4"/>
      <c r="GG1000" s="4"/>
      <c r="GH1000" s="4"/>
      <c r="GI1000" s="4"/>
      <c r="GJ1000" s="4"/>
      <c r="GK1000" s="4"/>
      <c r="GL1000" s="4"/>
      <c r="GM1000" s="4"/>
      <c r="GN1000" s="4"/>
      <c r="GO1000" s="4"/>
      <c r="GP1000" s="4"/>
      <c r="GQ1000" s="4"/>
      <c r="GR1000" s="4"/>
      <c r="GS1000" s="4"/>
      <c r="GT1000" s="4"/>
      <c r="GU1000" s="4"/>
      <c r="GV1000" s="4"/>
      <c r="GW1000" s="4"/>
      <c r="GX1000" s="4"/>
    </row>
    <row r="1001">
      <c r="A1001" s="2" t="s">
        <v>5838</v>
      </c>
      <c r="B1001" s="2" t="s">
        <v>697</v>
      </c>
      <c r="C1001" s="2" t="s">
        <v>668</v>
      </c>
      <c r="D1001" s="2" t="s">
        <v>868</v>
      </c>
      <c r="E1001" s="2" t="s">
        <v>1334</v>
      </c>
      <c r="F1001" s="2" t="s">
        <v>5839</v>
      </c>
      <c r="G1001" s="2" t="s">
        <v>5840</v>
      </c>
      <c r="H1001" s="2" t="s">
        <v>227</v>
      </c>
      <c r="I1001" s="2" t="s">
        <v>5841</v>
      </c>
      <c r="J1001" s="2" t="s">
        <v>873</v>
      </c>
      <c r="K1001" s="2" t="s">
        <v>410</v>
      </c>
      <c r="L1001" s="3">
        <v>19.22</v>
      </c>
      <c r="M1001" s="3">
        <v>20.18</v>
      </c>
      <c r="N1001" s="3">
        <v>41.99</v>
      </c>
      <c r="O1001" s="2" t="s">
        <v>224</v>
      </c>
      <c r="P1001" s="2" t="s">
        <v>225</v>
      </c>
      <c r="Q1001" s="2" t="s">
        <v>226</v>
      </c>
      <c r="R1001" s="2" t="s">
        <v>227</v>
      </c>
      <c r="S1001" s="2" t="s">
        <v>5842</v>
      </c>
      <c r="T1001" s="2" t="s">
        <v>1430</v>
      </c>
      <c r="U1001" s="2" t="s">
        <v>552</v>
      </c>
      <c r="V1001" s="2" t="s">
        <v>750</v>
      </c>
      <c r="W1001" s="2" t="s">
        <v>676</v>
      </c>
      <c r="X1001" s="2" t="s">
        <v>836</v>
      </c>
      <c r="Y1001" s="2" t="s">
        <v>5843</v>
      </c>
      <c r="Z1001" s="4">
        <v>265</v>
      </c>
      <c r="AA1001" s="4">
        <f>=ROUNDDOWN(17.6666666666667,0)</f>
      </c>
      <c r="AB1001" s="5">
        <v>15</v>
      </c>
      <c r="AC1001" s="2" t="s">
        <v>164</v>
      </c>
      <c r="AD1001" s="4">
        <v>500</v>
      </c>
      <c r="AE1001" s="4">
        <v>1000</v>
      </c>
      <c r="AF1001" s="6">
        <v>64</v>
      </c>
      <c r="AG1001" s="6"/>
      <c r="AH1001" s="7">
        <v>1</v>
      </c>
      <c r="AI1001" s="4"/>
      <c r="AJ1001" s="4">
        <f>=ROUNDDOWN({0},0)</f>
      </c>
      <c r="AK1001" s="5"/>
      <c r="AL1001" s="2" t="s">
        <v>227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/>
      <c r="AW1001" s="8"/>
      <c r="AX1001" s="4"/>
      <c r="AY1001" s="8"/>
      <c r="AZ1001" s="7"/>
      <c r="BA1001" s="7"/>
      <c r="BB1001" s="7"/>
      <c r="BC1001" s="4"/>
      <c r="BD1001" s="8"/>
      <c r="BE1001" s="4"/>
      <c r="BF1001" s="8"/>
      <c r="BG1001" s="7"/>
      <c r="BH1001" s="7"/>
      <c r="BI1001" s="7"/>
      <c r="BJ1001" s="4">
        <v>42</v>
      </c>
      <c r="BK1001" s="8">
        <v>860.81</v>
      </c>
      <c r="BL1001" s="2" t="s">
        <v>1290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5844</v>
      </c>
      <c r="BV1001" s="2" t="s">
        <v>227</v>
      </c>
      <c r="BW1001" s="2" t="s">
        <v>227</v>
      </c>
      <c r="BX1001" s="2" t="s">
        <v>235</v>
      </c>
      <c r="BY1001" s="2" t="s">
        <v>236</v>
      </c>
      <c r="BZ1001" s="2" t="s">
        <v>224</v>
      </c>
      <c r="CA1001" s="2" t="s">
        <v>2561</v>
      </c>
      <c r="CB1001" s="2" t="s">
        <v>5845</v>
      </c>
      <c r="CC1001" s="2" t="s">
        <v>239</v>
      </c>
      <c r="CD1001" s="2" t="s">
        <v>227</v>
      </c>
      <c r="CE1001" s="4">
        <v>265</v>
      </c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>
        <v>500</v>
      </c>
      <c r="FA1001" s="4"/>
      <c r="FB1001" s="4"/>
      <c r="FC1001" s="4"/>
      <c r="FD1001" s="4"/>
      <c r="FE1001" s="4"/>
      <c r="FF1001" s="4"/>
      <c r="FG1001" s="4"/>
      <c r="FH1001" s="4"/>
      <c r="FI1001" s="4"/>
      <c r="FJ1001" s="4"/>
      <c r="FK1001" s="4"/>
      <c r="FL1001" s="4"/>
      <c r="FM1001" s="4"/>
      <c r="FN1001" s="4"/>
      <c r="FO1001" s="4"/>
      <c r="FP1001" s="4"/>
      <c r="FQ1001" s="4"/>
      <c r="FR1001" s="4"/>
      <c r="FS1001" s="4"/>
      <c r="FT1001" s="4"/>
      <c r="FU1001" s="4"/>
      <c r="FV1001" s="4"/>
      <c r="FW1001" s="4"/>
      <c r="FX1001" s="4"/>
      <c r="FY1001" s="4"/>
      <c r="FZ1001" s="4"/>
      <c r="GA1001" s="4"/>
      <c r="GB1001" s="4"/>
      <c r="GC1001" s="4"/>
      <c r="GD1001" s="4"/>
      <c r="GE1001" s="4"/>
      <c r="GF1001" s="4"/>
      <c r="GG1001" s="4"/>
      <c r="GH1001" s="4"/>
      <c r="GI1001" s="4"/>
      <c r="GJ1001" s="4"/>
      <c r="GK1001" s="4"/>
      <c r="GL1001" s="4"/>
      <c r="GM1001" s="4">
        <v>500</v>
      </c>
      <c r="GN1001" s="4"/>
      <c r="GO1001" s="4"/>
      <c r="GP1001" s="4"/>
      <c r="GQ1001" s="4"/>
      <c r="GR1001" s="4"/>
      <c r="GS1001" s="4"/>
      <c r="GT1001" s="4"/>
      <c r="GU1001" s="4"/>
      <c r="GV1001" s="4"/>
      <c r="GW1001" s="4"/>
      <c r="GX1001" s="4"/>
    </row>
    <row r="1002">
      <c r="A1002" s="2" t="s">
        <v>5846</v>
      </c>
      <c r="B1002" s="2" t="s">
        <v>542</v>
      </c>
      <c r="C1002" s="2" t="s">
        <v>515</v>
      </c>
      <c r="D1002" s="2" t="s">
        <v>1039</v>
      </c>
      <c r="E1002" s="2" t="s">
        <v>5847</v>
      </c>
      <c r="F1002" s="2" t="s">
        <v>5848</v>
      </c>
      <c r="G1002" s="2" t="s">
        <v>5848</v>
      </c>
      <c r="H1002" s="2" t="s">
        <v>5848</v>
      </c>
      <c r="I1002" s="2" t="s">
        <v>5849</v>
      </c>
      <c r="J1002" s="2" t="s">
        <v>5850</v>
      </c>
      <c r="K1002" s="2" t="s">
        <v>565</v>
      </c>
      <c r="L1002" s="3">
        <v>47.09</v>
      </c>
      <c r="M1002" s="3">
        <v>49.44</v>
      </c>
      <c r="N1002" s="3">
        <v>98.99</v>
      </c>
      <c r="O1002" s="2" t="s">
        <v>224</v>
      </c>
      <c r="P1002" s="2" t="s">
        <v>550</v>
      </c>
      <c r="Q1002" s="2" t="s">
        <v>226</v>
      </c>
      <c r="R1002" s="2" t="s">
        <v>227</v>
      </c>
      <c r="S1002" s="2" t="s">
        <v>5851</v>
      </c>
      <c r="T1002" s="2" t="s">
        <v>227</v>
      </c>
      <c r="U1002" s="2" t="s">
        <v>552</v>
      </c>
      <c r="V1002" s="2" t="s">
        <v>945</v>
      </c>
      <c r="W1002" s="2" t="s">
        <v>487</v>
      </c>
      <c r="X1002" s="2" t="s">
        <v>227</v>
      </c>
      <c r="Y1002" s="2" t="s">
        <v>2243</v>
      </c>
      <c r="Z1002" s="4">
        <v>266</v>
      </c>
      <c r="AA1002" s="4">
        <f>=ROUNDDOWN(29.5555555555556,0)</f>
      </c>
      <c r="AB1002" s="5">
        <v>9</v>
      </c>
      <c r="AC1002" s="2" t="s">
        <v>227</v>
      </c>
      <c r="AD1002" s="4"/>
      <c r="AE1002" s="4"/>
      <c r="AF1002" s="6">
        <v>63</v>
      </c>
      <c r="AG1002" s="6"/>
      <c r="AH1002" s="7">
        <v>1</v>
      </c>
      <c r="AI1002" s="4"/>
      <c r="AJ1002" s="4">
        <f>=ROUNDDOWN({0},0)</f>
      </c>
      <c r="AK1002" s="5"/>
      <c r="AL1002" s="2" t="s">
        <v>227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 t="s">
        <v>227</v>
      </c>
      <c r="BD1002" s="8" t="s">
        <v>227</v>
      </c>
      <c r="BE1002" s="4" t="s">
        <v>227</v>
      </c>
      <c r="BF1002" s="8" t="s">
        <v>227</v>
      </c>
      <c r="BG1002" s="7" t="s">
        <v>227</v>
      </c>
      <c r="BH1002" s="7" t="s">
        <v>227</v>
      </c>
      <c r="BI1002" s="7"/>
      <c r="BJ1002" s="4">
        <v>28</v>
      </c>
      <c r="BK1002" s="8">
        <v>1513.04</v>
      </c>
      <c r="BL1002" s="2" t="s">
        <v>5852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5853</v>
      </c>
      <c r="BV1002" s="2" t="s">
        <v>227</v>
      </c>
      <c r="BW1002" s="2" t="s">
        <v>227</v>
      </c>
      <c r="BX1002" s="2" t="s">
        <v>235</v>
      </c>
      <c r="BY1002" s="2" t="s">
        <v>236</v>
      </c>
      <c r="BZ1002" s="2" t="s">
        <v>224</v>
      </c>
      <c r="CA1002" s="2" t="s">
        <v>1374</v>
      </c>
      <c r="CB1002" s="2" t="s">
        <v>5854</v>
      </c>
      <c r="CC1002" s="2" t="s">
        <v>239</v>
      </c>
      <c r="CD1002" s="2" t="s">
        <v>227</v>
      </c>
      <c r="CE1002" s="4"/>
      <c r="CF1002" s="4">
        <v>266</v>
      </c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/>
      <c r="ET1002" s="4"/>
      <c r="EU1002" s="4"/>
      <c r="EV1002" s="4"/>
      <c r="EW1002" s="4"/>
      <c r="EX1002" s="4"/>
      <c r="EY1002" s="4"/>
      <c r="EZ1002" s="4"/>
      <c r="FA1002" s="4"/>
      <c r="FB1002" s="4"/>
      <c r="FC1002" s="4"/>
      <c r="FD1002" s="4"/>
      <c r="FE1002" s="4"/>
      <c r="FF1002" s="4"/>
      <c r="FG1002" s="4"/>
      <c r="FH1002" s="4"/>
      <c r="FI1002" s="4"/>
      <c r="FJ1002" s="4"/>
      <c r="FK1002" s="4"/>
      <c r="FL1002" s="4"/>
      <c r="FM1002" s="4"/>
      <c r="FN1002" s="4"/>
      <c r="FO1002" s="4"/>
      <c r="FP1002" s="4"/>
      <c r="FQ1002" s="4"/>
      <c r="FR1002" s="4"/>
      <c r="FS1002" s="4"/>
      <c r="FT1002" s="4"/>
      <c r="FU1002" s="4"/>
      <c r="FV1002" s="4"/>
      <c r="FW1002" s="4"/>
      <c r="FX1002" s="4"/>
      <c r="FY1002" s="4"/>
      <c r="FZ1002" s="4"/>
      <c r="GA1002" s="4"/>
      <c r="GB1002" s="4"/>
      <c r="GC1002" s="4"/>
      <c r="GD1002" s="4"/>
      <c r="GE1002" s="4"/>
      <c r="GF1002" s="4"/>
      <c r="GG1002" s="4"/>
      <c r="GH1002" s="4"/>
      <c r="GI1002" s="4"/>
      <c r="GJ1002" s="4"/>
      <c r="GK1002" s="4"/>
      <c r="GL1002" s="4"/>
      <c r="GM1002" s="4"/>
      <c r="GN1002" s="4"/>
      <c r="GO1002" s="4"/>
      <c r="GP1002" s="4"/>
      <c r="GQ1002" s="4"/>
      <c r="GR1002" s="4"/>
      <c r="GS1002" s="4"/>
      <c r="GT1002" s="4"/>
      <c r="GU1002" s="4"/>
      <c r="GV1002" s="4"/>
      <c r="GW1002" s="4"/>
      <c r="GX1002" s="4"/>
    </row>
    <row r="1003">
      <c r="A1003" s="2" t="s">
        <v>5855</v>
      </c>
      <c r="B1003" s="2" t="s">
        <v>542</v>
      </c>
      <c r="C1003" s="2" t="s">
        <v>515</v>
      </c>
      <c r="D1003" s="2" t="s">
        <v>1039</v>
      </c>
      <c r="E1003" s="2" t="s">
        <v>4061</v>
      </c>
      <c r="F1003" s="2" t="s">
        <v>5848</v>
      </c>
      <c r="G1003" s="2" t="s">
        <v>5848</v>
      </c>
      <c r="H1003" s="2" t="s">
        <v>5848</v>
      </c>
      <c r="I1003" s="2" t="s">
        <v>5856</v>
      </c>
      <c r="J1003" s="2" t="s">
        <v>4351</v>
      </c>
      <c r="K1003" s="2" t="s">
        <v>264</v>
      </c>
      <c r="L1003" s="3">
        <v>93.25</v>
      </c>
      <c r="M1003" s="3">
        <v>97.91</v>
      </c>
      <c r="N1003" s="3">
        <v>206.99</v>
      </c>
      <c r="O1003" s="2" t="s">
        <v>224</v>
      </c>
      <c r="P1003" s="2" t="s">
        <v>580</v>
      </c>
      <c r="Q1003" s="2" t="s">
        <v>226</v>
      </c>
      <c r="R1003" s="2" t="s">
        <v>227</v>
      </c>
      <c r="S1003" s="2" t="s">
        <v>227</v>
      </c>
      <c r="T1003" s="2" t="s">
        <v>227</v>
      </c>
      <c r="U1003" s="2" t="s">
        <v>674</v>
      </c>
      <c r="V1003" s="2" t="s">
        <v>566</v>
      </c>
      <c r="W1003" s="2" t="s">
        <v>487</v>
      </c>
      <c r="X1003" s="2" t="s">
        <v>836</v>
      </c>
      <c r="Y1003" s="2" t="s">
        <v>4822</v>
      </c>
      <c r="Z1003" s="4">
        <v>70</v>
      </c>
      <c r="AA1003" s="4">
        <f>=ROUNDDOWN(70,0)</f>
      </c>
      <c r="AB1003" s="5">
        <v>1</v>
      </c>
      <c r="AC1003" s="2" t="s">
        <v>227</v>
      </c>
      <c r="AD1003" s="4"/>
      <c r="AE1003" s="4"/>
      <c r="AF1003" s="6">
        <v>63</v>
      </c>
      <c r="AG1003" s="6"/>
      <c r="AH1003" s="7">
        <v>1</v>
      </c>
      <c r="AI1003" s="4"/>
      <c r="AJ1003" s="4">
        <f>=ROUNDDOWN({0},0)</f>
      </c>
      <c r="AK1003" s="5"/>
      <c r="AL1003" s="2" t="s">
        <v>227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/>
      <c r="AW1003" s="8"/>
      <c r="AX1003" s="4"/>
      <c r="AY1003" s="8"/>
      <c r="AZ1003" s="7"/>
      <c r="BA1003" s="7"/>
      <c r="BB1003" s="7"/>
      <c r="BC1003" s="4" t="s">
        <v>227</v>
      </c>
      <c r="BD1003" s="8" t="s">
        <v>227</v>
      </c>
      <c r="BE1003" s="4" t="s">
        <v>227</v>
      </c>
      <c r="BF1003" s="8" t="s">
        <v>227</v>
      </c>
      <c r="BG1003" s="7" t="s">
        <v>227</v>
      </c>
      <c r="BH1003" s="7" t="s">
        <v>227</v>
      </c>
      <c r="BI1003" s="7"/>
      <c r="BJ1003" s="4">
        <v>2</v>
      </c>
      <c r="BK1003" s="8">
        <v>185.58</v>
      </c>
      <c r="BL1003" s="2" t="s">
        <v>654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5857</v>
      </c>
      <c r="BV1003" s="2" t="s">
        <v>227</v>
      </c>
      <c r="BW1003" s="2" t="s">
        <v>227</v>
      </c>
      <c r="BX1003" s="2" t="s">
        <v>235</v>
      </c>
      <c r="BY1003" s="2" t="s">
        <v>236</v>
      </c>
      <c r="BZ1003" s="2" t="s">
        <v>224</v>
      </c>
      <c r="CA1003" s="2" t="s">
        <v>293</v>
      </c>
      <c r="CB1003" s="2" t="s">
        <v>5858</v>
      </c>
      <c r="CC1003" s="2" t="s">
        <v>239</v>
      </c>
      <c r="CD1003" s="2" t="s">
        <v>227</v>
      </c>
      <c r="CE1003" s="4"/>
      <c r="CF1003" s="4">
        <v>70</v>
      </c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/>
      <c r="ET1003" s="4"/>
      <c r="EU1003" s="4"/>
      <c r="EV1003" s="4"/>
      <c r="EW1003" s="4"/>
      <c r="EX1003" s="4"/>
      <c r="EY1003" s="4"/>
      <c r="EZ1003" s="4"/>
      <c r="FA1003" s="4"/>
      <c r="FB1003" s="4"/>
      <c r="FC1003" s="4"/>
      <c r="FD1003" s="4"/>
      <c r="FE1003" s="4"/>
      <c r="FF1003" s="4"/>
      <c r="FG1003" s="4"/>
      <c r="FH1003" s="4"/>
      <c r="FI1003" s="4"/>
      <c r="FJ1003" s="4"/>
      <c r="FK1003" s="4"/>
      <c r="FL1003" s="4"/>
      <c r="FM1003" s="4"/>
      <c r="FN1003" s="4"/>
      <c r="FO1003" s="4"/>
      <c r="FP1003" s="4"/>
      <c r="FQ1003" s="4"/>
      <c r="FR1003" s="4"/>
      <c r="FS1003" s="4"/>
      <c r="FT1003" s="4"/>
      <c r="FU1003" s="4"/>
      <c r="FV1003" s="4"/>
      <c r="FW1003" s="4"/>
      <c r="FX1003" s="4"/>
      <c r="FY1003" s="4"/>
      <c r="FZ1003" s="4"/>
      <c r="GA1003" s="4"/>
      <c r="GB1003" s="4"/>
      <c r="GC1003" s="4"/>
      <c r="GD1003" s="4"/>
      <c r="GE1003" s="4"/>
      <c r="GF1003" s="4"/>
      <c r="GG1003" s="4"/>
      <c r="GH1003" s="4"/>
      <c r="GI1003" s="4"/>
      <c r="GJ1003" s="4"/>
      <c r="GK1003" s="4"/>
      <c r="GL1003" s="4"/>
      <c r="GM1003" s="4"/>
      <c r="GN1003" s="4"/>
      <c r="GO1003" s="4"/>
      <c r="GP1003" s="4"/>
      <c r="GQ1003" s="4"/>
      <c r="GR1003" s="4"/>
      <c r="GS1003" s="4"/>
      <c r="GT1003" s="4"/>
      <c r="GU1003" s="4"/>
      <c r="GV1003" s="4"/>
      <c r="GW1003" s="4"/>
      <c r="GX1003" s="4"/>
    </row>
    <row r="1004">
      <c r="A1004" s="2" t="s">
        <v>5859</v>
      </c>
      <c r="B1004" s="2" t="s">
        <v>573</v>
      </c>
      <c r="C1004" s="2" t="s">
        <v>668</v>
      </c>
      <c r="D1004" s="2" t="s">
        <v>3832</v>
      </c>
      <c r="E1004" s="2" t="s">
        <v>3833</v>
      </c>
      <c r="F1004" s="2" t="s">
        <v>5860</v>
      </c>
      <c r="G1004" s="2" t="s">
        <v>5860</v>
      </c>
      <c r="H1004" s="2" t="s">
        <v>5860</v>
      </c>
      <c r="I1004" s="2" t="s">
        <v>5861</v>
      </c>
      <c r="J1004" s="2" t="s">
        <v>548</v>
      </c>
      <c r="K1004" s="2" t="s">
        <v>1428</v>
      </c>
      <c r="L1004" s="3">
        <v>143</v>
      </c>
      <c r="M1004" s="3">
        <v>150.15</v>
      </c>
      <c r="N1004" s="3">
        <v>299</v>
      </c>
      <c r="O1004" s="2" t="s">
        <v>224</v>
      </c>
      <c r="P1004" s="2" t="s">
        <v>580</v>
      </c>
      <c r="Q1004" s="2" t="s">
        <v>226</v>
      </c>
      <c r="R1004" s="2" t="s">
        <v>227</v>
      </c>
      <c r="S1004" s="2" t="s">
        <v>227</v>
      </c>
      <c r="T1004" s="2" t="s">
        <v>227</v>
      </c>
      <c r="U1004" s="2" t="s">
        <v>227</v>
      </c>
      <c r="V1004" s="2" t="s">
        <v>566</v>
      </c>
      <c r="W1004" s="2" t="s">
        <v>836</v>
      </c>
      <c r="X1004" s="2" t="s">
        <v>227</v>
      </c>
      <c r="Y1004" s="2" t="s">
        <v>3121</v>
      </c>
      <c r="Z1004" s="4">
        <v>107</v>
      </c>
      <c r="AA1004" s="4">
        <f>=ROUNDDOWN(53.5,0)</f>
      </c>
      <c r="AB1004" s="5">
        <v>2</v>
      </c>
      <c r="AC1004" s="2" t="s">
        <v>227</v>
      </c>
      <c r="AD1004" s="4"/>
      <c r="AE1004" s="4"/>
      <c r="AF1004" s="6">
        <v>74</v>
      </c>
      <c r="AG1004" s="6"/>
      <c r="AH1004" s="7">
        <v>1</v>
      </c>
      <c r="AI1004" s="4"/>
      <c r="AJ1004" s="4">
        <f>=ROUNDDOWN({0},0)</f>
      </c>
      <c r="AK1004" s="5"/>
      <c r="AL1004" s="2" t="s">
        <v>227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/>
      <c r="AW1004" s="8"/>
      <c r="AX1004" s="4"/>
      <c r="AY1004" s="8"/>
      <c r="AZ1004" s="7"/>
      <c r="BA1004" s="7"/>
      <c r="BB1004" s="7"/>
      <c r="BC1004" s="4"/>
      <c r="BD1004" s="8"/>
      <c r="BE1004" s="4"/>
      <c r="BF1004" s="8"/>
      <c r="BG1004" s="7"/>
      <c r="BH1004" s="7"/>
      <c r="BI1004" s="7"/>
      <c r="BJ1004" s="4">
        <v>7</v>
      </c>
      <c r="BK1004" s="8">
        <v>1078.08</v>
      </c>
      <c r="BL1004" s="2" t="s">
        <v>5862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5863</v>
      </c>
      <c r="BV1004" s="2" t="s">
        <v>227</v>
      </c>
      <c r="BW1004" s="2" t="s">
        <v>227</v>
      </c>
      <c r="BX1004" s="2" t="s">
        <v>235</v>
      </c>
      <c r="BY1004" s="2" t="s">
        <v>236</v>
      </c>
      <c r="BZ1004" s="2" t="s">
        <v>224</v>
      </c>
      <c r="CA1004" s="2" t="s">
        <v>5864</v>
      </c>
      <c r="CB1004" s="2" t="s">
        <v>2708</v>
      </c>
      <c r="CC1004" s="2" t="s">
        <v>239</v>
      </c>
      <c r="CD1004" s="2" t="s">
        <v>227</v>
      </c>
      <c r="CE1004" s="4"/>
      <c r="CF1004" s="4">
        <v>107</v>
      </c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/>
      <c r="ES1004" s="4"/>
      <c r="ET1004" s="4"/>
      <c r="EU1004" s="4"/>
      <c r="EV1004" s="4"/>
      <c r="EW1004" s="4"/>
      <c r="EX1004" s="4"/>
      <c r="EY1004" s="4"/>
      <c r="EZ1004" s="4"/>
      <c r="FA1004" s="4"/>
      <c r="FB1004" s="4"/>
      <c r="FC1004" s="4"/>
      <c r="FD1004" s="4"/>
      <c r="FE1004" s="4"/>
      <c r="FF1004" s="4"/>
      <c r="FG1004" s="4"/>
      <c r="FH1004" s="4"/>
      <c r="FI1004" s="4"/>
      <c r="FJ1004" s="4"/>
      <c r="FK1004" s="4"/>
      <c r="FL1004" s="4"/>
      <c r="FM1004" s="4"/>
      <c r="FN1004" s="4"/>
      <c r="FO1004" s="4"/>
      <c r="FP1004" s="4"/>
      <c r="FQ1004" s="4"/>
      <c r="FR1004" s="4"/>
      <c r="FS1004" s="4"/>
      <c r="FT1004" s="4"/>
      <c r="FU1004" s="4"/>
      <c r="FV1004" s="4"/>
      <c r="FW1004" s="4"/>
      <c r="FX1004" s="4"/>
      <c r="FY1004" s="4"/>
      <c r="FZ1004" s="4"/>
      <c r="GA1004" s="4"/>
      <c r="GB1004" s="4"/>
      <c r="GC1004" s="4"/>
      <c r="GD1004" s="4"/>
      <c r="GE1004" s="4"/>
      <c r="GF1004" s="4"/>
      <c r="GG1004" s="4"/>
      <c r="GH1004" s="4"/>
      <c r="GI1004" s="4"/>
      <c r="GJ1004" s="4"/>
      <c r="GK1004" s="4"/>
      <c r="GL1004" s="4"/>
      <c r="GM1004" s="4"/>
      <c r="GN1004" s="4"/>
      <c r="GO1004" s="4"/>
      <c r="GP1004" s="4"/>
      <c r="GQ1004" s="4"/>
      <c r="GR1004" s="4"/>
      <c r="GS1004" s="4"/>
      <c r="GT1004" s="4"/>
      <c r="GU1004" s="4"/>
      <c r="GV1004" s="4"/>
      <c r="GW1004" s="4"/>
      <c r="GX1004" s="4"/>
    </row>
    <row r="1005">
      <c r="A1005" s="2" t="s">
        <v>5865</v>
      </c>
      <c r="B1005" s="2" t="s">
        <v>542</v>
      </c>
      <c r="C1005" s="2" t="s">
        <v>360</v>
      </c>
      <c r="D1005" s="2" t="s">
        <v>1052</v>
      </c>
      <c r="E1005" s="2" t="s">
        <v>1053</v>
      </c>
      <c r="F1005" s="2" t="s">
        <v>5866</v>
      </c>
      <c r="G1005" s="2" t="s">
        <v>5866</v>
      </c>
      <c r="H1005" s="2" t="s">
        <v>5866</v>
      </c>
      <c r="I1005" s="2" t="s">
        <v>5867</v>
      </c>
      <c r="J1005" s="2" t="s">
        <v>548</v>
      </c>
      <c r="K1005" s="2" t="s">
        <v>5868</v>
      </c>
      <c r="L1005" s="3">
        <v>6.66</v>
      </c>
      <c r="M1005" s="3">
        <v>6.99</v>
      </c>
      <c r="N1005" s="3">
        <v>19.99</v>
      </c>
      <c r="O1005" s="2" t="s">
        <v>224</v>
      </c>
      <c r="P1005" s="2" t="s">
        <v>580</v>
      </c>
      <c r="Q1005" s="2" t="s">
        <v>226</v>
      </c>
      <c r="R1005" s="2" t="s">
        <v>227</v>
      </c>
      <c r="S1005" s="2" t="s">
        <v>227</v>
      </c>
      <c r="T1005" s="2" t="s">
        <v>227</v>
      </c>
      <c r="U1005" s="2" t="s">
        <v>552</v>
      </c>
      <c r="V1005" s="2" t="s">
        <v>1153</v>
      </c>
      <c r="W1005" s="2" t="s">
        <v>231</v>
      </c>
      <c r="X1005" s="2" t="s">
        <v>706</v>
      </c>
      <c r="Y1005" s="2" t="s">
        <v>1154</v>
      </c>
      <c r="Z1005" s="4">
        <v>256</v>
      </c>
      <c r="AA1005" s="4">
        <f>=ROUNDDOWN(42.6666666666667,0)</f>
      </c>
      <c r="AB1005" s="5">
        <v>6</v>
      </c>
      <c r="AC1005" s="2" t="s">
        <v>227</v>
      </c>
      <c r="AD1005" s="4"/>
      <c r="AE1005" s="4"/>
      <c r="AF1005" s="6">
        <v>63</v>
      </c>
      <c r="AG1005" s="6"/>
      <c r="AH1005" s="7">
        <v>1</v>
      </c>
      <c r="AI1005" s="4"/>
      <c r="AJ1005" s="4">
        <f>=ROUNDDOWN({0},0)</f>
      </c>
      <c r="AK1005" s="5"/>
      <c r="AL1005" s="2" t="s">
        <v>227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/>
      <c r="AW1005" s="8"/>
      <c r="AX1005" s="4"/>
      <c r="AY1005" s="8"/>
      <c r="AZ1005" s="7"/>
      <c r="BA1005" s="7"/>
      <c r="BB1005" s="7"/>
      <c r="BC1005" s="4"/>
      <c r="BD1005" s="8"/>
      <c r="BE1005" s="4"/>
      <c r="BF1005" s="8"/>
      <c r="BG1005" s="7"/>
      <c r="BH1005" s="7"/>
      <c r="BI1005" s="7"/>
      <c r="BJ1005" s="4">
        <v>13</v>
      </c>
      <c r="BK1005" s="8">
        <v>109.98</v>
      </c>
      <c r="BL1005" s="2" t="s">
        <v>1601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5869</v>
      </c>
      <c r="BV1005" s="2" t="s">
        <v>227</v>
      </c>
      <c r="BW1005" s="2" t="s">
        <v>227</v>
      </c>
      <c r="BX1005" s="2" t="s">
        <v>235</v>
      </c>
      <c r="BY1005" s="2" t="s">
        <v>236</v>
      </c>
      <c r="BZ1005" s="2" t="s">
        <v>224</v>
      </c>
      <c r="CA1005" s="2" t="s">
        <v>1157</v>
      </c>
      <c r="CB1005" s="2" t="s">
        <v>227</v>
      </c>
      <c r="CC1005" s="2" t="s">
        <v>239</v>
      </c>
      <c r="CD1005" s="2" t="s">
        <v>227</v>
      </c>
      <c r="CE1005" s="4"/>
      <c r="CF1005" s="4">
        <v>256</v>
      </c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/>
      <c r="FB1005" s="4"/>
      <c r="FC1005" s="4"/>
      <c r="FD1005" s="4"/>
      <c r="FE1005" s="4"/>
      <c r="FF1005" s="4"/>
      <c r="FG1005" s="4"/>
      <c r="FH1005" s="4"/>
      <c r="FI1005" s="4"/>
      <c r="FJ1005" s="4"/>
      <c r="FK1005" s="4"/>
      <c r="FL1005" s="4"/>
      <c r="FM1005" s="4"/>
      <c r="FN1005" s="4"/>
      <c r="FO1005" s="4"/>
      <c r="FP1005" s="4"/>
      <c r="FQ1005" s="4"/>
      <c r="FR1005" s="4"/>
      <c r="FS1005" s="4"/>
      <c r="FT1005" s="4"/>
      <c r="FU1005" s="4"/>
      <c r="FV1005" s="4"/>
      <c r="FW1005" s="4"/>
      <c r="FX1005" s="4"/>
      <c r="FY1005" s="4"/>
      <c r="FZ1005" s="4"/>
      <c r="GA1005" s="4"/>
      <c r="GB1005" s="4"/>
      <c r="GC1005" s="4"/>
      <c r="GD1005" s="4"/>
      <c r="GE1005" s="4"/>
      <c r="GF1005" s="4"/>
      <c r="GG1005" s="4"/>
      <c r="GH1005" s="4"/>
      <c r="GI1005" s="4"/>
      <c r="GJ1005" s="4"/>
      <c r="GK1005" s="4"/>
      <c r="GL1005" s="4"/>
      <c r="GM1005" s="4"/>
      <c r="GN1005" s="4"/>
      <c r="GO1005" s="4"/>
      <c r="GP1005" s="4"/>
      <c r="GQ1005" s="4"/>
      <c r="GR1005" s="4"/>
      <c r="GS1005" s="4"/>
      <c r="GT1005" s="4"/>
      <c r="GU1005" s="4"/>
      <c r="GV1005" s="4"/>
      <c r="GW1005" s="4"/>
      <c r="GX1005" s="4"/>
    </row>
    <row r="1006">
      <c r="A1006" s="2" t="s">
        <v>5870</v>
      </c>
      <c r="B1006" s="2" t="s">
        <v>667</v>
      </c>
      <c r="C1006" s="2" t="s">
        <v>1803</v>
      </c>
      <c r="D1006" s="2" t="s">
        <v>620</v>
      </c>
      <c r="E1006" s="2" t="s">
        <v>621</v>
      </c>
      <c r="F1006" s="2" t="s">
        <v>5871</v>
      </c>
      <c r="G1006" s="2" t="s">
        <v>227</v>
      </c>
      <c r="H1006" s="2" t="s">
        <v>227</v>
      </c>
      <c r="I1006" s="2" t="s">
        <v>669</v>
      </c>
      <c r="J1006" s="2" t="s">
        <v>626</v>
      </c>
      <c r="K1006" s="2" t="s">
        <v>363</v>
      </c>
      <c r="L1006" s="3">
        <v>96.89</v>
      </c>
      <c r="M1006" s="3">
        <v>101.74</v>
      </c>
      <c r="N1006" s="3">
        <v>199.99</v>
      </c>
      <c r="O1006" s="2" t="s">
        <v>224</v>
      </c>
      <c r="P1006" s="2" t="s">
        <v>225</v>
      </c>
      <c r="Q1006" s="2" t="s">
        <v>226</v>
      </c>
      <c r="R1006" s="2" t="s">
        <v>227</v>
      </c>
      <c r="S1006" s="2" t="s">
        <v>5872</v>
      </c>
      <c r="T1006" s="2" t="s">
        <v>227</v>
      </c>
      <c r="U1006" s="2" t="s">
        <v>227</v>
      </c>
      <c r="V1006" s="2" t="s">
        <v>925</v>
      </c>
      <c r="W1006" s="2" t="s">
        <v>706</v>
      </c>
      <c r="X1006" s="2" t="s">
        <v>1552</v>
      </c>
      <c r="Y1006" s="2" t="s">
        <v>232</v>
      </c>
      <c r="Z1006" s="4">
        <v>79</v>
      </c>
      <c r="AA1006" s="4">
        <f>=ROUNDDOWN(39.5,0)</f>
      </c>
      <c r="AB1006" s="5">
        <v>2</v>
      </c>
      <c r="AC1006" s="2" t="s">
        <v>193</v>
      </c>
      <c r="AD1006" s="4">
        <v>70</v>
      </c>
      <c r="AE1006" s="4">
        <v>70</v>
      </c>
      <c r="AF1006" s="6">
        <v>69</v>
      </c>
      <c r="AG1006" s="6"/>
      <c r="AH1006" s="7">
        <v>1</v>
      </c>
      <c r="AI1006" s="4"/>
      <c r="AJ1006" s="4">
        <f>=ROUNDDOWN({0},0)</f>
      </c>
      <c r="AK1006" s="5"/>
      <c r="AL1006" s="2" t="s">
        <v>227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/>
      <c r="BD1006" s="8"/>
      <c r="BE1006" s="4"/>
      <c r="BF1006" s="8"/>
      <c r="BG1006" s="7"/>
      <c r="BH1006" s="7"/>
      <c r="BI1006" s="7"/>
      <c r="BJ1006" s="4">
        <v>2</v>
      </c>
      <c r="BK1006" s="8">
        <v>189.98</v>
      </c>
      <c r="BL1006" s="2" t="s">
        <v>5873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5874</v>
      </c>
      <c r="BV1006" s="2" t="s">
        <v>227</v>
      </c>
      <c r="BW1006" s="2" t="s">
        <v>227</v>
      </c>
      <c r="BX1006" s="2" t="s">
        <v>235</v>
      </c>
      <c r="BY1006" s="2" t="s">
        <v>236</v>
      </c>
      <c r="BZ1006" s="2" t="s">
        <v>224</v>
      </c>
      <c r="CA1006" s="2" t="s">
        <v>237</v>
      </c>
      <c r="CB1006" s="2" t="s">
        <v>5875</v>
      </c>
      <c r="CC1006" s="2" t="s">
        <v>239</v>
      </c>
      <c r="CD1006" s="2" t="s">
        <v>227</v>
      </c>
      <c r="CE1006" s="4">
        <v>79</v>
      </c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/>
      <c r="FA1006" s="4"/>
      <c r="FB1006" s="4"/>
      <c r="FC1006" s="4"/>
      <c r="FD1006" s="4"/>
      <c r="FE1006" s="4"/>
      <c r="FF1006" s="4"/>
      <c r="FG1006" s="4"/>
      <c r="FH1006" s="4"/>
      <c r="FI1006" s="4"/>
      <c r="FJ1006" s="4"/>
      <c r="FK1006" s="4"/>
      <c r="FL1006" s="4"/>
      <c r="FM1006" s="4"/>
      <c r="FN1006" s="4"/>
      <c r="FO1006" s="4"/>
      <c r="FP1006" s="4"/>
      <c r="FQ1006" s="4"/>
      <c r="FR1006" s="4"/>
      <c r="FS1006" s="4"/>
      <c r="FT1006" s="4"/>
      <c r="FU1006" s="4"/>
      <c r="FV1006" s="4"/>
      <c r="FW1006" s="4"/>
      <c r="FX1006" s="4"/>
      <c r="FY1006" s="4"/>
      <c r="FZ1006" s="4"/>
      <c r="GA1006" s="4"/>
      <c r="GB1006" s="4"/>
      <c r="GC1006" s="4">
        <v>70</v>
      </c>
      <c r="GD1006" s="4"/>
      <c r="GE1006" s="4"/>
      <c r="GF1006" s="4"/>
      <c r="GG1006" s="4"/>
      <c r="GH1006" s="4"/>
      <c r="GI1006" s="4"/>
      <c r="GJ1006" s="4"/>
      <c r="GK1006" s="4"/>
      <c r="GL1006" s="4"/>
      <c r="GM1006" s="4"/>
      <c r="GN1006" s="4"/>
      <c r="GO1006" s="4"/>
      <c r="GP1006" s="4"/>
      <c r="GQ1006" s="4"/>
      <c r="GR1006" s="4"/>
      <c r="GS1006" s="4"/>
      <c r="GT1006" s="4"/>
      <c r="GU1006" s="4"/>
      <c r="GV1006" s="4"/>
      <c r="GW1006" s="4"/>
      <c r="GX1006" s="4"/>
    </row>
    <row r="1007">
      <c r="A1007" s="2" t="s">
        <v>5876</v>
      </c>
      <c r="B1007" s="2" t="s">
        <v>573</v>
      </c>
      <c r="C1007" s="2" t="s">
        <v>668</v>
      </c>
      <c r="D1007" s="2" t="s">
        <v>1515</v>
      </c>
      <c r="E1007" s="2" t="s">
        <v>1516</v>
      </c>
      <c r="F1007" s="2" t="s">
        <v>5877</v>
      </c>
      <c r="G1007" s="2" t="s">
        <v>5877</v>
      </c>
      <c r="H1007" s="2" t="s">
        <v>5877</v>
      </c>
      <c r="I1007" s="2" t="s">
        <v>5878</v>
      </c>
      <c r="J1007" s="2" t="s">
        <v>548</v>
      </c>
      <c r="K1007" s="2" t="s">
        <v>976</v>
      </c>
      <c r="L1007" s="3">
        <v>114</v>
      </c>
      <c r="M1007" s="3">
        <v>119.7</v>
      </c>
      <c r="N1007" s="3">
        <v>239</v>
      </c>
      <c r="O1007" s="2" t="s">
        <v>224</v>
      </c>
      <c r="P1007" s="2" t="s">
        <v>580</v>
      </c>
      <c r="Q1007" s="2" t="s">
        <v>226</v>
      </c>
      <c r="R1007" s="2" t="s">
        <v>227</v>
      </c>
      <c r="S1007" s="2" t="s">
        <v>5879</v>
      </c>
      <c r="T1007" s="2" t="s">
        <v>227</v>
      </c>
      <c r="U1007" s="2" t="s">
        <v>227</v>
      </c>
      <c r="V1007" s="2" t="s">
        <v>230</v>
      </c>
      <c r="W1007" s="2" t="s">
        <v>4968</v>
      </c>
      <c r="X1007" s="2" t="s">
        <v>227</v>
      </c>
      <c r="Y1007" s="2" t="s">
        <v>1220</v>
      </c>
      <c r="Z1007" s="4">
        <v>7</v>
      </c>
      <c r="AA1007" s="4">
        <f>=ROUNDDOWN(1.75,0)</f>
      </c>
      <c r="AB1007" s="5">
        <v>4</v>
      </c>
      <c r="AC1007" s="2" t="s">
        <v>3326</v>
      </c>
      <c r="AD1007" s="4">
        <v>180</v>
      </c>
      <c r="AE1007" s="4">
        <v>180</v>
      </c>
      <c r="AF1007" s="6">
        <v>76</v>
      </c>
      <c r="AG1007" s="6">
        <v>62</v>
      </c>
      <c r="AH1007" s="7">
        <v>1</v>
      </c>
      <c r="AI1007" s="4"/>
      <c r="AJ1007" s="4">
        <f>=ROUNDDOWN({0},0)</f>
      </c>
      <c r="AK1007" s="5"/>
      <c r="AL1007" s="2" t="s">
        <v>227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/>
      <c r="AW1007" s="8"/>
      <c r="AX1007" s="4"/>
      <c r="AY1007" s="8"/>
      <c r="AZ1007" s="7"/>
      <c r="BA1007" s="7"/>
      <c r="BB1007" s="7"/>
      <c r="BC1007" s="4" t="s">
        <v>227</v>
      </c>
      <c r="BD1007" s="8" t="s">
        <v>227</v>
      </c>
      <c r="BE1007" s="4" t="s">
        <v>227</v>
      </c>
      <c r="BF1007" s="8" t="s">
        <v>227</v>
      </c>
      <c r="BG1007" s="7" t="s">
        <v>227</v>
      </c>
      <c r="BH1007" s="7" t="s">
        <v>227</v>
      </c>
      <c r="BI1007" s="7"/>
      <c r="BJ1007" s="4">
        <v>9</v>
      </c>
      <c r="BK1007" s="8">
        <v>1082.32</v>
      </c>
      <c r="BL1007" s="2" t="s">
        <v>5880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5881</v>
      </c>
      <c r="BV1007" s="2" t="s">
        <v>227</v>
      </c>
      <c r="BW1007" s="2" t="s">
        <v>227</v>
      </c>
      <c r="BX1007" s="2" t="s">
        <v>235</v>
      </c>
      <c r="BY1007" s="2" t="s">
        <v>236</v>
      </c>
      <c r="BZ1007" s="2" t="s">
        <v>224</v>
      </c>
      <c r="CA1007" s="2" t="s">
        <v>5882</v>
      </c>
      <c r="CB1007" s="2" t="s">
        <v>2471</v>
      </c>
      <c r="CC1007" s="2" t="s">
        <v>239</v>
      </c>
      <c r="CD1007" s="2" t="s">
        <v>227</v>
      </c>
      <c r="CE1007" s="4"/>
      <c r="CF1007" s="4">
        <v>6</v>
      </c>
      <c r="CG1007" s="4"/>
      <c r="CH1007" s="4">
        <v>1</v>
      </c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>
        <v>180</v>
      </c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/>
      <c r="FA1007" s="4"/>
      <c r="FB1007" s="4"/>
      <c r="FC1007" s="4"/>
      <c r="FD1007" s="4"/>
      <c r="FE1007" s="4"/>
      <c r="FF1007" s="4"/>
      <c r="FG1007" s="4"/>
      <c r="FH1007" s="4"/>
      <c r="FI1007" s="4"/>
      <c r="FJ1007" s="4"/>
      <c r="FK1007" s="4"/>
      <c r="FL1007" s="4"/>
      <c r="FM1007" s="4"/>
      <c r="FN1007" s="4"/>
      <c r="FO1007" s="4"/>
      <c r="FP1007" s="4"/>
      <c r="FQ1007" s="4"/>
      <c r="FR1007" s="4"/>
      <c r="FS1007" s="4"/>
      <c r="FT1007" s="4"/>
      <c r="FU1007" s="4"/>
      <c r="FV1007" s="4"/>
      <c r="FW1007" s="4"/>
      <c r="FX1007" s="4"/>
      <c r="FY1007" s="4"/>
      <c r="FZ1007" s="4"/>
      <c r="GA1007" s="4"/>
      <c r="GB1007" s="4"/>
      <c r="GC1007" s="4"/>
      <c r="GD1007" s="4"/>
      <c r="GE1007" s="4"/>
      <c r="GF1007" s="4"/>
      <c r="GG1007" s="4"/>
      <c r="GH1007" s="4"/>
      <c r="GI1007" s="4"/>
      <c r="GJ1007" s="4"/>
      <c r="GK1007" s="4"/>
      <c r="GL1007" s="4"/>
      <c r="GM1007" s="4"/>
      <c r="GN1007" s="4"/>
      <c r="GO1007" s="4"/>
      <c r="GP1007" s="4"/>
      <c r="GQ1007" s="4"/>
      <c r="GR1007" s="4"/>
      <c r="GS1007" s="4"/>
      <c r="GT1007" s="4"/>
      <c r="GU1007" s="4"/>
      <c r="GV1007" s="4"/>
      <c r="GW1007" s="4"/>
      <c r="GX1007" s="4"/>
    </row>
    <row r="1008">
      <c r="A1008" s="2" t="s">
        <v>5883</v>
      </c>
      <c r="B1008" s="2" t="s">
        <v>573</v>
      </c>
      <c r="C1008" s="2" t="s">
        <v>668</v>
      </c>
      <c r="D1008" s="2" t="s">
        <v>1230</v>
      </c>
      <c r="E1008" s="2" t="s">
        <v>1231</v>
      </c>
      <c r="F1008" s="2" t="s">
        <v>5877</v>
      </c>
      <c r="G1008" s="2" t="s">
        <v>5877</v>
      </c>
      <c r="H1008" s="2" t="s">
        <v>5877</v>
      </c>
      <c r="I1008" s="2" t="s">
        <v>1398</v>
      </c>
      <c r="J1008" s="2" t="s">
        <v>548</v>
      </c>
      <c r="K1008" s="2" t="s">
        <v>410</v>
      </c>
      <c r="L1008" s="3">
        <v>195</v>
      </c>
      <c r="M1008" s="3">
        <v>204.75</v>
      </c>
      <c r="N1008" s="3">
        <v>409</v>
      </c>
      <c r="O1008" s="2" t="s">
        <v>224</v>
      </c>
      <c r="P1008" s="2" t="s">
        <v>580</v>
      </c>
      <c r="Q1008" s="2" t="s">
        <v>226</v>
      </c>
      <c r="R1008" s="2" t="s">
        <v>227</v>
      </c>
      <c r="S1008" s="2" t="s">
        <v>5884</v>
      </c>
      <c r="T1008" s="2" t="s">
        <v>227</v>
      </c>
      <c r="U1008" s="2" t="s">
        <v>227</v>
      </c>
      <c r="V1008" s="2" t="s">
        <v>230</v>
      </c>
      <c r="W1008" s="2" t="s">
        <v>4968</v>
      </c>
      <c r="X1008" s="2" t="s">
        <v>227</v>
      </c>
      <c r="Y1008" s="2" t="s">
        <v>232</v>
      </c>
      <c r="Z1008" s="4">
        <v>51</v>
      </c>
      <c r="AA1008" s="4">
        <f>=ROUNDDOWN(51,0)</f>
      </c>
      <c r="AB1008" s="5">
        <v>1</v>
      </c>
      <c r="AC1008" s="2" t="s">
        <v>3326</v>
      </c>
      <c r="AD1008" s="4">
        <v>50</v>
      </c>
      <c r="AE1008" s="4">
        <v>50</v>
      </c>
      <c r="AF1008" s="6">
        <v>76</v>
      </c>
      <c r="AG1008" s="6"/>
      <c r="AH1008" s="7">
        <v>1</v>
      </c>
      <c r="AI1008" s="4"/>
      <c r="AJ1008" s="4">
        <f>=ROUNDDOWN({0},0)</f>
      </c>
      <c r="AK1008" s="5"/>
      <c r="AL1008" s="2" t="s">
        <v>227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 t="s">
        <v>227</v>
      </c>
      <c r="BD1008" s="8" t="s">
        <v>227</v>
      </c>
      <c r="BE1008" s="4" t="s">
        <v>227</v>
      </c>
      <c r="BF1008" s="8" t="s">
        <v>227</v>
      </c>
      <c r="BG1008" s="7" t="s">
        <v>227</v>
      </c>
      <c r="BH1008" s="7" t="s">
        <v>227</v>
      </c>
      <c r="BI1008" s="7"/>
      <c r="BJ1008" s="4">
        <v>4</v>
      </c>
      <c r="BK1008" s="8">
        <v>638.29</v>
      </c>
      <c r="BL1008" s="2" t="s">
        <v>1188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5885</v>
      </c>
      <c r="BV1008" s="2" t="s">
        <v>227</v>
      </c>
      <c r="BW1008" s="2" t="s">
        <v>227</v>
      </c>
      <c r="BX1008" s="2" t="s">
        <v>235</v>
      </c>
      <c r="BY1008" s="2" t="s">
        <v>236</v>
      </c>
      <c r="BZ1008" s="2" t="s">
        <v>224</v>
      </c>
      <c r="CA1008" s="2" t="s">
        <v>1402</v>
      </c>
      <c r="CB1008" s="2" t="s">
        <v>276</v>
      </c>
      <c r="CC1008" s="2" t="s">
        <v>239</v>
      </c>
      <c r="CD1008" s="2" t="s">
        <v>227</v>
      </c>
      <c r="CE1008" s="4"/>
      <c r="CF1008" s="4">
        <v>51</v>
      </c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>
        <v>50</v>
      </c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/>
      <c r="FA1008" s="4"/>
      <c r="FB1008" s="4"/>
      <c r="FC1008" s="4"/>
      <c r="FD1008" s="4"/>
      <c r="FE1008" s="4"/>
      <c r="FF1008" s="4"/>
      <c r="FG1008" s="4"/>
      <c r="FH1008" s="4"/>
      <c r="FI1008" s="4"/>
      <c r="FJ1008" s="4"/>
      <c r="FK1008" s="4"/>
      <c r="FL1008" s="4"/>
      <c r="FM1008" s="4"/>
      <c r="FN1008" s="4"/>
      <c r="FO1008" s="4"/>
      <c r="FP1008" s="4"/>
      <c r="FQ1008" s="4"/>
      <c r="FR1008" s="4"/>
      <c r="FS1008" s="4"/>
      <c r="FT1008" s="4"/>
      <c r="FU1008" s="4"/>
      <c r="FV1008" s="4"/>
      <c r="FW1008" s="4"/>
      <c r="FX1008" s="4"/>
      <c r="FY1008" s="4"/>
      <c r="FZ1008" s="4"/>
      <c r="GA1008" s="4"/>
      <c r="GB1008" s="4"/>
      <c r="GC1008" s="4"/>
      <c r="GD1008" s="4"/>
      <c r="GE1008" s="4"/>
      <c r="GF1008" s="4"/>
      <c r="GG1008" s="4"/>
      <c r="GH1008" s="4"/>
      <c r="GI1008" s="4"/>
      <c r="GJ1008" s="4"/>
      <c r="GK1008" s="4"/>
      <c r="GL1008" s="4"/>
      <c r="GM1008" s="4"/>
      <c r="GN1008" s="4"/>
      <c r="GO1008" s="4"/>
      <c r="GP1008" s="4"/>
      <c r="GQ1008" s="4"/>
      <c r="GR1008" s="4"/>
      <c r="GS1008" s="4"/>
      <c r="GT1008" s="4"/>
      <c r="GU1008" s="4"/>
      <c r="GV1008" s="4"/>
      <c r="GW1008" s="4"/>
      <c r="GX1008" s="4"/>
    </row>
    <row r="1009">
      <c r="A1009" s="2" t="s">
        <v>5886</v>
      </c>
      <c r="B1009" s="2" t="s">
        <v>573</v>
      </c>
      <c r="C1009" s="2" t="s">
        <v>360</v>
      </c>
      <c r="D1009" s="2" t="s">
        <v>832</v>
      </c>
      <c r="E1009" s="2" t="s">
        <v>833</v>
      </c>
      <c r="F1009" s="2" t="s">
        <v>5887</v>
      </c>
      <c r="G1009" s="2" t="s">
        <v>5888</v>
      </c>
      <c r="H1009" s="2" t="s">
        <v>5889</v>
      </c>
      <c r="I1009" s="2" t="s">
        <v>5890</v>
      </c>
      <c r="J1009" s="2" t="s">
        <v>548</v>
      </c>
      <c r="K1009" s="2" t="s">
        <v>363</v>
      </c>
      <c r="L1009" s="3">
        <v>172.8</v>
      </c>
      <c r="M1009" s="3">
        <v>181.44</v>
      </c>
      <c r="N1009" s="3">
        <v>359</v>
      </c>
      <c r="O1009" s="2" t="s">
        <v>224</v>
      </c>
      <c r="P1009" s="2" t="s">
        <v>580</v>
      </c>
      <c r="Q1009" s="2" t="s">
        <v>226</v>
      </c>
      <c r="R1009" s="2" t="s">
        <v>227</v>
      </c>
      <c r="S1009" s="2" t="s">
        <v>227</v>
      </c>
      <c r="T1009" s="2" t="s">
        <v>227</v>
      </c>
      <c r="U1009" s="2" t="s">
        <v>552</v>
      </c>
      <c r="V1009" s="2" t="s">
        <v>566</v>
      </c>
      <c r="W1009" s="2" t="s">
        <v>581</v>
      </c>
      <c r="X1009" s="2" t="s">
        <v>506</v>
      </c>
      <c r="Y1009" s="2" t="s">
        <v>5891</v>
      </c>
      <c r="Z1009" s="4">
        <v>27</v>
      </c>
      <c r="AA1009" s="4">
        <f>=ROUNDDOWN(9,0)</f>
      </c>
      <c r="AB1009" s="5">
        <v>3</v>
      </c>
      <c r="AC1009" s="2" t="s">
        <v>188</v>
      </c>
      <c r="AD1009" s="4">
        <v>100</v>
      </c>
      <c r="AE1009" s="4">
        <v>100</v>
      </c>
      <c r="AF1009" s="6">
        <v>66</v>
      </c>
      <c r="AG1009" s="6"/>
      <c r="AH1009" s="7">
        <v>1</v>
      </c>
      <c r="AI1009" s="4"/>
      <c r="AJ1009" s="4">
        <f>=ROUNDDOWN({0},0)</f>
      </c>
      <c r="AK1009" s="5"/>
      <c r="AL1009" s="2" t="s">
        <v>227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/>
      <c r="AW1009" s="8"/>
      <c r="AX1009" s="4"/>
      <c r="AY1009" s="8"/>
      <c r="AZ1009" s="7"/>
      <c r="BA1009" s="7"/>
      <c r="BB1009" s="7"/>
      <c r="BC1009" s="4"/>
      <c r="BD1009" s="8"/>
      <c r="BE1009" s="4"/>
      <c r="BF1009" s="8"/>
      <c r="BG1009" s="7"/>
      <c r="BH1009" s="7"/>
      <c r="BI1009" s="7"/>
      <c r="BJ1009" s="4">
        <v>9</v>
      </c>
      <c r="BK1009" s="8">
        <v>1651.1</v>
      </c>
      <c r="BL1009" s="2" t="s">
        <v>5771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5892</v>
      </c>
      <c r="BV1009" s="2" t="s">
        <v>227</v>
      </c>
      <c r="BW1009" s="2" t="s">
        <v>227</v>
      </c>
      <c r="BX1009" s="2" t="s">
        <v>235</v>
      </c>
      <c r="BY1009" s="2" t="s">
        <v>236</v>
      </c>
      <c r="BZ1009" s="2" t="s">
        <v>224</v>
      </c>
      <c r="CA1009" s="2" t="s">
        <v>1841</v>
      </c>
      <c r="CB1009" s="2" t="s">
        <v>5893</v>
      </c>
      <c r="CC1009" s="2" t="s">
        <v>239</v>
      </c>
      <c r="CD1009" s="2" t="s">
        <v>227</v>
      </c>
      <c r="CE1009" s="4"/>
      <c r="CF1009" s="4">
        <v>27</v>
      </c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/>
      <c r="FA1009" s="4"/>
      <c r="FB1009" s="4"/>
      <c r="FC1009" s="4"/>
      <c r="FD1009" s="4"/>
      <c r="FE1009" s="4"/>
      <c r="FF1009" s="4"/>
      <c r="FG1009" s="4"/>
      <c r="FH1009" s="4"/>
      <c r="FI1009" s="4"/>
      <c r="FJ1009" s="4"/>
      <c r="FK1009" s="4"/>
      <c r="FL1009" s="4"/>
      <c r="FM1009" s="4"/>
      <c r="FN1009" s="4"/>
      <c r="FO1009" s="4"/>
      <c r="FP1009" s="4"/>
      <c r="FQ1009" s="4"/>
      <c r="FR1009" s="4"/>
      <c r="FS1009" s="4"/>
      <c r="FT1009" s="4"/>
      <c r="FU1009" s="4"/>
      <c r="FV1009" s="4"/>
      <c r="FW1009" s="4"/>
      <c r="FX1009" s="4">
        <v>100</v>
      </c>
      <c r="FY1009" s="4"/>
      <c r="FZ1009" s="4"/>
      <c r="GA1009" s="4"/>
      <c r="GB1009" s="4"/>
      <c r="GC1009" s="4"/>
      <c r="GD1009" s="4"/>
      <c r="GE1009" s="4"/>
      <c r="GF1009" s="4"/>
      <c r="GG1009" s="4"/>
      <c r="GH1009" s="4"/>
      <c r="GI1009" s="4"/>
      <c r="GJ1009" s="4"/>
      <c r="GK1009" s="4"/>
      <c r="GL1009" s="4"/>
      <c r="GM1009" s="4"/>
      <c r="GN1009" s="4"/>
      <c r="GO1009" s="4"/>
      <c r="GP1009" s="4"/>
      <c r="GQ1009" s="4"/>
      <c r="GR1009" s="4"/>
      <c r="GS1009" s="4"/>
      <c r="GT1009" s="4"/>
      <c r="GU1009" s="4"/>
      <c r="GV1009" s="4"/>
      <c r="GW1009" s="4"/>
      <c r="GX1009" s="4"/>
    </row>
    <row r="1010">
      <c r="A1010" s="2" t="s">
        <v>5894</v>
      </c>
      <c r="B1010" s="2" t="s">
        <v>667</v>
      </c>
      <c r="C1010" s="2" t="s">
        <v>668</v>
      </c>
      <c r="D1010" s="2" t="s">
        <v>620</v>
      </c>
      <c r="E1010" s="2" t="s">
        <v>669</v>
      </c>
      <c r="F1010" s="2" t="s">
        <v>5895</v>
      </c>
      <c r="G1010" s="2" t="s">
        <v>5895</v>
      </c>
      <c r="H1010" s="2" t="s">
        <v>5895</v>
      </c>
      <c r="I1010" s="2" t="s">
        <v>5896</v>
      </c>
      <c r="J1010" s="2" t="s">
        <v>682</v>
      </c>
      <c r="K1010" s="2" t="s">
        <v>3605</v>
      </c>
      <c r="L1010" s="3">
        <v>67.2</v>
      </c>
      <c r="M1010" s="3">
        <v>70.56</v>
      </c>
      <c r="N1010" s="3">
        <v>139.99</v>
      </c>
      <c r="O1010" s="2" t="s">
        <v>224</v>
      </c>
      <c r="P1010" s="2" t="s">
        <v>225</v>
      </c>
      <c r="Q1010" s="2" t="s">
        <v>226</v>
      </c>
      <c r="R1010" s="2" t="s">
        <v>227</v>
      </c>
      <c r="S1010" s="2" t="s">
        <v>5897</v>
      </c>
      <c r="T1010" s="2" t="s">
        <v>286</v>
      </c>
      <c r="U1010" s="2" t="s">
        <v>674</v>
      </c>
      <c r="V1010" s="2" t="s">
        <v>945</v>
      </c>
      <c r="W1010" s="2" t="s">
        <v>1552</v>
      </c>
      <c r="X1010" s="2" t="s">
        <v>231</v>
      </c>
      <c r="Y1010" s="2" t="s">
        <v>995</v>
      </c>
      <c r="Z1010" s="4">
        <v>133</v>
      </c>
      <c r="AA1010" s="4">
        <f>=ROUNDDOWN(29.5555555555556,0)</f>
      </c>
      <c r="AB1010" s="5">
        <v>4.5</v>
      </c>
      <c r="AC1010" s="2" t="s">
        <v>209</v>
      </c>
      <c r="AD1010" s="4">
        <v>150</v>
      </c>
      <c r="AE1010" s="4">
        <v>200</v>
      </c>
      <c r="AF1010" s="6">
        <v>67</v>
      </c>
      <c r="AG1010" s="6"/>
      <c r="AH1010" s="7">
        <v>1</v>
      </c>
      <c r="AI1010" s="4"/>
      <c r="AJ1010" s="4">
        <f>=ROUNDDOWN({0},0)</f>
      </c>
      <c r="AK1010" s="5"/>
      <c r="AL1010" s="2" t="s">
        <v>227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/>
      <c r="AW1010" s="8"/>
      <c r="AX1010" s="4"/>
      <c r="AY1010" s="8"/>
      <c r="AZ1010" s="7"/>
      <c r="BA1010" s="7"/>
      <c r="BB1010" s="7"/>
      <c r="BC1010" s="4"/>
      <c r="BD1010" s="8"/>
      <c r="BE1010" s="4"/>
      <c r="BF1010" s="8"/>
      <c r="BG1010" s="7"/>
      <c r="BH1010" s="7"/>
      <c r="BI1010" s="7"/>
      <c r="BJ1010" s="4">
        <v>19</v>
      </c>
      <c r="BK1010" s="8">
        <v>1488.86</v>
      </c>
      <c r="BL1010" s="2" t="s">
        <v>1996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5898</v>
      </c>
      <c r="BV1010" s="2" t="s">
        <v>227</v>
      </c>
      <c r="BW1010" s="2" t="s">
        <v>227</v>
      </c>
      <c r="BX1010" s="2" t="s">
        <v>235</v>
      </c>
      <c r="BY1010" s="2" t="s">
        <v>236</v>
      </c>
      <c r="BZ1010" s="2" t="s">
        <v>224</v>
      </c>
      <c r="CA1010" s="2" t="s">
        <v>4262</v>
      </c>
      <c r="CB1010" s="2" t="s">
        <v>310</v>
      </c>
      <c r="CC1010" s="2" t="s">
        <v>239</v>
      </c>
      <c r="CD1010" s="2" t="s">
        <v>227</v>
      </c>
      <c r="CE1010" s="4">
        <v>133</v>
      </c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/>
      <c r="FA1010" s="4"/>
      <c r="FB1010" s="4"/>
      <c r="FC1010" s="4"/>
      <c r="FD1010" s="4"/>
      <c r="FE1010" s="4"/>
      <c r="FF1010" s="4"/>
      <c r="FG1010" s="4"/>
      <c r="FH1010" s="4"/>
      <c r="FI1010" s="4"/>
      <c r="FJ1010" s="4"/>
      <c r="FK1010" s="4"/>
      <c r="FL1010" s="4"/>
      <c r="FM1010" s="4"/>
      <c r="FN1010" s="4"/>
      <c r="FO1010" s="4"/>
      <c r="FP1010" s="4"/>
      <c r="FQ1010" s="4"/>
      <c r="FR1010" s="4"/>
      <c r="FS1010" s="4"/>
      <c r="FT1010" s="4"/>
      <c r="FU1010" s="4"/>
      <c r="FV1010" s="4"/>
      <c r="FW1010" s="4"/>
      <c r="FX1010" s="4"/>
      <c r="FY1010" s="4"/>
      <c r="FZ1010" s="4"/>
      <c r="GA1010" s="4"/>
      <c r="GB1010" s="4"/>
      <c r="GC1010" s="4"/>
      <c r="GD1010" s="4"/>
      <c r="GE1010" s="4"/>
      <c r="GF1010" s="4"/>
      <c r="GG1010" s="4"/>
      <c r="GH1010" s="4"/>
      <c r="GI1010" s="4"/>
      <c r="GJ1010" s="4"/>
      <c r="GK1010" s="4"/>
      <c r="GL1010" s="4"/>
      <c r="GM1010" s="4"/>
      <c r="GN1010" s="4"/>
      <c r="GO1010" s="4"/>
      <c r="GP1010" s="4"/>
      <c r="GQ1010" s="4"/>
      <c r="GR1010" s="4"/>
      <c r="GS1010" s="4">
        <v>150</v>
      </c>
      <c r="GT1010" s="4"/>
      <c r="GU1010" s="4"/>
      <c r="GV1010" s="4"/>
      <c r="GW1010" s="4"/>
      <c r="GX1010" s="4">
        <v>50</v>
      </c>
    </row>
    <row r="1011">
      <c r="A1011" s="2" t="s">
        <v>5899</v>
      </c>
      <c r="B1011" s="2" t="s">
        <v>573</v>
      </c>
      <c r="C1011" s="2" t="s">
        <v>360</v>
      </c>
      <c r="D1011" s="2" t="s">
        <v>832</v>
      </c>
      <c r="E1011" s="2" t="s">
        <v>833</v>
      </c>
      <c r="F1011" s="2" t="s">
        <v>5900</v>
      </c>
      <c r="G1011" s="2" t="s">
        <v>5901</v>
      </c>
      <c r="H1011" s="2" t="s">
        <v>5902</v>
      </c>
      <c r="I1011" s="2" t="s">
        <v>5093</v>
      </c>
      <c r="J1011" s="2" t="s">
        <v>548</v>
      </c>
      <c r="K1011" s="2" t="s">
        <v>223</v>
      </c>
      <c r="L1011" s="3">
        <v>147.25</v>
      </c>
      <c r="M1011" s="3">
        <v>154.61</v>
      </c>
      <c r="N1011" s="3">
        <v>309</v>
      </c>
      <c r="O1011" s="2" t="s">
        <v>224</v>
      </c>
      <c r="P1011" s="2" t="s">
        <v>580</v>
      </c>
      <c r="Q1011" s="2" t="s">
        <v>226</v>
      </c>
      <c r="R1011" s="2" t="s">
        <v>227</v>
      </c>
      <c r="S1011" s="2" t="s">
        <v>5903</v>
      </c>
      <c r="T1011" s="2" t="s">
        <v>227</v>
      </c>
      <c r="U1011" s="2" t="s">
        <v>227</v>
      </c>
      <c r="V1011" s="2" t="s">
        <v>230</v>
      </c>
      <c r="W1011" s="2" t="s">
        <v>676</v>
      </c>
      <c r="X1011" s="2" t="s">
        <v>227</v>
      </c>
      <c r="Y1011" s="2" t="s">
        <v>232</v>
      </c>
      <c r="Z1011" s="4">
        <v>165</v>
      </c>
      <c r="AA1011" s="4">
        <f>=ROUNDDOWN(103.125,0)</f>
      </c>
      <c r="AB1011" s="5">
        <v>1.6</v>
      </c>
      <c r="AC1011" s="2" t="s">
        <v>227</v>
      </c>
      <c r="AD1011" s="4"/>
      <c r="AE1011" s="4"/>
      <c r="AF1011" s="6">
        <v>74</v>
      </c>
      <c r="AG1011" s="6">
        <v>60</v>
      </c>
      <c r="AH1011" s="7">
        <v>1</v>
      </c>
      <c r="AI1011" s="4"/>
      <c r="AJ1011" s="4">
        <f>=ROUNDDOWN({0},0)</f>
      </c>
      <c r="AK1011" s="5"/>
      <c r="AL1011" s="2" t="s">
        <v>227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/>
      <c r="AW1011" s="8"/>
      <c r="AX1011" s="4"/>
      <c r="AY1011" s="8"/>
      <c r="AZ1011" s="7"/>
      <c r="BA1011" s="7"/>
      <c r="BB1011" s="7"/>
      <c r="BC1011" s="4"/>
      <c r="BD1011" s="8"/>
      <c r="BE1011" s="4"/>
      <c r="BF1011" s="8"/>
      <c r="BG1011" s="7"/>
      <c r="BH1011" s="7"/>
      <c r="BI1011" s="7"/>
      <c r="BJ1011" s="4">
        <v>2</v>
      </c>
      <c r="BK1011" s="8">
        <v>331.67</v>
      </c>
      <c r="BL1011" s="2" t="s">
        <v>5904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5905</v>
      </c>
      <c r="BV1011" s="2" t="s">
        <v>227</v>
      </c>
      <c r="BW1011" s="2" t="s">
        <v>227</v>
      </c>
      <c r="BX1011" s="2" t="s">
        <v>235</v>
      </c>
      <c r="BY1011" s="2" t="s">
        <v>236</v>
      </c>
      <c r="BZ1011" s="2" t="s">
        <v>224</v>
      </c>
      <c r="CA1011" s="2" t="s">
        <v>237</v>
      </c>
      <c r="CB1011" s="2" t="s">
        <v>5906</v>
      </c>
      <c r="CC1011" s="2" t="s">
        <v>239</v>
      </c>
      <c r="CD1011" s="2" t="s">
        <v>227</v>
      </c>
      <c r="CE1011" s="4"/>
      <c r="CF1011" s="4">
        <v>165</v>
      </c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/>
      <c r="FB1011" s="4"/>
      <c r="FC1011" s="4"/>
      <c r="FD1011" s="4"/>
      <c r="FE1011" s="4"/>
      <c r="FF1011" s="4"/>
      <c r="FG1011" s="4"/>
      <c r="FH1011" s="4"/>
      <c r="FI1011" s="4"/>
      <c r="FJ1011" s="4"/>
      <c r="FK1011" s="4"/>
      <c r="FL1011" s="4"/>
      <c r="FM1011" s="4"/>
      <c r="FN1011" s="4"/>
      <c r="FO1011" s="4"/>
      <c r="FP1011" s="4"/>
      <c r="FQ1011" s="4"/>
      <c r="FR1011" s="4"/>
      <c r="FS1011" s="4"/>
      <c r="FT1011" s="4"/>
      <c r="FU1011" s="4"/>
      <c r="FV1011" s="4"/>
      <c r="FW1011" s="4"/>
      <c r="FX1011" s="4"/>
      <c r="FY1011" s="4"/>
      <c r="FZ1011" s="4"/>
      <c r="GA1011" s="4"/>
      <c r="GB1011" s="4"/>
      <c r="GC1011" s="4"/>
      <c r="GD1011" s="4"/>
      <c r="GE1011" s="4"/>
      <c r="GF1011" s="4"/>
      <c r="GG1011" s="4"/>
      <c r="GH1011" s="4"/>
      <c r="GI1011" s="4"/>
      <c r="GJ1011" s="4"/>
      <c r="GK1011" s="4"/>
      <c r="GL1011" s="4"/>
      <c r="GM1011" s="4"/>
      <c r="GN1011" s="4"/>
      <c r="GO1011" s="4"/>
      <c r="GP1011" s="4"/>
      <c r="GQ1011" s="4"/>
      <c r="GR1011" s="4"/>
      <c r="GS1011" s="4"/>
      <c r="GT1011" s="4"/>
      <c r="GU1011" s="4"/>
      <c r="GV1011" s="4"/>
      <c r="GW1011" s="4"/>
      <c r="GX1011" s="4"/>
    </row>
    <row r="1012">
      <c r="A1012" s="2" t="s">
        <v>5907</v>
      </c>
      <c r="B1012" s="2" t="s">
        <v>542</v>
      </c>
      <c r="C1012" s="2" t="s">
        <v>668</v>
      </c>
      <c r="D1012" s="2" t="s">
        <v>1039</v>
      </c>
      <c r="E1012" s="2" t="s">
        <v>1377</v>
      </c>
      <c r="F1012" s="2" t="s">
        <v>5908</v>
      </c>
      <c r="G1012" s="2" t="s">
        <v>5908</v>
      </c>
      <c r="H1012" s="2" t="s">
        <v>5908</v>
      </c>
      <c r="I1012" s="2" t="s">
        <v>5909</v>
      </c>
      <c r="J1012" s="2" t="s">
        <v>548</v>
      </c>
      <c r="K1012" s="2" t="s">
        <v>737</v>
      </c>
      <c r="L1012" s="3">
        <v>66.56</v>
      </c>
      <c r="M1012" s="3">
        <v>69.89</v>
      </c>
      <c r="N1012" s="3">
        <v>144.49</v>
      </c>
      <c r="O1012" s="2" t="s">
        <v>224</v>
      </c>
      <c r="P1012" s="2" t="s">
        <v>225</v>
      </c>
      <c r="Q1012" s="2" t="s">
        <v>226</v>
      </c>
      <c r="R1012" s="2" t="s">
        <v>227</v>
      </c>
      <c r="S1012" s="2" t="s">
        <v>5910</v>
      </c>
      <c r="T1012" s="2" t="s">
        <v>227</v>
      </c>
      <c r="U1012" s="2" t="s">
        <v>552</v>
      </c>
      <c r="V1012" s="2" t="s">
        <v>230</v>
      </c>
      <c r="W1012" s="2" t="s">
        <v>836</v>
      </c>
      <c r="X1012" s="2" t="s">
        <v>227</v>
      </c>
      <c r="Y1012" s="2" t="s">
        <v>5911</v>
      </c>
      <c r="Z1012" s="4">
        <v>130</v>
      </c>
      <c r="AA1012" s="4">
        <f>=ROUNDDOWN(26,0)</f>
      </c>
      <c r="AB1012" s="5">
        <v>5</v>
      </c>
      <c r="AC1012" s="2" t="s">
        <v>227</v>
      </c>
      <c r="AD1012" s="4"/>
      <c r="AE1012" s="4"/>
      <c r="AF1012" s="6">
        <v>65</v>
      </c>
      <c r="AG1012" s="6"/>
      <c r="AH1012" s="7">
        <v>1</v>
      </c>
      <c r="AI1012" s="4"/>
      <c r="AJ1012" s="4">
        <f>=ROUNDDOWN({0},0)</f>
      </c>
      <c r="AK1012" s="5"/>
      <c r="AL1012" s="2" t="s">
        <v>227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/>
      <c r="AW1012" s="8"/>
      <c r="AX1012" s="4"/>
      <c r="AY1012" s="8"/>
      <c r="AZ1012" s="7"/>
      <c r="BA1012" s="7"/>
      <c r="BB1012" s="7"/>
      <c r="BC1012" s="4"/>
      <c r="BD1012" s="8"/>
      <c r="BE1012" s="4"/>
      <c r="BF1012" s="8"/>
      <c r="BG1012" s="7"/>
      <c r="BH1012" s="7"/>
      <c r="BI1012" s="7"/>
      <c r="BJ1012" s="4">
        <v>19</v>
      </c>
      <c r="BK1012" s="8">
        <v>1286.36</v>
      </c>
      <c r="BL1012" s="2" t="s">
        <v>5912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5913</v>
      </c>
      <c r="BV1012" s="2" t="s">
        <v>227</v>
      </c>
      <c r="BW1012" s="2" t="s">
        <v>227</v>
      </c>
      <c r="BX1012" s="2" t="s">
        <v>235</v>
      </c>
      <c r="BY1012" s="2" t="s">
        <v>236</v>
      </c>
      <c r="BZ1012" s="2" t="s">
        <v>224</v>
      </c>
      <c r="CA1012" s="2" t="s">
        <v>880</v>
      </c>
      <c r="CB1012" s="2" t="s">
        <v>5914</v>
      </c>
      <c r="CC1012" s="2" t="s">
        <v>239</v>
      </c>
      <c r="CD1012" s="2" t="s">
        <v>227</v>
      </c>
      <c r="CE1012" s="4"/>
      <c r="CF1012" s="4">
        <v>130</v>
      </c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  <c r="EM1012" s="4"/>
      <c r="EN1012" s="4"/>
      <c r="EO1012" s="4"/>
      <c r="EP1012" s="4"/>
      <c r="EQ1012" s="4"/>
      <c r="ER1012" s="4"/>
      <c r="ES1012" s="4"/>
      <c r="ET1012" s="4"/>
      <c r="EU1012" s="4"/>
      <c r="EV1012" s="4"/>
      <c r="EW1012" s="4"/>
      <c r="EX1012" s="4"/>
      <c r="EY1012" s="4"/>
      <c r="EZ1012" s="4"/>
      <c r="FA1012" s="4"/>
      <c r="FB1012" s="4"/>
      <c r="FC1012" s="4"/>
      <c r="FD1012" s="4"/>
      <c r="FE1012" s="4"/>
      <c r="FF1012" s="4"/>
      <c r="FG1012" s="4"/>
      <c r="FH1012" s="4"/>
      <c r="FI1012" s="4"/>
      <c r="FJ1012" s="4"/>
      <c r="FK1012" s="4"/>
      <c r="FL1012" s="4"/>
      <c r="FM1012" s="4"/>
      <c r="FN1012" s="4"/>
      <c r="FO1012" s="4"/>
      <c r="FP1012" s="4"/>
      <c r="FQ1012" s="4"/>
      <c r="FR1012" s="4"/>
      <c r="FS1012" s="4"/>
      <c r="FT1012" s="4"/>
      <c r="FU1012" s="4"/>
      <c r="FV1012" s="4"/>
      <c r="FW1012" s="4"/>
      <c r="FX1012" s="4"/>
      <c r="FY1012" s="4"/>
      <c r="FZ1012" s="4"/>
      <c r="GA1012" s="4"/>
      <c r="GB1012" s="4"/>
      <c r="GC1012" s="4"/>
      <c r="GD1012" s="4"/>
      <c r="GE1012" s="4"/>
      <c r="GF1012" s="4"/>
      <c r="GG1012" s="4"/>
      <c r="GH1012" s="4"/>
      <c r="GI1012" s="4"/>
      <c r="GJ1012" s="4"/>
      <c r="GK1012" s="4"/>
      <c r="GL1012" s="4"/>
      <c r="GM1012" s="4"/>
      <c r="GN1012" s="4"/>
      <c r="GO1012" s="4"/>
      <c r="GP1012" s="4"/>
      <c r="GQ1012" s="4"/>
      <c r="GR1012" s="4"/>
      <c r="GS1012" s="4"/>
      <c r="GT1012" s="4"/>
      <c r="GU1012" s="4"/>
      <c r="GV1012" s="4"/>
      <c r="GW1012" s="4"/>
      <c r="GX1012" s="4"/>
    </row>
    <row r="1013">
      <c r="A1013" s="2" t="s">
        <v>5915</v>
      </c>
      <c r="B1013" s="2" t="s">
        <v>635</v>
      </c>
      <c r="C1013" s="2" t="s">
        <v>636</v>
      </c>
      <c r="D1013" s="2" t="s">
        <v>637</v>
      </c>
      <c r="E1013" s="2" t="s">
        <v>638</v>
      </c>
      <c r="F1013" s="2" t="s">
        <v>5916</v>
      </c>
      <c r="G1013" s="2" t="s">
        <v>5916</v>
      </c>
      <c r="H1013" s="2" t="s">
        <v>5916</v>
      </c>
      <c r="I1013" s="2" t="s">
        <v>5917</v>
      </c>
      <c r="J1013" s="2" t="s">
        <v>3695</v>
      </c>
      <c r="K1013" s="2" t="s">
        <v>2055</v>
      </c>
      <c r="L1013" s="3">
        <v>9.27</v>
      </c>
      <c r="M1013" s="3">
        <v>9.73</v>
      </c>
      <c r="N1013" s="3">
        <v>19.99</v>
      </c>
      <c r="O1013" s="2" t="s">
        <v>224</v>
      </c>
      <c r="P1013" s="2" t="s">
        <v>550</v>
      </c>
      <c r="Q1013" s="2" t="s">
        <v>226</v>
      </c>
      <c r="R1013" s="2" t="s">
        <v>227</v>
      </c>
      <c r="S1013" s="2" t="s">
        <v>227</v>
      </c>
      <c r="T1013" s="2" t="s">
        <v>227</v>
      </c>
      <c r="U1013" s="2" t="s">
        <v>552</v>
      </c>
      <c r="V1013" s="2" t="s">
        <v>566</v>
      </c>
      <c r="W1013" s="2" t="s">
        <v>231</v>
      </c>
      <c r="X1013" s="2" t="s">
        <v>227</v>
      </c>
      <c r="Y1013" s="2" t="s">
        <v>1626</v>
      </c>
      <c r="Z1013" s="4">
        <v>83</v>
      </c>
      <c r="AA1013" s="4">
        <f>=ROUNDDOWN(3.77272727272727,0)</f>
      </c>
      <c r="AB1013" s="5">
        <v>22</v>
      </c>
      <c r="AC1013" s="2" t="s">
        <v>152</v>
      </c>
      <c r="AD1013" s="4">
        <v>552</v>
      </c>
      <c r="AE1013" s="4">
        <v>642</v>
      </c>
      <c r="AF1013" s="6">
        <v>65</v>
      </c>
      <c r="AG1013" s="6"/>
      <c r="AH1013" s="7">
        <v>0.3871</v>
      </c>
      <c r="AI1013" s="4"/>
      <c r="AJ1013" s="4">
        <f>=ROUNDDOWN({0},0)</f>
      </c>
      <c r="AK1013" s="5"/>
      <c r="AL1013" s="2" t="s">
        <v>227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 t="s">
        <v>227</v>
      </c>
      <c r="AW1013" s="8" t="s">
        <v>227</v>
      </c>
      <c r="AX1013" s="4" t="s">
        <v>227</v>
      </c>
      <c r="AY1013" s="8" t="s">
        <v>227</v>
      </c>
      <c r="AZ1013" s="7" t="s">
        <v>227</v>
      </c>
      <c r="BA1013" s="7" t="s">
        <v>227</v>
      </c>
      <c r="BB1013" s="7"/>
      <c r="BC1013" s="4" t="s">
        <v>227</v>
      </c>
      <c r="BD1013" s="8" t="s">
        <v>227</v>
      </c>
      <c r="BE1013" s="4" t="s">
        <v>227</v>
      </c>
      <c r="BF1013" s="8" t="s">
        <v>227</v>
      </c>
      <c r="BG1013" s="7" t="s">
        <v>227</v>
      </c>
      <c r="BH1013" s="7" t="s">
        <v>227</v>
      </c>
      <c r="BI1013" s="7"/>
      <c r="BJ1013" s="4">
        <v>30</v>
      </c>
      <c r="BK1013" s="8">
        <v>319.8</v>
      </c>
      <c r="BL1013" s="2" t="s">
        <v>664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5918</v>
      </c>
      <c r="BV1013" s="2" t="s">
        <v>227</v>
      </c>
      <c r="BW1013" s="2" t="s">
        <v>227</v>
      </c>
      <c r="BX1013" s="2" t="s">
        <v>235</v>
      </c>
      <c r="BY1013" s="2" t="s">
        <v>236</v>
      </c>
      <c r="BZ1013" s="2" t="s">
        <v>224</v>
      </c>
      <c r="CA1013" s="2" t="s">
        <v>3729</v>
      </c>
      <c r="CB1013" s="2" t="s">
        <v>227</v>
      </c>
      <c r="CC1013" s="2" t="s">
        <v>239</v>
      </c>
      <c r="CD1013" s="2" t="s">
        <v>227</v>
      </c>
      <c r="CE1013" s="4">
        <v>78</v>
      </c>
      <c r="CF1013" s="4">
        <v>3</v>
      </c>
      <c r="CG1013" s="4"/>
      <c r="CH1013" s="4">
        <v>2</v>
      </c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  <c r="EM1013" s="4"/>
      <c r="EN1013" s="4">
        <v>552</v>
      </c>
      <c r="EO1013" s="4"/>
      <c r="EP1013" s="4"/>
      <c r="EQ1013" s="4"/>
      <c r="ER1013" s="4"/>
      <c r="ES1013" s="4"/>
      <c r="ET1013" s="4"/>
      <c r="EU1013" s="4"/>
      <c r="EV1013" s="4"/>
      <c r="EW1013" s="4"/>
      <c r="EX1013" s="4"/>
      <c r="EY1013" s="4"/>
      <c r="EZ1013" s="4"/>
      <c r="FA1013" s="4"/>
      <c r="FB1013" s="4"/>
      <c r="FC1013" s="4"/>
      <c r="FD1013" s="4"/>
      <c r="FE1013" s="4"/>
      <c r="FF1013" s="4"/>
      <c r="FG1013" s="4"/>
      <c r="FH1013" s="4"/>
      <c r="FI1013" s="4"/>
      <c r="FJ1013" s="4"/>
      <c r="FK1013" s="4"/>
      <c r="FL1013" s="4"/>
      <c r="FM1013" s="4"/>
      <c r="FN1013" s="4"/>
      <c r="FO1013" s="4"/>
      <c r="FP1013" s="4"/>
      <c r="FQ1013" s="4"/>
      <c r="FR1013" s="4"/>
      <c r="FS1013" s="4"/>
      <c r="FT1013" s="4"/>
      <c r="FU1013" s="4"/>
      <c r="FV1013" s="4"/>
      <c r="FW1013" s="4"/>
      <c r="FX1013" s="4"/>
      <c r="FY1013" s="4"/>
      <c r="FZ1013" s="4"/>
      <c r="GA1013" s="4"/>
      <c r="GB1013" s="4"/>
      <c r="GC1013" s="4"/>
      <c r="GD1013" s="4"/>
      <c r="GE1013" s="4"/>
      <c r="GF1013" s="4"/>
      <c r="GG1013" s="4"/>
      <c r="GH1013" s="4"/>
      <c r="GI1013" s="4"/>
      <c r="GJ1013" s="4"/>
      <c r="GK1013" s="4"/>
      <c r="GL1013" s="4"/>
      <c r="GM1013" s="4">
        <v>90</v>
      </c>
      <c r="GN1013" s="4"/>
      <c r="GO1013" s="4"/>
      <c r="GP1013" s="4"/>
      <c r="GQ1013" s="4"/>
      <c r="GR1013" s="4"/>
      <c r="GS1013" s="4"/>
      <c r="GT1013" s="4"/>
      <c r="GU1013" s="4"/>
      <c r="GV1013" s="4"/>
      <c r="GW1013" s="4"/>
      <c r="GX1013" s="4"/>
    </row>
    <row r="1014">
      <c r="A1014" s="2" t="s">
        <v>5919</v>
      </c>
      <c r="B1014" s="2" t="s">
        <v>635</v>
      </c>
      <c r="C1014" s="2" t="s">
        <v>636</v>
      </c>
      <c r="D1014" s="2" t="s">
        <v>637</v>
      </c>
      <c r="E1014" s="2" t="s">
        <v>638</v>
      </c>
      <c r="F1014" s="2" t="s">
        <v>5916</v>
      </c>
      <c r="G1014" s="2" t="s">
        <v>5916</v>
      </c>
      <c r="H1014" s="2" t="s">
        <v>5916</v>
      </c>
      <c r="I1014" s="2" t="s">
        <v>5917</v>
      </c>
      <c r="J1014" s="2" t="s">
        <v>641</v>
      </c>
      <c r="K1014" s="2" t="s">
        <v>2055</v>
      </c>
      <c r="L1014" s="3">
        <v>11.12</v>
      </c>
      <c r="M1014" s="3">
        <v>11.68</v>
      </c>
      <c r="N1014" s="3">
        <v>25.99</v>
      </c>
      <c r="O1014" s="2" t="s">
        <v>224</v>
      </c>
      <c r="P1014" s="2" t="s">
        <v>550</v>
      </c>
      <c r="Q1014" s="2" t="s">
        <v>226</v>
      </c>
      <c r="R1014" s="2" t="s">
        <v>227</v>
      </c>
      <c r="S1014" s="2" t="s">
        <v>227</v>
      </c>
      <c r="T1014" s="2" t="s">
        <v>227</v>
      </c>
      <c r="U1014" s="2" t="s">
        <v>552</v>
      </c>
      <c r="V1014" s="2" t="s">
        <v>566</v>
      </c>
      <c r="W1014" s="2" t="s">
        <v>231</v>
      </c>
      <c r="X1014" s="2" t="s">
        <v>227</v>
      </c>
      <c r="Y1014" s="2" t="s">
        <v>1626</v>
      </c>
      <c r="Z1014" s="4">
        <v>287</v>
      </c>
      <c r="AA1014" s="4">
        <f>=ROUNDDOWN(9.25806451612903,0)</f>
      </c>
      <c r="AB1014" s="5">
        <v>31</v>
      </c>
      <c r="AC1014" s="2" t="s">
        <v>152</v>
      </c>
      <c r="AD1014" s="4">
        <v>450</v>
      </c>
      <c r="AE1014" s="4">
        <v>720</v>
      </c>
      <c r="AF1014" s="6">
        <v>65</v>
      </c>
      <c r="AG1014" s="6"/>
      <c r="AH1014" s="7">
        <v>0.1613</v>
      </c>
      <c r="AI1014" s="4"/>
      <c r="AJ1014" s="4">
        <f>=ROUNDDOWN({0},0)</f>
      </c>
      <c r="AK1014" s="5"/>
      <c r="AL1014" s="2" t="s">
        <v>227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227</v>
      </c>
      <c r="AW1014" s="8" t="s">
        <v>227</v>
      </c>
      <c r="AX1014" s="4" t="s">
        <v>227</v>
      </c>
      <c r="AY1014" s="8" t="s">
        <v>227</v>
      </c>
      <c r="AZ1014" s="7" t="s">
        <v>227</v>
      </c>
      <c r="BA1014" s="7" t="s">
        <v>227</v>
      </c>
      <c r="BB1014" s="7"/>
      <c r="BC1014" s="4" t="s">
        <v>227</v>
      </c>
      <c r="BD1014" s="8" t="s">
        <v>227</v>
      </c>
      <c r="BE1014" s="4" t="s">
        <v>227</v>
      </c>
      <c r="BF1014" s="8" t="s">
        <v>227</v>
      </c>
      <c r="BG1014" s="7" t="s">
        <v>227</v>
      </c>
      <c r="BH1014" s="7" t="s">
        <v>227</v>
      </c>
      <c r="BI1014" s="7"/>
      <c r="BJ1014" s="4">
        <v>5</v>
      </c>
      <c r="BK1014" s="8">
        <v>63.9</v>
      </c>
      <c r="BL1014" s="2" t="s">
        <v>1807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5920</v>
      </c>
      <c r="BV1014" s="2" t="s">
        <v>227</v>
      </c>
      <c r="BW1014" s="2" t="s">
        <v>227</v>
      </c>
      <c r="BX1014" s="2" t="s">
        <v>235</v>
      </c>
      <c r="BY1014" s="2" t="s">
        <v>236</v>
      </c>
      <c r="BZ1014" s="2" t="s">
        <v>224</v>
      </c>
      <c r="CA1014" s="2" t="s">
        <v>3729</v>
      </c>
      <c r="CB1014" s="2" t="s">
        <v>227</v>
      </c>
      <c r="CC1014" s="2" t="s">
        <v>239</v>
      </c>
      <c r="CD1014" s="2" t="s">
        <v>227</v>
      </c>
      <c r="CE1014" s="4">
        <v>285</v>
      </c>
      <c r="CF1014" s="4">
        <v>1</v>
      </c>
      <c r="CG1014" s="4"/>
      <c r="CH1014" s="4">
        <v>1</v>
      </c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  <c r="EM1014" s="4"/>
      <c r="EN1014" s="4">
        <v>450</v>
      </c>
      <c r="EO1014" s="4"/>
      <c r="EP1014" s="4"/>
      <c r="EQ1014" s="4"/>
      <c r="ER1014" s="4"/>
      <c r="ES1014" s="4"/>
      <c r="ET1014" s="4"/>
      <c r="EU1014" s="4"/>
      <c r="EV1014" s="4"/>
      <c r="EW1014" s="4"/>
      <c r="EX1014" s="4"/>
      <c r="EY1014" s="4"/>
      <c r="EZ1014" s="4"/>
      <c r="FA1014" s="4"/>
      <c r="FB1014" s="4"/>
      <c r="FC1014" s="4"/>
      <c r="FD1014" s="4"/>
      <c r="FE1014" s="4"/>
      <c r="FF1014" s="4"/>
      <c r="FG1014" s="4"/>
      <c r="FH1014" s="4"/>
      <c r="FI1014" s="4"/>
      <c r="FJ1014" s="4"/>
      <c r="FK1014" s="4"/>
      <c r="FL1014" s="4"/>
      <c r="FM1014" s="4"/>
      <c r="FN1014" s="4"/>
      <c r="FO1014" s="4"/>
      <c r="FP1014" s="4"/>
      <c r="FQ1014" s="4"/>
      <c r="FR1014" s="4"/>
      <c r="FS1014" s="4"/>
      <c r="FT1014" s="4"/>
      <c r="FU1014" s="4"/>
      <c r="FV1014" s="4"/>
      <c r="FW1014" s="4"/>
      <c r="FX1014" s="4"/>
      <c r="FY1014" s="4"/>
      <c r="FZ1014" s="4"/>
      <c r="GA1014" s="4"/>
      <c r="GB1014" s="4"/>
      <c r="GC1014" s="4"/>
      <c r="GD1014" s="4"/>
      <c r="GE1014" s="4"/>
      <c r="GF1014" s="4"/>
      <c r="GG1014" s="4"/>
      <c r="GH1014" s="4"/>
      <c r="GI1014" s="4"/>
      <c r="GJ1014" s="4"/>
      <c r="GK1014" s="4"/>
      <c r="GL1014" s="4"/>
      <c r="GM1014" s="4">
        <v>270</v>
      </c>
      <c r="GN1014" s="4"/>
      <c r="GO1014" s="4"/>
      <c r="GP1014" s="4"/>
      <c r="GQ1014" s="4"/>
      <c r="GR1014" s="4"/>
      <c r="GS1014" s="4"/>
      <c r="GT1014" s="4"/>
      <c r="GU1014" s="4"/>
      <c r="GV1014" s="4"/>
      <c r="GW1014" s="4"/>
      <c r="GX1014" s="4"/>
    </row>
    <row r="1015">
      <c r="A1015" s="2" t="s">
        <v>5921</v>
      </c>
      <c r="B1015" s="2" t="s">
        <v>635</v>
      </c>
      <c r="C1015" s="2" t="s">
        <v>636</v>
      </c>
      <c r="D1015" s="2" t="s">
        <v>637</v>
      </c>
      <c r="E1015" s="2" t="s">
        <v>638</v>
      </c>
      <c r="F1015" s="2" t="s">
        <v>5916</v>
      </c>
      <c r="G1015" s="2" t="s">
        <v>5916</v>
      </c>
      <c r="H1015" s="2" t="s">
        <v>5916</v>
      </c>
      <c r="I1015" s="2" t="s">
        <v>5917</v>
      </c>
      <c r="J1015" s="2" t="s">
        <v>648</v>
      </c>
      <c r="K1015" s="2" t="s">
        <v>2055</v>
      </c>
      <c r="L1015" s="3">
        <v>14.04</v>
      </c>
      <c r="M1015" s="3">
        <v>14.74</v>
      </c>
      <c r="N1015" s="3">
        <v>29.99</v>
      </c>
      <c r="O1015" s="2" t="s">
        <v>224</v>
      </c>
      <c r="P1015" s="2" t="s">
        <v>550</v>
      </c>
      <c r="Q1015" s="2" t="s">
        <v>226</v>
      </c>
      <c r="R1015" s="2" t="s">
        <v>227</v>
      </c>
      <c r="S1015" s="2" t="s">
        <v>227</v>
      </c>
      <c r="T1015" s="2" t="s">
        <v>227</v>
      </c>
      <c r="U1015" s="2" t="s">
        <v>552</v>
      </c>
      <c r="V1015" s="2" t="s">
        <v>566</v>
      </c>
      <c r="W1015" s="2" t="s">
        <v>231</v>
      </c>
      <c r="X1015" s="2" t="s">
        <v>227</v>
      </c>
      <c r="Y1015" s="2" t="s">
        <v>1626</v>
      </c>
      <c r="Z1015" s="4">
        <v>744</v>
      </c>
      <c r="AA1015" s="4">
        <f>=ROUNDDOWN(72.2330097087379,0)</f>
      </c>
      <c r="AB1015" s="5">
        <v>10.3</v>
      </c>
      <c r="AC1015" s="2" t="s">
        <v>227</v>
      </c>
      <c r="AD1015" s="4"/>
      <c r="AE1015" s="4"/>
      <c r="AF1015" s="6">
        <v>65</v>
      </c>
      <c r="AG1015" s="6"/>
      <c r="AH1015" s="7">
        <v>1</v>
      </c>
      <c r="AI1015" s="4"/>
      <c r="AJ1015" s="4">
        <f>=ROUNDDOWN({0},0)</f>
      </c>
      <c r="AK1015" s="5"/>
      <c r="AL1015" s="2" t="s">
        <v>227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227</v>
      </c>
      <c r="AW1015" s="8" t="s">
        <v>227</v>
      </c>
      <c r="AX1015" s="4" t="s">
        <v>227</v>
      </c>
      <c r="AY1015" s="8" t="s">
        <v>227</v>
      </c>
      <c r="AZ1015" s="7" t="s">
        <v>227</v>
      </c>
      <c r="BA1015" s="7" t="s">
        <v>227</v>
      </c>
      <c r="BB1015" s="7"/>
      <c r="BC1015" s="4" t="s">
        <v>227</v>
      </c>
      <c r="BD1015" s="8" t="s">
        <v>227</v>
      </c>
      <c r="BE1015" s="4" t="s">
        <v>227</v>
      </c>
      <c r="BF1015" s="8" t="s">
        <v>227</v>
      </c>
      <c r="BG1015" s="7" t="s">
        <v>227</v>
      </c>
      <c r="BH1015" s="7" t="s">
        <v>227</v>
      </c>
      <c r="BI1015" s="7"/>
      <c r="BJ1015" s="4">
        <v>1</v>
      </c>
      <c r="BK1015" s="8">
        <v>14.74</v>
      </c>
      <c r="BL1015" s="2" t="s">
        <v>1807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5922</v>
      </c>
      <c r="BV1015" s="2" t="s">
        <v>227</v>
      </c>
      <c r="BW1015" s="2" t="s">
        <v>227</v>
      </c>
      <c r="BX1015" s="2" t="s">
        <v>235</v>
      </c>
      <c r="BY1015" s="2" t="s">
        <v>236</v>
      </c>
      <c r="BZ1015" s="2" t="s">
        <v>224</v>
      </c>
      <c r="CA1015" s="2" t="s">
        <v>3729</v>
      </c>
      <c r="CB1015" s="2" t="s">
        <v>227</v>
      </c>
      <c r="CC1015" s="2" t="s">
        <v>239</v>
      </c>
      <c r="CD1015" s="2" t="s">
        <v>227</v>
      </c>
      <c r="CE1015" s="4">
        <v>360</v>
      </c>
      <c r="CF1015" s="4">
        <v>209</v>
      </c>
      <c r="CG1015" s="4"/>
      <c r="CH1015" s="4">
        <v>175</v>
      </c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  <c r="EM1015" s="4"/>
      <c r="EN1015" s="4"/>
      <c r="EO1015" s="4"/>
      <c r="EP1015" s="4"/>
      <c r="EQ1015" s="4"/>
      <c r="ER1015" s="4"/>
      <c r="ES1015" s="4"/>
      <c r="ET1015" s="4"/>
      <c r="EU1015" s="4"/>
      <c r="EV1015" s="4"/>
      <c r="EW1015" s="4"/>
      <c r="EX1015" s="4"/>
      <c r="EY1015" s="4"/>
      <c r="EZ1015" s="4"/>
      <c r="FA1015" s="4"/>
      <c r="FB1015" s="4"/>
      <c r="FC1015" s="4"/>
      <c r="FD1015" s="4"/>
      <c r="FE1015" s="4"/>
      <c r="FF1015" s="4"/>
      <c r="FG1015" s="4"/>
      <c r="FH1015" s="4"/>
      <c r="FI1015" s="4"/>
      <c r="FJ1015" s="4"/>
      <c r="FK1015" s="4"/>
      <c r="FL1015" s="4"/>
      <c r="FM1015" s="4"/>
      <c r="FN1015" s="4"/>
      <c r="FO1015" s="4"/>
      <c r="FP1015" s="4"/>
      <c r="FQ1015" s="4"/>
      <c r="FR1015" s="4"/>
      <c r="FS1015" s="4"/>
      <c r="FT1015" s="4"/>
      <c r="FU1015" s="4"/>
      <c r="FV1015" s="4"/>
      <c r="FW1015" s="4"/>
      <c r="FX1015" s="4"/>
      <c r="FY1015" s="4"/>
      <c r="FZ1015" s="4"/>
      <c r="GA1015" s="4"/>
      <c r="GB1015" s="4"/>
      <c r="GC1015" s="4"/>
      <c r="GD1015" s="4"/>
      <c r="GE1015" s="4"/>
      <c r="GF1015" s="4"/>
      <c r="GG1015" s="4"/>
      <c r="GH1015" s="4"/>
      <c r="GI1015" s="4"/>
      <c r="GJ1015" s="4"/>
      <c r="GK1015" s="4"/>
      <c r="GL1015" s="4"/>
      <c r="GM1015" s="4"/>
      <c r="GN1015" s="4"/>
      <c r="GO1015" s="4"/>
      <c r="GP1015" s="4"/>
      <c r="GQ1015" s="4"/>
      <c r="GR1015" s="4"/>
      <c r="GS1015" s="4"/>
      <c r="GT1015" s="4"/>
      <c r="GU1015" s="4"/>
      <c r="GV1015" s="4"/>
      <c r="GW1015" s="4"/>
      <c r="GX1015" s="4"/>
    </row>
    <row r="1016">
      <c r="A1016" s="2" t="s">
        <v>5923</v>
      </c>
      <c r="B1016" s="2" t="s">
        <v>635</v>
      </c>
      <c r="C1016" s="2" t="s">
        <v>636</v>
      </c>
      <c r="D1016" s="2" t="s">
        <v>637</v>
      </c>
      <c r="E1016" s="2" t="s">
        <v>638</v>
      </c>
      <c r="F1016" s="2" t="s">
        <v>5916</v>
      </c>
      <c r="G1016" s="2" t="s">
        <v>5916</v>
      </c>
      <c r="H1016" s="2" t="s">
        <v>5916</v>
      </c>
      <c r="I1016" s="2" t="s">
        <v>5917</v>
      </c>
      <c r="J1016" s="2" t="s">
        <v>653</v>
      </c>
      <c r="K1016" s="2" t="s">
        <v>2055</v>
      </c>
      <c r="L1016" s="3">
        <v>16.45</v>
      </c>
      <c r="M1016" s="3">
        <v>17.27</v>
      </c>
      <c r="N1016" s="3">
        <v>34.99</v>
      </c>
      <c r="O1016" s="2" t="s">
        <v>224</v>
      </c>
      <c r="P1016" s="2" t="s">
        <v>550</v>
      </c>
      <c r="Q1016" s="2" t="s">
        <v>226</v>
      </c>
      <c r="R1016" s="2" t="s">
        <v>227</v>
      </c>
      <c r="S1016" s="2" t="s">
        <v>227</v>
      </c>
      <c r="T1016" s="2" t="s">
        <v>227</v>
      </c>
      <c r="U1016" s="2" t="s">
        <v>552</v>
      </c>
      <c r="V1016" s="2" t="s">
        <v>566</v>
      </c>
      <c r="W1016" s="2" t="s">
        <v>231</v>
      </c>
      <c r="X1016" s="2" t="s">
        <v>227</v>
      </c>
      <c r="Y1016" s="2" t="s">
        <v>1626</v>
      </c>
      <c r="Z1016" s="4">
        <v>87</v>
      </c>
      <c r="AA1016" s="4">
        <f>=ROUNDDOWN(5.4375,0)</f>
      </c>
      <c r="AB1016" s="5">
        <v>16</v>
      </c>
      <c r="AC1016" s="2" t="s">
        <v>152</v>
      </c>
      <c r="AD1016" s="4">
        <v>204</v>
      </c>
      <c r="AE1016" s="4">
        <v>474</v>
      </c>
      <c r="AF1016" s="6">
        <v>65</v>
      </c>
      <c r="AG1016" s="6"/>
      <c r="AH1016" s="7">
        <v>1</v>
      </c>
      <c r="AI1016" s="4"/>
      <c r="AJ1016" s="4">
        <f>=ROUNDDOWN({0},0)</f>
      </c>
      <c r="AK1016" s="5"/>
      <c r="AL1016" s="2" t="s">
        <v>227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 t="s">
        <v>227</v>
      </c>
      <c r="AW1016" s="8" t="s">
        <v>227</v>
      </c>
      <c r="AX1016" s="4" t="s">
        <v>227</v>
      </c>
      <c r="AY1016" s="8" t="s">
        <v>227</v>
      </c>
      <c r="AZ1016" s="7" t="s">
        <v>227</v>
      </c>
      <c r="BA1016" s="7" t="s">
        <v>227</v>
      </c>
      <c r="BB1016" s="7"/>
      <c r="BC1016" s="4" t="s">
        <v>227</v>
      </c>
      <c r="BD1016" s="8" t="s">
        <v>227</v>
      </c>
      <c r="BE1016" s="4" t="s">
        <v>227</v>
      </c>
      <c r="BF1016" s="8" t="s">
        <v>227</v>
      </c>
      <c r="BG1016" s="7" t="s">
        <v>227</v>
      </c>
      <c r="BH1016" s="7" t="s">
        <v>227</v>
      </c>
      <c r="BI1016" s="7"/>
      <c r="BJ1016" s="4">
        <v>90</v>
      </c>
      <c r="BK1016" s="8">
        <v>1701.9</v>
      </c>
      <c r="BL1016" s="2" t="s">
        <v>664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5924</v>
      </c>
      <c r="BV1016" s="2" t="s">
        <v>227</v>
      </c>
      <c r="BW1016" s="2" t="s">
        <v>227</v>
      </c>
      <c r="BX1016" s="2" t="s">
        <v>235</v>
      </c>
      <c r="BY1016" s="2" t="s">
        <v>236</v>
      </c>
      <c r="BZ1016" s="2" t="s">
        <v>224</v>
      </c>
      <c r="CA1016" s="2" t="s">
        <v>3729</v>
      </c>
      <c r="CB1016" s="2" t="s">
        <v>227</v>
      </c>
      <c r="CC1016" s="2" t="s">
        <v>239</v>
      </c>
      <c r="CD1016" s="2" t="s">
        <v>227</v>
      </c>
      <c r="CE1016" s="4">
        <v>60</v>
      </c>
      <c r="CF1016" s="4">
        <v>26</v>
      </c>
      <c r="CG1016" s="4"/>
      <c r="CH1016" s="4">
        <v>1</v>
      </c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  <c r="EM1016" s="4"/>
      <c r="EN1016" s="4">
        <v>204</v>
      </c>
      <c r="EO1016" s="4"/>
      <c r="EP1016" s="4"/>
      <c r="EQ1016" s="4"/>
      <c r="ER1016" s="4"/>
      <c r="ES1016" s="4"/>
      <c r="ET1016" s="4"/>
      <c r="EU1016" s="4"/>
      <c r="EV1016" s="4"/>
      <c r="EW1016" s="4"/>
      <c r="EX1016" s="4"/>
      <c r="EY1016" s="4"/>
      <c r="EZ1016" s="4"/>
      <c r="FA1016" s="4"/>
      <c r="FB1016" s="4"/>
      <c r="FC1016" s="4"/>
      <c r="FD1016" s="4"/>
      <c r="FE1016" s="4"/>
      <c r="FF1016" s="4"/>
      <c r="FG1016" s="4"/>
      <c r="FH1016" s="4"/>
      <c r="FI1016" s="4"/>
      <c r="FJ1016" s="4"/>
      <c r="FK1016" s="4"/>
      <c r="FL1016" s="4"/>
      <c r="FM1016" s="4"/>
      <c r="FN1016" s="4"/>
      <c r="FO1016" s="4"/>
      <c r="FP1016" s="4"/>
      <c r="FQ1016" s="4"/>
      <c r="FR1016" s="4"/>
      <c r="FS1016" s="4"/>
      <c r="FT1016" s="4"/>
      <c r="FU1016" s="4"/>
      <c r="FV1016" s="4"/>
      <c r="FW1016" s="4"/>
      <c r="FX1016" s="4"/>
      <c r="FY1016" s="4"/>
      <c r="FZ1016" s="4"/>
      <c r="GA1016" s="4"/>
      <c r="GB1016" s="4"/>
      <c r="GC1016" s="4"/>
      <c r="GD1016" s="4"/>
      <c r="GE1016" s="4"/>
      <c r="GF1016" s="4"/>
      <c r="GG1016" s="4"/>
      <c r="GH1016" s="4"/>
      <c r="GI1016" s="4"/>
      <c r="GJ1016" s="4"/>
      <c r="GK1016" s="4"/>
      <c r="GL1016" s="4"/>
      <c r="GM1016" s="4">
        <v>270</v>
      </c>
      <c r="GN1016" s="4"/>
      <c r="GO1016" s="4"/>
      <c r="GP1016" s="4"/>
      <c r="GQ1016" s="4"/>
      <c r="GR1016" s="4"/>
      <c r="GS1016" s="4"/>
      <c r="GT1016" s="4"/>
      <c r="GU1016" s="4"/>
      <c r="GV1016" s="4"/>
      <c r="GW1016" s="4"/>
      <c r="GX1016" s="4"/>
    </row>
    <row r="1017">
      <c r="A1017" s="2" t="s">
        <v>5925</v>
      </c>
      <c r="B1017" s="2" t="s">
        <v>667</v>
      </c>
      <c r="C1017" s="2" t="s">
        <v>360</v>
      </c>
      <c r="D1017" s="2" t="s">
        <v>868</v>
      </c>
      <c r="E1017" s="2" t="s">
        <v>869</v>
      </c>
      <c r="F1017" s="2" t="s">
        <v>5926</v>
      </c>
      <c r="G1017" s="2" t="s">
        <v>5927</v>
      </c>
      <c r="H1017" s="2" t="s">
        <v>5928</v>
      </c>
      <c r="I1017" s="2" t="s">
        <v>5929</v>
      </c>
      <c r="J1017" s="2" t="s">
        <v>5930</v>
      </c>
      <c r="K1017" s="2" t="s">
        <v>432</v>
      </c>
      <c r="L1017" s="3">
        <v>19.2</v>
      </c>
      <c r="M1017" s="3">
        <v>20.15</v>
      </c>
      <c r="N1017" s="3">
        <v>39.99</v>
      </c>
      <c r="O1017" s="2" t="s">
        <v>224</v>
      </c>
      <c r="P1017" s="2" t="s">
        <v>225</v>
      </c>
      <c r="Q1017" s="2" t="s">
        <v>226</v>
      </c>
      <c r="R1017" s="2" t="s">
        <v>227</v>
      </c>
      <c r="S1017" s="2" t="s">
        <v>5931</v>
      </c>
      <c r="T1017" s="2" t="s">
        <v>375</v>
      </c>
      <c r="U1017" s="2" t="s">
        <v>552</v>
      </c>
      <c r="V1017" s="2" t="s">
        <v>629</v>
      </c>
      <c r="W1017" s="2" t="s">
        <v>706</v>
      </c>
      <c r="X1017" s="2" t="s">
        <v>231</v>
      </c>
      <c r="Y1017" s="2" t="s">
        <v>232</v>
      </c>
      <c r="Z1017" s="4">
        <v>677</v>
      </c>
      <c r="AA1017" s="4">
        <f>=ROUNDDOWN(19.3428571428571,0)</f>
      </c>
      <c r="AB1017" s="5">
        <v>35</v>
      </c>
      <c r="AC1017" s="2" t="s">
        <v>169</v>
      </c>
      <c r="AD1017" s="4">
        <v>450</v>
      </c>
      <c r="AE1017" s="4">
        <v>450</v>
      </c>
      <c r="AF1017" s="6">
        <v>64</v>
      </c>
      <c r="AG1017" s="6"/>
      <c r="AH1017" s="7">
        <v>1</v>
      </c>
      <c r="AI1017" s="4"/>
      <c r="AJ1017" s="4">
        <f>=ROUNDDOWN({0},0)</f>
      </c>
      <c r="AK1017" s="5"/>
      <c r="AL1017" s="2" t="s">
        <v>227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/>
      <c r="AW1017" s="8"/>
      <c r="AX1017" s="4"/>
      <c r="AY1017" s="8"/>
      <c r="AZ1017" s="7"/>
      <c r="BA1017" s="7"/>
      <c r="BB1017" s="7"/>
      <c r="BC1017" s="4"/>
      <c r="BD1017" s="8"/>
      <c r="BE1017" s="4"/>
      <c r="BF1017" s="8"/>
      <c r="BG1017" s="7"/>
      <c r="BH1017" s="7"/>
      <c r="BI1017" s="7"/>
      <c r="BJ1017" s="4">
        <v>112</v>
      </c>
      <c r="BK1017" s="8">
        <v>2288.23</v>
      </c>
      <c r="BL1017" s="2" t="s">
        <v>5932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5933</v>
      </c>
      <c r="BV1017" s="2" t="s">
        <v>227</v>
      </c>
      <c r="BW1017" s="2" t="s">
        <v>227</v>
      </c>
      <c r="BX1017" s="2" t="s">
        <v>235</v>
      </c>
      <c r="BY1017" s="2" t="s">
        <v>236</v>
      </c>
      <c r="BZ1017" s="2" t="s">
        <v>224</v>
      </c>
      <c r="CA1017" s="2" t="s">
        <v>5934</v>
      </c>
      <c r="CB1017" s="2" t="s">
        <v>5935</v>
      </c>
      <c r="CC1017" s="2" t="s">
        <v>239</v>
      </c>
      <c r="CD1017" s="2" t="s">
        <v>227</v>
      </c>
      <c r="CE1017" s="4">
        <v>227</v>
      </c>
      <c r="CF1017" s="4"/>
      <c r="CG1017" s="4"/>
      <c r="CH1017" s="4"/>
      <c r="CI1017" s="4"/>
      <c r="CJ1017" s="4"/>
      <c r="CK1017" s="4">
        <v>450</v>
      </c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/>
      <c r="EN1017" s="4"/>
      <c r="EO1017" s="4"/>
      <c r="EP1017" s="4"/>
      <c r="EQ1017" s="4"/>
      <c r="ER1017" s="4"/>
      <c r="ES1017" s="4"/>
      <c r="ET1017" s="4"/>
      <c r="EU1017" s="4"/>
      <c r="EV1017" s="4"/>
      <c r="EW1017" s="4"/>
      <c r="EX1017" s="4"/>
      <c r="EY1017" s="4"/>
      <c r="EZ1017" s="4"/>
      <c r="FA1017" s="4"/>
      <c r="FB1017" s="4"/>
      <c r="FC1017" s="4"/>
      <c r="FD1017" s="4"/>
      <c r="FE1017" s="4">
        <v>450</v>
      </c>
      <c r="FF1017" s="4"/>
      <c r="FG1017" s="4"/>
      <c r="FH1017" s="4"/>
      <c r="FI1017" s="4"/>
      <c r="FJ1017" s="4"/>
      <c r="FK1017" s="4"/>
      <c r="FL1017" s="4"/>
      <c r="FM1017" s="4"/>
      <c r="FN1017" s="4"/>
      <c r="FO1017" s="4"/>
      <c r="FP1017" s="4"/>
      <c r="FQ1017" s="4"/>
      <c r="FR1017" s="4"/>
      <c r="FS1017" s="4"/>
      <c r="FT1017" s="4"/>
      <c r="FU1017" s="4"/>
      <c r="FV1017" s="4"/>
      <c r="FW1017" s="4"/>
      <c r="FX1017" s="4"/>
      <c r="FY1017" s="4"/>
      <c r="FZ1017" s="4"/>
      <c r="GA1017" s="4"/>
      <c r="GB1017" s="4"/>
      <c r="GC1017" s="4"/>
      <c r="GD1017" s="4"/>
      <c r="GE1017" s="4"/>
      <c r="GF1017" s="4"/>
      <c r="GG1017" s="4"/>
      <c r="GH1017" s="4"/>
      <c r="GI1017" s="4"/>
      <c r="GJ1017" s="4"/>
      <c r="GK1017" s="4"/>
      <c r="GL1017" s="4"/>
      <c r="GM1017" s="4"/>
      <c r="GN1017" s="4"/>
      <c r="GO1017" s="4"/>
      <c r="GP1017" s="4"/>
      <c r="GQ1017" s="4"/>
      <c r="GR1017" s="4"/>
      <c r="GS1017" s="4"/>
      <c r="GT1017" s="4"/>
      <c r="GU1017" s="4"/>
      <c r="GV1017" s="4"/>
      <c r="GW1017" s="4"/>
      <c r="GX1017" s="4"/>
    </row>
    <row r="1018">
      <c r="A1018" s="2" t="s">
        <v>5936</v>
      </c>
      <c r="B1018" s="2" t="s">
        <v>573</v>
      </c>
      <c r="C1018" s="2" t="s">
        <v>360</v>
      </c>
      <c r="D1018" s="2" t="s">
        <v>574</v>
      </c>
      <c r="E1018" s="2" t="s">
        <v>575</v>
      </c>
      <c r="F1018" s="2" t="s">
        <v>5937</v>
      </c>
      <c r="G1018" s="2" t="s">
        <v>5938</v>
      </c>
      <c r="H1018" s="2" t="s">
        <v>3580</v>
      </c>
      <c r="I1018" s="2" t="s">
        <v>579</v>
      </c>
      <c r="J1018" s="2" t="s">
        <v>548</v>
      </c>
      <c r="K1018" s="2" t="s">
        <v>874</v>
      </c>
      <c r="L1018" s="3">
        <v>207</v>
      </c>
      <c r="M1018" s="3">
        <v>217.35</v>
      </c>
      <c r="N1018" s="3">
        <v>439</v>
      </c>
      <c r="O1018" s="2" t="s">
        <v>224</v>
      </c>
      <c r="P1018" s="2" t="s">
        <v>225</v>
      </c>
      <c r="Q1018" s="2" t="s">
        <v>226</v>
      </c>
      <c r="R1018" s="2" t="s">
        <v>227</v>
      </c>
      <c r="S1018" s="2" t="s">
        <v>227</v>
      </c>
      <c r="T1018" s="2" t="s">
        <v>227</v>
      </c>
      <c r="U1018" s="2" t="s">
        <v>227</v>
      </c>
      <c r="V1018" s="2" t="s">
        <v>230</v>
      </c>
      <c r="W1018" s="2" t="s">
        <v>581</v>
      </c>
      <c r="X1018" s="2" t="s">
        <v>227</v>
      </c>
      <c r="Y1018" s="2" t="s">
        <v>595</v>
      </c>
      <c r="Z1018" s="4">
        <v>308</v>
      </c>
      <c r="AA1018" s="4">
        <f>=ROUNDDOWN(38.5,0)</f>
      </c>
      <c r="AB1018" s="5">
        <v>8</v>
      </c>
      <c r="AC1018" s="2" t="s">
        <v>227</v>
      </c>
      <c r="AD1018" s="4"/>
      <c r="AE1018" s="4"/>
      <c r="AF1018" s="6">
        <v>74</v>
      </c>
      <c r="AG1018" s="6"/>
      <c r="AH1018" s="7">
        <v>1</v>
      </c>
      <c r="AI1018" s="4"/>
      <c r="AJ1018" s="4">
        <f>=ROUNDDOWN({0},0)</f>
      </c>
      <c r="AK1018" s="5"/>
      <c r="AL1018" s="2" t="s">
        <v>227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/>
      <c r="AW1018" s="8"/>
      <c r="AX1018" s="4"/>
      <c r="AY1018" s="8"/>
      <c r="AZ1018" s="7"/>
      <c r="BA1018" s="7"/>
      <c r="BB1018" s="7"/>
      <c r="BC1018" s="4"/>
      <c r="BD1018" s="8"/>
      <c r="BE1018" s="4"/>
      <c r="BF1018" s="8"/>
      <c r="BG1018" s="7"/>
      <c r="BH1018" s="7"/>
      <c r="BI1018" s="7"/>
      <c r="BJ1018" s="4">
        <v>45</v>
      </c>
      <c r="BK1018" s="8">
        <v>9035.24</v>
      </c>
      <c r="BL1018" s="2" t="s">
        <v>5939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5940</v>
      </c>
      <c r="BV1018" s="2" t="s">
        <v>227</v>
      </c>
      <c r="BW1018" s="2" t="s">
        <v>227</v>
      </c>
      <c r="BX1018" s="2" t="s">
        <v>711</v>
      </c>
      <c r="BY1018" s="2" t="s">
        <v>236</v>
      </c>
      <c r="BZ1018" s="2" t="s">
        <v>224</v>
      </c>
      <c r="CA1018" s="2" t="s">
        <v>5941</v>
      </c>
      <c r="CB1018" s="2" t="s">
        <v>5942</v>
      </c>
      <c r="CC1018" s="2" t="s">
        <v>239</v>
      </c>
      <c r="CD1018" s="2" t="s">
        <v>227</v>
      </c>
      <c r="CE1018" s="4"/>
      <c r="CF1018" s="4">
        <v>308</v>
      </c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  <c r="EM1018" s="4"/>
      <c r="EN1018" s="4"/>
      <c r="EO1018" s="4"/>
      <c r="EP1018" s="4"/>
      <c r="EQ1018" s="4"/>
      <c r="ER1018" s="4"/>
      <c r="ES1018" s="4"/>
      <c r="ET1018" s="4"/>
      <c r="EU1018" s="4"/>
      <c r="EV1018" s="4"/>
      <c r="EW1018" s="4"/>
      <c r="EX1018" s="4"/>
      <c r="EY1018" s="4"/>
      <c r="EZ1018" s="4"/>
      <c r="FA1018" s="4"/>
      <c r="FB1018" s="4"/>
      <c r="FC1018" s="4"/>
      <c r="FD1018" s="4"/>
      <c r="FE1018" s="4"/>
      <c r="FF1018" s="4"/>
      <c r="FG1018" s="4"/>
      <c r="FH1018" s="4"/>
      <c r="FI1018" s="4"/>
      <c r="FJ1018" s="4"/>
      <c r="FK1018" s="4"/>
      <c r="FL1018" s="4"/>
      <c r="FM1018" s="4"/>
      <c r="FN1018" s="4"/>
      <c r="FO1018" s="4"/>
      <c r="FP1018" s="4"/>
      <c r="FQ1018" s="4"/>
      <c r="FR1018" s="4"/>
      <c r="FS1018" s="4"/>
      <c r="FT1018" s="4"/>
      <c r="FU1018" s="4"/>
      <c r="FV1018" s="4"/>
      <c r="FW1018" s="4"/>
      <c r="FX1018" s="4"/>
      <c r="FY1018" s="4"/>
      <c r="FZ1018" s="4"/>
      <c r="GA1018" s="4"/>
      <c r="GB1018" s="4"/>
      <c r="GC1018" s="4"/>
      <c r="GD1018" s="4"/>
      <c r="GE1018" s="4"/>
      <c r="GF1018" s="4"/>
      <c r="GG1018" s="4"/>
      <c r="GH1018" s="4"/>
      <c r="GI1018" s="4"/>
      <c r="GJ1018" s="4"/>
      <c r="GK1018" s="4"/>
      <c r="GL1018" s="4"/>
      <c r="GM1018" s="4"/>
      <c r="GN1018" s="4"/>
      <c r="GO1018" s="4"/>
      <c r="GP1018" s="4"/>
      <c r="GQ1018" s="4"/>
      <c r="GR1018" s="4"/>
      <c r="GS1018" s="4"/>
      <c r="GT1018" s="4"/>
      <c r="GU1018" s="4"/>
      <c r="GV1018" s="4"/>
      <c r="GW1018" s="4"/>
      <c r="GX1018" s="4"/>
    </row>
    <row r="1019">
      <c r="A1019" s="2" t="s">
        <v>5943</v>
      </c>
      <c r="B1019" s="2" t="s">
        <v>697</v>
      </c>
      <c r="C1019" s="2" t="s">
        <v>1299</v>
      </c>
      <c r="D1019" s="2" t="s">
        <v>687</v>
      </c>
      <c r="E1019" s="2" t="s">
        <v>688</v>
      </c>
      <c r="F1019" s="2" t="s">
        <v>5944</v>
      </c>
      <c r="G1019" s="2" t="s">
        <v>5944</v>
      </c>
      <c r="H1019" s="2" t="s">
        <v>5944</v>
      </c>
      <c r="I1019" s="2" t="s">
        <v>5945</v>
      </c>
      <c r="J1019" s="2" t="s">
        <v>222</v>
      </c>
      <c r="K1019" s="2" t="s">
        <v>1577</v>
      </c>
      <c r="L1019" s="3">
        <v>33.33</v>
      </c>
      <c r="M1019" s="3">
        <v>35</v>
      </c>
      <c r="N1019" s="3">
        <v>69.99</v>
      </c>
      <c r="O1019" s="2" t="s">
        <v>224</v>
      </c>
      <c r="P1019" s="2" t="s">
        <v>225</v>
      </c>
      <c r="Q1019" s="2" t="s">
        <v>226</v>
      </c>
      <c r="R1019" s="2" t="s">
        <v>227</v>
      </c>
      <c r="S1019" s="2" t="s">
        <v>5946</v>
      </c>
      <c r="T1019" s="2" t="s">
        <v>1871</v>
      </c>
      <c r="U1019" s="2" t="s">
        <v>1044</v>
      </c>
      <c r="V1019" s="2" t="s">
        <v>230</v>
      </c>
      <c r="W1019" s="2" t="s">
        <v>231</v>
      </c>
      <c r="X1019" s="2" t="s">
        <v>227</v>
      </c>
      <c r="Y1019" s="2" t="s">
        <v>1707</v>
      </c>
      <c r="Z1019" s="4">
        <v>233</v>
      </c>
      <c r="AA1019" s="4">
        <f>=ROUNDDOWN(58.25,0)</f>
      </c>
      <c r="AB1019" s="5">
        <v>4</v>
      </c>
      <c r="AC1019" s="2" t="s">
        <v>189</v>
      </c>
      <c r="AD1019" s="4">
        <v>50</v>
      </c>
      <c r="AE1019" s="4">
        <v>100</v>
      </c>
      <c r="AF1019" s="6">
        <v>65</v>
      </c>
      <c r="AG1019" s="6"/>
      <c r="AH1019" s="7">
        <v>1</v>
      </c>
      <c r="AI1019" s="4"/>
      <c r="AJ1019" s="4">
        <f>=ROUNDDOWN({0},0)</f>
      </c>
      <c r="AK1019" s="5"/>
      <c r="AL1019" s="2" t="s">
        <v>227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227</v>
      </c>
      <c r="AW1019" s="8" t="s">
        <v>227</v>
      </c>
      <c r="AX1019" s="4" t="s">
        <v>227</v>
      </c>
      <c r="AY1019" s="8" t="s">
        <v>227</v>
      </c>
      <c r="AZ1019" s="7" t="s">
        <v>227</v>
      </c>
      <c r="BA1019" s="7" t="s">
        <v>227</v>
      </c>
      <c r="BB1019" s="7"/>
      <c r="BC1019" s="4" t="s">
        <v>227</v>
      </c>
      <c r="BD1019" s="8" t="s">
        <v>227</v>
      </c>
      <c r="BE1019" s="4" t="s">
        <v>227</v>
      </c>
      <c r="BF1019" s="8" t="s">
        <v>227</v>
      </c>
      <c r="BG1019" s="7" t="s">
        <v>227</v>
      </c>
      <c r="BH1019" s="7" t="s">
        <v>227</v>
      </c>
      <c r="BI1019" s="7"/>
      <c r="BJ1019" s="4">
        <v>3</v>
      </c>
      <c r="BK1019" s="8">
        <v>109.55</v>
      </c>
      <c r="BL1019" s="2" t="s">
        <v>1444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5947</v>
      </c>
      <c r="BV1019" s="2" t="s">
        <v>227</v>
      </c>
      <c r="BW1019" s="2" t="s">
        <v>227</v>
      </c>
      <c r="BX1019" s="2" t="s">
        <v>235</v>
      </c>
      <c r="BY1019" s="2" t="s">
        <v>236</v>
      </c>
      <c r="BZ1019" s="2" t="s">
        <v>224</v>
      </c>
      <c r="CA1019" s="2" t="s">
        <v>5948</v>
      </c>
      <c r="CB1019" s="2" t="s">
        <v>227</v>
      </c>
      <c r="CC1019" s="2" t="s">
        <v>239</v>
      </c>
      <c r="CD1019" s="2" t="s">
        <v>227</v>
      </c>
      <c r="CE1019" s="4">
        <v>233</v>
      </c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/>
      <c r="FA1019" s="4"/>
      <c r="FB1019" s="4"/>
      <c r="FC1019" s="4"/>
      <c r="FD1019" s="4"/>
      <c r="FE1019" s="4"/>
      <c r="FF1019" s="4"/>
      <c r="FG1019" s="4"/>
      <c r="FH1019" s="4"/>
      <c r="FI1019" s="4"/>
      <c r="FJ1019" s="4"/>
      <c r="FK1019" s="4"/>
      <c r="FL1019" s="4"/>
      <c r="FM1019" s="4"/>
      <c r="FN1019" s="4"/>
      <c r="FO1019" s="4"/>
      <c r="FP1019" s="4"/>
      <c r="FQ1019" s="4"/>
      <c r="FR1019" s="4"/>
      <c r="FS1019" s="4"/>
      <c r="FT1019" s="4"/>
      <c r="FU1019" s="4"/>
      <c r="FV1019" s="4"/>
      <c r="FW1019" s="4"/>
      <c r="FX1019" s="4"/>
      <c r="FY1019" s="4">
        <v>50</v>
      </c>
      <c r="FZ1019" s="4"/>
      <c r="GA1019" s="4"/>
      <c r="GB1019" s="4"/>
      <c r="GC1019" s="4"/>
      <c r="GD1019" s="4"/>
      <c r="GE1019" s="4"/>
      <c r="GF1019" s="4"/>
      <c r="GG1019" s="4"/>
      <c r="GH1019" s="4"/>
      <c r="GI1019" s="4"/>
      <c r="GJ1019" s="4"/>
      <c r="GK1019" s="4"/>
      <c r="GL1019" s="4"/>
      <c r="GM1019" s="4"/>
      <c r="GN1019" s="4"/>
      <c r="GO1019" s="4"/>
      <c r="GP1019" s="4"/>
      <c r="GQ1019" s="4"/>
      <c r="GR1019" s="4"/>
      <c r="GS1019" s="4"/>
      <c r="GT1019" s="4"/>
      <c r="GU1019" s="4">
        <v>50</v>
      </c>
      <c r="GV1019" s="4"/>
      <c r="GW1019" s="4"/>
      <c r="GX1019" s="4"/>
    </row>
    <row r="1020">
      <c r="A1020" s="2" t="s">
        <v>5949</v>
      </c>
      <c r="B1020" s="2" t="s">
        <v>697</v>
      </c>
      <c r="C1020" s="2" t="s">
        <v>1299</v>
      </c>
      <c r="D1020" s="2" t="s">
        <v>687</v>
      </c>
      <c r="E1020" s="2" t="s">
        <v>688</v>
      </c>
      <c r="F1020" s="2" t="s">
        <v>5944</v>
      </c>
      <c r="G1020" s="2" t="s">
        <v>5944</v>
      </c>
      <c r="H1020" s="2" t="s">
        <v>5944</v>
      </c>
      <c r="I1020" s="2" t="s">
        <v>5950</v>
      </c>
      <c r="J1020" s="2" t="s">
        <v>626</v>
      </c>
      <c r="K1020" s="2" t="s">
        <v>1577</v>
      </c>
      <c r="L1020" s="3">
        <v>42.85</v>
      </c>
      <c r="M1020" s="3">
        <v>44.99</v>
      </c>
      <c r="N1020" s="3">
        <v>89.99</v>
      </c>
      <c r="O1020" s="2" t="s">
        <v>224</v>
      </c>
      <c r="P1020" s="2" t="s">
        <v>225</v>
      </c>
      <c r="Q1020" s="2" t="s">
        <v>226</v>
      </c>
      <c r="R1020" s="2" t="s">
        <v>227</v>
      </c>
      <c r="S1020" s="2" t="s">
        <v>5946</v>
      </c>
      <c r="T1020" s="2" t="s">
        <v>1871</v>
      </c>
      <c r="U1020" s="2" t="s">
        <v>674</v>
      </c>
      <c r="V1020" s="2" t="s">
        <v>230</v>
      </c>
      <c r="W1020" s="2" t="s">
        <v>231</v>
      </c>
      <c r="X1020" s="2" t="s">
        <v>227</v>
      </c>
      <c r="Y1020" s="2" t="s">
        <v>1490</v>
      </c>
      <c r="Z1020" s="4">
        <v>309</v>
      </c>
      <c r="AA1020" s="4">
        <f>=ROUNDDOWN(38.625,0)</f>
      </c>
      <c r="AB1020" s="5">
        <v>8</v>
      </c>
      <c r="AC1020" s="2" t="s">
        <v>189</v>
      </c>
      <c r="AD1020" s="4">
        <v>100</v>
      </c>
      <c r="AE1020" s="4">
        <v>430</v>
      </c>
      <c r="AF1020" s="6">
        <v>65</v>
      </c>
      <c r="AG1020" s="6"/>
      <c r="AH1020" s="7">
        <v>1</v>
      </c>
      <c r="AI1020" s="4"/>
      <c r="AJ1020" s="4">
        <f>=ROUNDDOWN({0},0)</f>
      </c>
      <c r="AK1020" s="5"/>
      <c r="AL1020" s="2" t="s">
        <v>227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227</v>
      </c>
      <c r="AW1020" s="8" t="s">
        <v>227</v>
      </c>
      <c r="AX1020" s="4" t="s">
        <v>227</v>
      </c>
      <c r="AY1020" s="8" t="s">
        <v>227</v>
      </c>
      <c r="AZ1020" s="7" t="s">
        <v>227</v>
      </c>
      <c r="BA1020" s="7" t="s">
        <v>227</v>
      </c>
      <c r="BB1020" s="7"/>
      <c r="BC1020" s="4" t="s">
        <v>227</v>
      </c>
      <c r="BD1020" s="8" t="s">
        <v>227</v>
      </c>
      <c r="BE1020" s="4" t="s">
        <v>227</v>
      </c>
      <c r="BF1020" s="8" t="s">
        <v>227</v>
      </c>
      <c r="BG1020" s="7" t="s">
        <v>227</v>
      </c>
      <c r="BH1020" s="7" t="s">
        <v>227</v>
      </c>
      <c r="BI1020" s="7"/>
      <c r="BJ1020" s="4">
        <v>21</v>
      </c>
      <c r="BK1020" s="8">
        <v>1009.5</v>
      </c>
      <c r="BL1020" s="2" t="s">
        <v>295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5951</v>
      </c>
      <c r="BV1020" s="2" t="s">
        <v>227</v>
      </c>
      <c r="BW1020" s="2" t="s">
        <v>227</v>
      </c>
      <c r="BX1020" s="2" t="s">
        <v>235</v>
      </c>
      <c r="BY1020" s="2" t="s">
        <v>236</v>
      </c>
      <c r="BZ1020" s="2" t="s">
        <v>224</v>
      </c>
      <c r="CA1020" s="2" t="s">
        <v>5948</v>
      </c>
      <c r="CB1020" s="2" t="s">
        <v>1725</v>
      </c>
      <c r="CC1020" s="2" t="s">
        <v>239</v>
      </c>
      <c r="CD1020" s="2" t="s">
        <v>227</v>
      </c>
      <c r="CE1020" s="4">
        <v>309</v>
      </c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/>
      <c r="FA1020" s="4"/>
      <c r="FB1020" s="4"/>
      <c r="FC1020" s="4"/>
      <c r="FD1020" s="4"/>
      <c r="FE1020" s="4"/>
      <c r="FF1020" s="4"/>
      <c r="FG1020" s="4"/>
      <c r="FH1020" s="4"/>
      <c r="FI1020" s="4"/>
      <c r="FJ1020" s="4"/>
      <c r="FK1020" s="4"/>
      <c r="FL1020" s="4"/>
      <c r="FM1020" s="4"/>
      <c r="FN1020" s="4"/>
      <c r="FO1020" s="4"/>
      <c r="FP1020" s="4"/>
      <c r="FQ1020" s="4"/>
      <c r="FR1020" s="4"/>
      <c r="FS1020" s="4"/>
      <c r="FT1020" s="4"/>
      <c r="FU1020" s="4"/>
      <c r="FV1020" s="4"/>
      <c r="FW1020" s="4"/>
      <c r="FX1020" s="4"/>
      <c r="FY1020" s="4">
        <v>100</v>
      </c>
      <c r="FZ1020" s="4"/>
      <c r="GA1020" s="4"/>
      <c r="GB1020" s="4"/>
      <c r="GC1020" s="4"/>
      <c r="GD1020" s="4"/>
      <c r="GE1020" s="4"/>
      <c r="GF1020" s="4"/>
      <c r="GG1020" s="4"/>
      <c r="GH1020" s="4"/>
      <c r="GI1020" s="4"/>
      <c r="GJ1020" s="4"/>
      <c r="GK1020" s="4">
        <v>150</v>
      </c>
      <c r="GL1020" s="4"/>
      <c r="GM1020" s="4"/>
      <c r="GN1020" s="4"/>
      <c r="GO1020" s="4"/>
      <c r="GP1020" s="4"/>
      <c r="GQ1020" s="4"/>
      <c r="GR1020" s="4"/>
      <c r="GS1020" s="4"/>
      <c r="GT1020" s="4"/>
      <c r="GU1020" s="4">
        <v>180</v>
      </c>
      <c r="GV1020" s="4"/>
      <c r="GW1020" s="4"/>
      <c r="GX1020" s="4"/>
    </row>
    <row r="1021">
      <c r="A1021" s="2" t="s">
        <v>5952</v>
      </c>
      <c r="B1021" s="2" t="s">
        <v>697</v>
      </c>
      <c r="C1021" s="2" t="s">
        <v>1299</v>
      </c>
      <c r="D1021" s="2" t="s">
        <v>687</v>
      </c>
      <c r="E1021" s="2" t="s">
        <v>688</v>
      </c>
      <c r="F1021" s="2" t="s">
        <v>5944</v>
      </c>
      <c r="G1021" s="2" t="s">
        <v>5944</v>
      </c>
      <c r="H1021" s="2" t="s">
        <v>5944</v>
      </c>
      <c r="I1021" s="2" t="s">
        <v>5950</v>
      </c>
      <c r="J1021" s="2" t="s">
        <v>257</v>
      </c>
      <c r="K1021" s="2" t="s">
        <v>1577</v>
      </c>
      <c r="L1021" s="3">
        <v>47.61</v>
      </c>
      <c r="M1021" s="3">
        <v>49.99</v>
      </c>
      <c r="N1021" s="3">
        <v>99.99</v>
      </c>
      <c r="O1021" s="2" t="s">
        <v>224</v>
      </c>
      <c r="P1021" s="2" t="s">
        <v>225</v>
      </c>
      <c r="Q1021" s="2" t="s">
        <v>226</v>
      </c>
      <c r="R1021" s="2" t="s">
        <v>227</v>
      </c>
      <c r="S1021" s="2" t="s">
        <v>5946</v>
      </c>
      <c r="T1021" s="2" t="s">
        <v>1871</v>
      </c>
      <c r="U1021" s="2" t="s">
        <v>674</v>
      </c>
      <c r="V1021" s="2" t="s">
        <v>230</v>
      </c>
      <c r="W1021" s="2" t="s">
        <v>231</v>
      </c>
      <c r="X1021" s="2" t="s">
        <v>227</v>
      </c>
      <c r="Y1021" s="2" t="s">
        <v>1707</v>
      </c>
      <c r="Z1021" s="4">
        <v>153</v>
      </c>
      <c r="AA1021" s="4">
        <f>=ROUNDDOWN(25.5,0)</f>
      </c>
      <c r="AB1021" s="5">
        <v>6</v>
      </c>
      <c r="AC1021" s="2" t="s">
        <v>189</v>
      </c>
      <c r="AD1021" s="4">
        <v>70</v>
      </c>
      <c r="AE1021" s="4">
        <v>250</v>
      </c>
      <c r="AF1021" s="6">
        <v>65</v>
      </c>
      <c r="AG1021" s="6"/>
      <c r="AH1021" s="7">
        <v>1</v>
      </c>
      <c r="AI1021" s="4"/>
      <c r="AJ1021" s="4">
        <f>=ROUNDDOWN({0},0)</f>
      </c>
      <c r="AK1021" s="5"/>
      <c r="AL1021" s="2" t="s">
        <v>227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227</v>
      </c>
      <c r="AW1021" s="8" t="s">
        <v>227</v>
      </c>
      <c r="AX1021" s="4" t="s">
        <v>227</v>
      </c>
      <c r="AY1021" s="8" t="s">
        <v>227</v>
      </c>
      <c r="AZ1021" s="7" t="s">
        <v>227</v>
      </c>
      <c r="BA1021" s="7" t="s">
        <v>227</v>
      </c>
      <c r="BB1021" s="7"/>
      <c r="BC1021" s="4" t="s">
        <v>227</v>
      </c>
      <c r="BD1021" s="8" t="s">
        <v>227</v>
      </c>
      <c r="BE1021" s="4" t="s">
        <v>227</v>
      </c>
      <c r="BF1021" s="8" t="s">
        <v>227</v>
      </c>
      <c r="BG1021" s="7" t="s">
        <v>227</v>
      </c>
      <c r="BH1021" s="7" t="s">
        <v>227</v>
      </c>
      <c r="BI1021" s="7"/>
      <c r="BJ1021" s="4">
        <v>10</v>
      </c>
      <c r="BK1021" s="8">
        <v>535.18</v>
      </c>
      <c r="BL1021" s="2" t="s">
        <v>4477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5953</v>
      </c>
      <c r="BV1021" s="2" t="s">
        <v>227</v>
      </c>
      <c r="BW1021" s="2" t="s">
        <v>227</v>
      </c>
      <c r="BX1021" s="2" t="s">
        <v>235</v>
      </c>
      <c r="BY1021" s="2" t="s">
        <v>236</v>
      </c>
      <c r="BZ1021" s="2" t="s">
        <v>224</v>
      </c>
      <c r="CA1021" s="2" t="s">
        <v>5948</v>
      </c>
      <c r="CB1021" s="2" t="s">
        <v>4277</v>
      </c>
      <c r="CC1021" s="2" t="s">
        <v>239</v>
      </c>
      <c r="CD1021" s="2" t="s">
        <v>227</v>
      </c>
      <c r="CE1021" s="4">
        <v>153</v>
      </c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/>
      <c r="EU1021" s="4"/>
      <c r="EV1021" s="4"/>
      <c r="EW1021" s="4"/>
      <c r="EX1021" s="4"/>
      <c r="EY1021" s="4"/>
      <c r="EZ1021" s="4"/>
      <c r="FA1021" s="4"/>
      <c r="FB1021" s="4"/>
      <c r="FC1021" s="4"/>
      <c r="FD1021" s="4"/>
      <c r="FE1021" s="4"/>
      <c r="FF1021" s="4"/>
      <c r="FG1021" s="4"/>
      <c r="FH1021" s="4"/>
      <c r="FI1021" s="4"/>
      <c r="FJ1021" s="4"/>
      <c r="FK1021" s="4"/>
      <c r="FL1021" s="4"/>
      <c r="FM1021" s="4"/>
      <c r="FN1021" s="4"/>
      <c r="FO1021" s="4"/>
      <c r="FP1021" s="4"/>
      <c r="FQ1021" s="4"/>
      <c r="FR1021" s="4"/>
      <c r="FS1021" s="4"/>
      <c r="FT1021" s="4"/>
      <c r="FU1021" s="4"/>
      <c r="FV1021" s="4"/>
      <c r="FW1021" s="4"/>
      <c r="FX1021" s="4"/>
      <c r="FY1021" s="4">
        <v>70</v>
      </c>
      <c r="FZ1021" s="4"/>
      <c r="GA1021" s="4"/>
      <c r="GB1021" s="4"/>
      <c r="GC1021" s="4"/>
      <c r="GD1021" s="4"/>
      <c r="GE1021" s="4"/>
      <c r="GF1021" s="4"/>
      <c r="GG1021" s="4"/>
      <c r="GH1021" s="4"/>
      <c r="GI1021" s="4"/>
      <c r="GJ1021" s="4"/>
      <c r="GK1021" s="4">
        <v>80</v>
      </c>
      <c r="GL1021" s="4"/>
      <c r="GM1021" s="4"/>
      <c r="GN1021" s="4"/>
      <c r="GO1021" s="4"/>
      <c r="GP1021" s="4"/>
      <c r="GQ1021" s="4"/>
      <c r="GR1021" s="4"/>
      <c r="GS1021" s="4"/>
      <c r="GT1021" s="4"/>
      <c r="GU1021" s="4">
        <v>100</v>
      </c>
      <c r="GV1021" s="4"/>
      <c r="GW1021" s="4"/>
      <c r="GX1021" s="4"/>
    </row>
    <row r="1022">
      <c r="A1022" s="2" t="s">
        <v>5954</v>
      </c>
      <c r="B1022" s="2" t="s">
        <v>697</v>
      </c>
      <c r="C1022" s="2" t="s">
        <v>1299</v>
      </c>
      <c r="D1022" s="2" t="s">
        <v>687</v>
      </c>
      <c r="E1022" s="2" t="s">
        <v>688</v>
      </c>
      <c r="F1022" s="2" t="s">
        <v>5944</v>
      </c>
      <c r="G1022" s="2" t="s">
        <v>5944</v>
      </c>
      <c r="H1022" s="2" t="s">
        <v>5944</v>
      </c>
      <c r="I1022" s="2" t="s">
        <v>5945</v>
      </c>
      <c r="J1022" s="2" t="s">
        <v>222</v>
      </c>
      <c r="K1022" s="2" t="s">
        <v>827</v>
      </c>
      <c r="L1022" s="3">
        <v>33.33</v>
      </c>
      <c r="M1022" s="3">
        <v>35</v>
      </c>
      <c r="N1022" s="3">
        <v>69.99</v>
      </c>
      <c r="O1022" s="2" t="s">
        <v>224</v>
      </c>
      <c r="P1022" s="2" t="s">
        <v>225</v>
      </c>
      <c r="Q1022" s="2" t="s">
        <v>226</v>
      </c>
      <c r="R1022" s="2" t="s">
        <v>227</v>
      </c>
      <c r="S1022" s="2" t="s">
        <v>5955</v>
      </c>
      <c r="T1022" s="2" t="s">
        <v>1871</v>
      </c>
      <c r="U1022" s="2" t="s">
        <v>1044</v>
      </c>
      <c r="V1022" s="2" t="s">
        <v>230</v>
      </c>
      <c r="W1022" s="2" t="s">
        <v>231</v>
      </c>
      <c r="X1022" s="2" t="s">
        <v>227</v>
      </c>
      <c r="Y1022" s="2" t="s">
        <v>1707</v>
      </c>
      <c r="Z1022" s="4">
        <v>240</v>
      </c>
      <c r="AA1022" s="4">
        <f>=ROUNDDOWN(60,0)</f>
      </c>
      <c r="AB1022" s="5">
        <v>4</v>
      </c>
      <c r="AC1022" s="2" t="s">
        <v>189</v>
      </c>
      <c r="AD1022" s="4">
        <v>50</v>
      </c>
      <c r="AE1022" s="4">
        <v>150</v>
      </c>
      <c r="AF1022" s="6">
        <v>65</v>
      </c>
      <c r="AG1022" s="6"/>
      <c r="AH1022" s="7">
        <v>1</v>
      </c>
      <c r="AI1022" s="4"/>
      <c r="AJ1022" s="4">
        <f>=ROUNDDOWN({0},0)</f>
      </c>
      <c r="AK1022" s="5"/>
      <c r="AL1022" s="2" t="s">
        <v>227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227</v>
      </c>
      <c r="AW1022" s="8" t="s">
        <v>227</v>
      </c>
      <c r="AX1022" s="4" t="s">
        <v>227</v>
      </c>
      <c r="AY1022" s="8" t="s">
        <v>227</v>
      </c>
      <c r="AZ1022" s="7" t="s">
        <v>227</v>
      </c>
      <c r="BA1022" s="7" t="s">
        <v>227</v>
      </c>
      <c r="BB1022" s="7"/>
      <c r="BC1022" s="4" t="s">
        <v>227</v>
      </c>
      <c r="BD1022" s="8" t="s">
        <v>227</v>
      </c>
      <c r="BE1022" s="4" t="s">
        <v>227</v>
      </c>
      <c r="BF1022" s="8" t="s">
        <v>227</v>
      </c>
      <c r="BG1022" s="7" t="s">
        <v>227</v>
      </c>
      <c r="BH1022" s="7" t="s">
        <v>227</v>
      </c>
      <c r="BI1022" s="7"/>
      <c r="BJ1022" s="4">
        <v>9</v>
      </c>
      <c r="BK1022" s="8">
        <v>334.96</v>
      </c>
      <c r="BL1022" s="2" t="s">
        <v>2320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5956</v>
      </c>
      <c r="BV1022" s="2" t="s">
        <v>227</v>
      </c>
      <c r="BW1022" s="2" t="s">
        <v>227</v>
      </c>
      <c r="BX1022" s="2" t="s">
        <v>235</v>
      </c>
      <c r="BY1022" s="2" t="s">
        <v>236</v>
      </c>
      <c r="BZ1022" s="2" t="s">
        <v>224</v>
      </c>
      <c r="CA1022" s="2" t="s">
        <v>5948</v>
      </c>
      <c r="CB1022" s="2" t="s">
        <v>5957</v>
      </c>
      <c r="CC1022" s="2" t="s">
        <v>239</v>
      </c>
      <c r="CD1022" s="2" t="s">
        <v>227</v>
      </c>
      <c r="CE1022" s="4">
        <v>240</v>
      </c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/>
      <c r="FA1022" s="4"/>
      <c r="FB1022" s="4"/>
      <c r="FC1022" s="4"/>
      <c r="FD1022" s="4"/>
      <c r="FE1022" s="4"/>
      <c r="FF1022" s="4"/>
      <c r="FG1022" s="4"/>
      <c r="FH1022" s="4"/>
      <c r="FI1022" s="4"/>
      <c r="FJ1022" s="4"/>
      <c r="FK1022" s="4"/>
      <c r="FL1022" s="4"/>
      <c r="FM1022" s="4"/>
      <c r="FN1022" s="4"/>
      <c r="FO1022" s="4"/>
      <c r="FP1022" s="4"/>
      <c r="FQ1022" s="4"/>
      <c r="FR1022" s="4"/>
      <c r="FS1022" s="4"/>
      <c r="FT1022" s="4"/>
      <c r="FU1022" s="4"/>
      <c r="FV1022" s="4"/>
      <c r="FW1022" s="4"/>
      <c r="FX1022" s="4"/>
      <c r="FY1022" s="4">
        <v>50</v>
      </c>
      <c r="FZ1022" s="4"/>
      <c r="GA1022" s="4"/>
      <c r="GB1022" s="4"/>
      <c r="GC1022" s="4"/>
      <c r="GD1022" s="4"/>
      <c r="GE1022" s="4"/>
      <c r="GF1022" s="4"/>
      <c r="GG1022" s="4"/>
      <c r="GH1022" s="4"/>
      <c r="GI1022" s="4"/>
      <c r="GJ1022" s="4"/>
      <c r="GK1022" s="4">
        <v>50</v>
      </c>
      <c r="GL1022" s="4"/>
      <c r="GM1022" s="4"/>
      <c r="GN1022" s="4"/>
      <c r="GO1022" s="4"/>
      <c r="GP1022" s="4"/>
      <c r="GQ1022" s="4"/>
      <c r="GR1022" s="4"/>
      <c r="GS1022" s="4"/>
      <c r="GT1022" s="4"/>
      <c r="GU1022" s="4">
        <v>50</v>
      </c>
      <c r="GV1022" s="4"/>
      <c r="GW1022" s="4"/>
      <c r="GX1022" s="4"/>
    </row>
    <row r="1023">
      <c r="A1023" s="2" t="s">
        <v>5958</v>
      </c>
      <c r="B1023" s="2" t="s">
        <v>697</v>
      </c>
      <c r="C1023" s="2" t="s">
        <v>1299</v>
      </c>
      <c r="D1023" s="2" t="s">
        <v>687</v>
      </c>
      <c r="E1023" s="2" t="s">
        <v>688</v>
      </c>
      <c r="F1023" s="2" t="s">
        <v>5944</v>
      </c>
      <c r="G1023" s="2" t="s">
        <v>5944</v>
      </c>
      <c r="H1023" s="2" t="s">
        <v>5944</v>
      </c>
      <c r="I1023" s="2" t="s">
        <v>5950</v>
      </c>
      <c r="J1023" s="2" t="s">
        <v>257</v>
      </c>
      <c r="K1023" s="2" t="s">
        <v>827</v>
      </c>
      <c r="L1023" s="3">
        <v>47.61</v>
      </c>
      <c r="M1023" s="3">
        <v>49.99</v>
      </c>
      <c r="N1023" s="3">
        <v>99.99</v>
      </c>
      <c r="O1023" s="2" t="s">
        <v>224</v>
      </c>
      <c r="P1023" s="2" t="s">
        <v>225</v>
      </c>
      <c r="Q1023" s="2" t="s">
        <v>226</v>
      </c>
      <c r="R1023" s="2" t="s">
        <v>227</v>
      </c>
      <c r="S1023" s="2" t="s">
        <v>5955</v>
      </c>
      <c r="T1023" s="2" t="s">
        <v>1871</v>
      </c>
      <c r="U1023" s="2" t="s">
        <v>674</v>
      </c>
      <c r="V1023" s="2" t="s">
        <v>230</v>
      </c>
      <c r="W1023" s="2" t="s">
        <v>231</v>
      </c>
      <c r="X1023" s="2" t="s">
        <v>227</v>
      </c>
      <c r="Y1023" s="2" t="s">
        <v>1490</v>
      </c>
      <c r="Z1023" s="4">
        <v>138</v>
      </c>
      <c r="AA1023" s="4">
        <f>=ROUNDDOWN(23,0)</f>
      </c>
      <c r="AB1023" s="5">
        <v>6</v>
      </c>
      <c r="AC1023" s="2" t="s">
        <v>189</v>
      </c>
      <c r="AD1023" s="4">
        <v>70</v>
      </c>
      <c r="AE1023" s="4">
        <v>200</v>
      </c>
      <c r="AF1023" s="6">
        <v>65</v>
      </c>
      <c r="AG1023" s="6"/>
      <c r="AH1023" s="7">
        <v>1</v>
      </c>
      <c r="AI1023" s="4"/>
      <c r="AJ1023" s="4">
        <f>=ROUNDDOWN({0},0)</f>
      </c>
      <c r="AK1023" s="5"/>
      <c r="AL1023" s="2" t="s">
        <v>227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227</v>
      </c>
      <c r="AW1023" s="8" t="s">
        <v>227</v>
      </c>
      <c r="AX1023" s="4" t="s">
        <v>227</v>
      </c>
      <c r="AY1023" s="8" t="s">
        <v>227</v>
      </c>
      <c r="AZ1023" s="7" t="s">
        <v>227</v>
      </c>
      <c r="BA1023" s="7" t="s">
        <v>227</v>
      </c>
      <c r="BB1023" s="7"/>
      <c r="BC1023" s="4" t="s">
        <v>227</v>
      </c>
      <c r="BD1023" s="8" t="s">
        <v>227</v>
      </c>
      <c r="BE1023" s="4" t="s">
        <v>227</v>
      </c>
      <c r="BF1023" s="8" t="s">
        <v>227</v>
      </c>
      <c r="BG1023" s="7" t="s">
        <v>227</v>
      </c>
      <c r="BH1023" s="7" t="s">
        <v>227</v>
      </c>
      <c r="BI1023" s="7"/>
      <c r="BJ1023" s="4">
        <v>19</v>
      </c>
      <c r="BK1023" s="8">
        <v>1015.85</v>
      </c>
      <c r="BL1023" s="2" t="s">
        <v>295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5959</v>
      </c>
      <c r="BV1023" s="2" t="s">
        <v>227</v>
      </c>
      <c r="BW1023" s="2" t="s">
        <v>227</v>
      </c>
      <c r="BX1023" s="2" t="s">
        <v>235</v>
      </c>
      <c r="BY1023" s="2" t="s">
        <v>236</v>
      </c>
      <c r="BZ1023" s="2" t="s">
        <v>224</v>
      </c>
      <c r="CA1023" s="2" t="s">
        <v>5948</v>
      </c>
      <c r="CB1023" s="2" t="s">
        <v>1630</v>
      </c>
      <c r="CC1023" s="2" t="s">
        <v>239</v>
      </c>
      <c r="CD1023" s="2" t="s">
        <v>227</v>
      </c>
      <c r="CE1023" s="4">
        <v>138</v>
      </c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/>
      <c r="FA1023" s="4"/>
      <c r="FB1023" s="4"/>
      <c r="FC1023" s="4"/>
      <c r="FD1023" s="4"/>
      <c r="FE1023" s="4"/>
      <c r="FF1023" s="4"/>
      <c r="FG1023" s="4"/>
      <c r="FH1023" s="4"/>
      <c r="FI1023" s="4"/>
      <c r="FJ1023" s="4"/>
      <c r="FK1023" s="4"/>
      <c r="FL1023" s="4"/>
      <c r="FM1023" s="4"/>
      <c r="FN1023" s="4"/>
      <c r="FO1023" s="4"/>
      <c r="FP1023" s="4"/>
      <c r="FQ1023" s="4"/>
      <c r="FR1023" s="4"/>
      <c r="FS1023" s="4"/>
      <c r="FT1023" s="4"/>
      <c r="FU1023" s="4"/>
      <c r="FV1023" s="4"/>
      <c r="FW1023" s="4"/>
      <c r="FX1023" s="4"/>
      <c r="FY1023" s="4">
        <v>70</v>
      </c>
      <c r="FZ1023" s="4"/>
      <c r="GA1023" s="4"/>
      <c r="GB1023" s="4"/>
      <c r="GC1023" s="4"/>
      <c r="GD1023" s="4"/>
      <c r="GE1023" s="4"/>
      <c r="GF1023" s="4"/>
      <c r="GG1023" s="4"/>
      <c r="GH1023" s="4"/>
      <c r="GI1023" s="4"/>
      <c r="GJ1023" s="4"/>
      <c r="GK1023" s="4">
        <v>80</v>
      </c>
      <c r="GL1023" s="4"/>
      <c r="GM1023" s="4"/>
      <c r="GN1023" s="4"/>
      <c r="GO1023" s="4"/>
      <c r="GP1023" s="4"/>
      <c r="GQ1023" s="4"/>
      <c r="GR1023" s="4"/>
      <c r="GS1023" s="4"/>
      <c r="GT1023" s="4"/>
      <c r="GU1023" s="4">
        <v>50</v>
      </c>
      <c r="GV1023" s="4"/>
      <c r="GW1023" s="4"/>
      <c r="GX1023" s="4"/>
    </row>
    <row r="1024">
      <c r="A1024" s="2" t="s">
        <v>5960</v>
      </c>
      <c r="B1024" s="2" t="s">
        <v>697</v>
      </c>
      <c r="C1024" s="2" t="s">
        <v>1299</v>
      </c>
      <c r="D1024" s="2" t="s">
        <v>687</v>
      </c>
      <c r="E1024" s="2" t="s">
        <v>688</v>
      </c>
      <c r="F1024" s="2" t="s">
        <v>5944</v>
      </c>
      <c r="G1024" s="2" t="s">
        <v>5944</v>
      </c>
      <c r="H1024" s="2" t="s">
        <v>5944</v>
      </c>
      <c r="I1024" s="2" t="s">
        <v>5950</v>
      </c>
      <c r="J1024" s="2" t="s">
        <v>626</v>
      </c>
      <c r="K1024" s="2" t="s">
        <v>610</v>
      </c>
      <c r="L1024" s="3">
        <v>42.85</v>
      </c>
      <c r="M1024" s="3">
        <v>44.99</v>
      </c>
      <c r="N1024" s="3">
        <v>89.99</v>
      </c>
      <c r="O1024" s="2" t="s">
        <v>224</v>
      </c>
      <c r="P1024" s="2" t="s">
        <v>225</v>
      </c>
      <c r="Q1024" s="2" t="s">
        <v>226</v>
      </c>
      <c r="R1024" s="2" t="s">
        <v>227</v>
      </c>
      <c r="S1024" s="2" t="s">
        <v>5961</v>
      </c>
      <c r="T1024" s="2" t="s">
        <v>1871</v>
      </c>
      <c r="U1024" s="2" t="s">
        <v>674</v>
      </c>
      <c r="V1024" s="2" t="s">
        <v>230</v>
      </c>
      <c r="W1024" s="2" t="s">
        <v>231</v>
      </c>
      <c r="X1024" s="2" t="s">
        <v>227</v>
      </c>
      <c r="Y1024" s="2" t="s">
        <v>1707</v>
      </c>
      <c r="Z1024" s="4">
        <v>326</v>
      </c>
      <c r="AA1024" s="4">
        <f>=ROUNDDOWN(40.75,0)</f>
      </c>
      <c r="AB1024" s="5">
        <v>8</v>
      </c>
      <c r="AC1024" s="2" t="s">
        <v>189</v>
      </c>
      <c r="AD1024" s="4">
        <v>120</v>
      </c>
      <c r="AE1024" s="4">
        <v>430</v>
      </c>
      <c r="AF1024" s="6">
        <v>65</v>
      </c>
      <c r="AG1024" s="6"/>
      <c r="AH1024" s="7">
        <v>1</v>
      </c>
      <c r="AI1024" s="4"/>
      <c r="AJ1024" s="4">
        <f>=ROUNDDOWN({0},0)</f>
      </c>
      <c r="AK1024" s="5"/>
      <c r="AL1024" s="2" t="s">
        <v>227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227</v>
      </c>
      <c r="AW1024" s="8" t="s">
        <v>227</v>
      </c>
      <c r="AX1024" s="4" t="s">
        <v>227</v>
      </c>
      <c r="AY1024" s="8" t="s">
        <v>227</v>
      </c>
      <c r="AZ1024" s="7" t="s">
        <v>227</v>
      </c>
      <c r="BA1024" s="7" t="s">
        <v>227</v>
      </c>
      <c r="BB1024" s="7"/>
      <c r="BC1024" s="4" t="s">
        <v>227</v>
      </c>
      <c r="BD1024" s="8" t="s">
        <v>227</v>
      </c>
      <c r="BE1024" s="4" t="s">
        <v>227</v>
      </c>
      <c r="BF1024" s="8" t="s">
        <v>227</v>
      </c>
      <c r="BG1024" s="7" t="s">
        <v>227</v>
      </c>
      <c r="BH1024" s="7" t="s">
        <v>227</v>
      </c>
      <c r="BI1024" s="7"/>
      <c r="BJ1024" s="4">
        <v>13</v>
      </c>
      <c r="BK1024" s="8">
        <v>621.35</v>
      </c>
      <c r="BL1024" s="2" t="s">
        <v>5962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5963</v>
      </c>
      <c r="BV1024" s="2" t="s">
        <v>227</v>
      </c>
      <c r="BW1024" s="2" t="s">
        <v>227</v>
      </c>
      <c r="BX1024" s="2" t="s">
        <v>235</v>
      </c>
      <c r="BY1024" s="2" t="s">
        <v>236</v>
      </c>
      <c r="BZ1024" s="2" t="s">
        <v>224</v>
      </c>
      <c r="CA1024" s="2" t="s">
        <v>5948</v>
      </c>
      <c r="CB1024" s="2" t="s">
        <v>227</v>
      </c>
      <c r="CC1024" s="2" t="s">
        <v>239</v>
      </c>
      <c r="CD1024" s="2" t="s">
        <v>227</v>
      </c>
      <c r="CE1024" s="4">
        <v>326</v>
      </c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/>
      <c r="FA1024" s="4"/>
      <c r="FB1024" s="4"/>
      <c r="FC1024" s="4"/>
      <c r="FD1024" s="4"/>
      <c r="FE1024" s="4"/>
      <c r="FF1024" s="4"/>
      <c r="FG1024" s="4"/>
      <c r="FH1024" s="4"/>
      <c r="FI1024" s="4"/>
      <c r="FJ1024" s="4"/>
      <c r="FK1024" s="4"/>
      <c r="FL1024" s="4"/>
      <c r="FM1024" s="4"/>
      <c r="FN1024" s="4"/>
      <c r="FO1024" s="4"/>
      <c r="FP1024" s="4"/>
      <c r="FQ1024" s="4"/>
      <c r="FR1024" s="4"/>
      <c r="FS1024" s="4"/>
      <c r="FT1024" s="4"/>
      <c r="FU1024" s="4"/>
      <c r="FV1024" s="4"/>
      <c r="FW1024" s="4"/>
      <c r="FX1024" s="4"/>
      <c r="FY1024" s="4">
        <v>120</v>
      </c>
      <c r="FZ1024" s="4"/>
      <c r="GA1024" s="4"/>
      <c r="GB1024" s="4"/>
      <c r="GC1024" s="4"/>
      <c r="GD1024" s="4"/>
      <c r="GE1024" s="4"/>
      <c r="GF1024" s="4"/>
      <c r="GG1024" s="4"/>
      <c r="GH1024" s="4"/>
      <c r="GI1024" s="4"/>
      <c r="GJ1024" s="4"/>
      <c r="GK1024" s="4">
        <v>230</v>
      </c>
      <c r="GL1024" s="4"/>
      <c r="GM1024" s="4"/>
      <c r="GN1024" s="4"/>
      <c r="GO1024" s="4"/>
      <c r="GP1024" s="4"/>
      <c r="GQ1024" s="4"/>
      <c r="GR1024" s="4"/>
      <c r="GS1024" s="4"/>
      <c r="GT1024" s="4"/>
      <c r="GU1024" s="4">
        <v>80</v>
      </c>
      <c r="GV1024" s="4"/>
      <c r="GW1024" s="4"/>
      <c r="GX1024" s="4"/>
    </row>
    <row r="1025">
      <c r="A1025" s="2" t="s">
        <v>5964</v>
      </c>
      <c r="B1025" s="2" t="s">
        <v>697</v>
      </c>
      <c r="C1025" s="2" t="s">
        <v>1299</v>
      </c>
      <c r="D1025" s="2" t="s">
        <v>687</v>
      </c>
      <c r="E1025" s="2" t="s">
        <v>688</v>
      </c>
      <c r="F1025" s="2" t="s">
        <v>5944</v>
      </c>
      <c r="G1025" s="2" t="s">
        <v>5944</v>
      </c>
      <c r="H1025" s="2" t="s">
        <v>5944</v>
      </c>
      <c r="I1025" s="2" t="s">
        <v>5950</v>
      </c>
      <c r="J1025" s="2" t="s">
        <v>257</v>
      </c>
      <c r="K1025" s="2" t="s">
        <v>610</v>
      </c>
      <c r="L1025" s="3">
        <v>47.61</v>
      </c>
      <c r="M1025" s="3">
        <v>49.99</v>
      </c>
      <c r="N1025" s="3">
        <v>99.99</v>
      </c>
      <c r="O1025" s="2" t="s">
        <v>224</v>
      </c>
      <c r="P1025" s="2" t="s">
        <v>225</v>
      </c>
      <c r="Q1025" s="2" t="s">
        <v>226</v>
      </c>
      <c r="R1025" s="2" t="s">
        <v>227</v>
      </c>
      <c r="S1025" s="2" t="s">
        <v>5961</v>
      </c>
      <c r="T1025" s="2" t="s">
        <v>1871</v>
      </c>
      <c r="U1025" s="2" t="s">
        <v>674</v>
      </c>
      <c r="V1025" s="2" t="s">
        <v>230</v>
      </c>
      <c r="W1025" s="2" t="s">
        <v>231</v>
      </c>
      <c r="X1025" s="2" t="s">
        <v>227</v>
      </c>
      <c r="Y1025" s="2" t="s">
        <v>1490</v>
      </c>
      <c r="Z1025" s="4">
        <v>153</v>
      </c>
      <c r="AA1025" s="4">
        <f>=ROUNDDOWN(25.5,0)</f>
      </c>
      <c r="AB1025" s="5">
        <v>6</v>
      </c>
      <c r="AC1025" s="2" t="s">
        <v>189</v>
      </c>
      <c r="AD1025" s="4">
        <v>80</v>
      </c>
      <c r="AE1025" s="4">
        <v>270</v>
      </c>
      <c r="AF1025" s="6">
        <v>65</v>
      </c>
      <c r="AG1025" s="6"/>
      <c r="AH1025" s="7">
        <v>1</v>
      </c>
      <c r="AI1025" s="4"/>
      <c r="AJ1025" s="4">
        <f>=ROUNDDOWN({0},0)</f>
      </c>
      <c r="AK1025" s="5"/>
      <c r="AL1025" s="2" t="s">
        <v>227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227</v>
      </c>
      <c r="AW1025" s="8" t="s">
        <v>227</v>
      </c>
      <c r="AX1025" s="4" t="s">
        <v>227</v>
      </c>
      <c r="AY1025" s="8" t="s">
        <v>227</v>
      </c>
      <c r="AZ1025" s="7" t="s">
        <v>227</v>
      </c>
      <c r="BA1025" s="7" t="s">
        <v>227</v>
      </c>
      <c r="BB1025" s="7"/>
      <c r="BC1025" s="4" t="s">
        <v>227</v>
      </c>
      <c r="BD1025" s="8" t="s">
        <v>227</v>
      </c>
      <c r="BE1025" s="4" t="s">
        <v>227</v>
      </c>
      <c r="BF1025" s="8" t="s">
        <v>227</v>
      </c>
      <c r="BG1025" s="7" t="s">
        <v>227</v>
      </c>
      <c r="BH1025" s="7" t="s">
        <v>227</v>
      </c>
      <c r="BI1025" s="7"/>
      <c r="BJ1025" s="4">
        <v>12</v>
      </c>
      <c r="BK1025" s="8">
        <v>643.41</v>
      </c>
      <c r="BL1025" s="2" t="s">
        <v>312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5965</v>
      </c>
      <c r="BV1025" s="2" t="s">
        <v>227</v>
      </c>
      <c r="BW1025" s="2" t="s">
        <v>227</v>
      </c>
      <c r="BX1025" s="2" t="s">
        <v>235</v>
      </c>
      <c r="BY1025" s="2" t="s">
        <v>236</v>
      </c>
      <c r="BZ1025" s="2" t="s">
        <v>224</v>
      </c>
      <c r="CA1025" s="2" t="s">
        <v>5948</v>
      </c>
      <c r="CB1025" s="2" t="s">
        <v>227</v>
      </c>
      <c r="CC1025" s="2" t="s">
        <v>239</v>
      </c>
      <c r="CD1025" s="2" t="s">
        <v>227</v>
      </c>
      <c r="CE1025" s="4">
        <v>153</v>
      </c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/>
      <c r="FB1025" s="4"/>
      <c r="FC1025" s="4"/>
      <c r="FD1025" s="4"/>
      <c r="FE1025" s="4"/>
      <c r="FF1025" s="4"/>
      <c r="FG1025" s="4"/>
      <c r="FH1025" s="4"/>
      <c r="FI1025" s="4"/>
      <c r="FJ1025" s="4"/>
      <c r="FK1025" s="4"/>
      <c r="FL1025" s="4"/>
      <c r="FM1025" s="4"/>
      <c r="FN1025" s="4"/>
      <c r="FO1025" s="4"/>
      <c r="FP1025" s="4"/>
      <c r="FQ1025" s="4"/>
      <c r="FR1025" s="4"/>
      <c r="FS1025" s="4"/>
      <c r="FT1025" s="4"/>
      <c r="FU1025" s="4"/>
      <c r="FV1025" s="4"/>
      <c r="FW1025" s="4"/>
      <c r="FX1025" s="4"/>
      <c r="FY1025" s="4">
        <v>80</v>
      </c>
      <c r="FZ1025" s="4"/>
      <c r="GA1025" s="4"/>
      <c r="GB1025" s="4"/>
      <c r="GC1025" s="4"/>
      <c r="GD1025" s="4"/>
      <c r="GE1025" s="4"/>
      <c r="GF1025" s="4"/>
      <c r="GG1025" s="4"/>
      <c r="GH1025" s="4"/>
      <c r="GI1025" s="4"/>
      <c r="GJ1025" s="4"/>
      <c r="GK1025" s="4">
        <v>120</v>
      </c>
      <c r="GL1025" s="4"/>
      <c r="GM1025" s="4"/>
      <c r="GN1025" s="4"/>
      <c r="GO1025" s="4"/>
      <c r="GP1025" s="4"/>
      <c r="GQ1025" s="4"/>
      <c r="GR1025" s="4"/>
      <c r="GS1025" s="4"/>
      <c r="GT1025" s="4"/>
      <c r="GU1025" s="4">
        <v>70</v>
      </c>
      <c r="GV1025" s="4"/>
      <c r="GW1025" s="4"/>
      <c r="GX1025" s="4"/>
    </row>
    <row r="1026">
      <c r="A1026" s="2" t="s">
        <v>5966</v>
      </c>
      <c r="B1026" s="2" t="s">
        <v>715</v>
      </c>
      <c r="C1026" s="2" t="s">
        <v>1210</v>
      </c>
      <c r="D1026" s="2" t="s">
        <v>716</v>
      </c>
      <c r="E1026" s="2" t="s">
        <v>717</v>
      </c>
      <c r="F1026" s="2" t="s">
        <v>5967</v>
      </c>
      <c r="G1026" s="2" t="s">
        <v>5968</v>
      </c>
      <c r="H1026" s="2" t="s">
        <v>5969</v>
      </c>
      <c r="I1026" s="2" t="s">
        <v>5970</v>
      </c>
      <c r="J1026" s="2" t="s">
        <v>808</v>
      </c>
      <c r="K1026" s="2" t="s">
        <v>363</v>
      </c>
      <c r="L1026" s="3">
        <v>22.5</v>
      </c>
      <c r="M1026" s="3">
        <v>23.62</v>
      </c>
      <c r="N1026" s="3">
        <v>49.99</v>
      </c>
      <c r="O1026" s="2" t="s">
        <v>224</v>
      </c>
      <c r="P1026" s="2" t="s">
        <v>225</v>
      </c>
      <c r="Q1026" s="2" t="s">
        <v>226</v>
      </c>
      <c r="R1026" s="2" t="s">
        <v>227</v>
      </c>
      <c r="S1026" s="2" t="s">
        <v>5971</v>
      </c>
      <c r="T1026" s="2" t="s">
        <v>227</v>
      </c>
      <c r="U1026" s="2" t="s">
        <v>227</v>
      </c>
      <c r="V1026" s="2" t="s">
        <v>906</v>
      </c>
      <c r="W1026" s="2" t="s">
        <v>836</v>
      </c>
      <c r="X1026" s="2" t="s">
        <v>1216</v>
      </c>
      <c r="Y1026" s="2" t="s">
        <v>2171</v>
      </c>
      <c r="Z1026" s="4">
        <v>491</v>
      </c>
      <c r="AA1026" s="4">
        <f>=ROUNDDOWN(40.9166666666667,0)</f>
      </c>
      <c r="AB1026" s="5">
        <v>12</v>
      </c>
      <c r="AC1026" s="2" t="s">
        <v>227</v>
      </c>
      <c r="AD1026" s="4"/>
      <c r="AE1026" s="4"/>
      <c r="AF1026" s="6">
        <v>65</v>
      </c>
      <c r="AG1026" s="6"/>
      <c r="AH1026" s="7">
        <v>1</v>
      </c>
      <c r="AI1026" s="4"/>
      <c r="AJ1026" s="4">
        <f>=ROUNDDOWN({0},0)</f>
      </c>
      <c r="AK1026" s="5"/>
      <c r="AL1026" s="2" t="s">
        <v>227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227</v>
      </c>
      <c r="AW1026" s="8" t="s">
        <v>227</v>
      </c>
      <c r="AX1026" s="4" t="s">
        <v>227</v>
      </c>
      <c r="AY1026" s="8" t="s">
        <v>227</v>
      </c>
      <c r="AZ1026" s="7" t="s">
        <v>227</v>
      </c>
      <c r="BA1026" s="7" t="s">
        <v>227</v>
      </c>
      <c r="BB1026" s="7"/>
      <c r="BC1026" s="4" t="s">
        <v>227</v>
      </c>
      <c r="BD1026" s="8" t="s">
        <v>227</v>
      </c>
      <c r="BE1026" s="4" t="s">
        <v>227</v>
      </c>
      <c r="BF1026" s="8" t="s">
        <v>227</v>
      </c>
      <c r="BG1026" s="7" t="s">
        <v>227</v>
      </c>
      <c r="BH1026" s="7" t="s">
        <v>227</v>
      </c>
      <c r="BI1026" s="7"/>
      <c r="BJ1026" s="4">
        <v>14</v>
      </c>
      <c r="BK1026" s="8">
        <v>325.45</v>
      </c>
      <c r="BL1026" s="2" t="s">
        <v>2898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5972</v>
      </c>
      <c r="BV1026" s="2" t="s">
        <v>227</v>
      </c>
      <c r="BW1026" s="2" t="s">
        <v>227</v>
      </c>
      <c r="BX1026" s="2" t="s">
        <v>235</v>
      </c>
      <c r="BY1026" s="2" t="s">
        <v>236</v>
      </c>
      <c r="BZ1026" s="2" t="s">
        <v>224</v>
      </c>
      <c r="CA1026" s="2" t="s">
        <v>2666</v>
      </c>
      <c r="CB1026" s="2" t="s">
        <v>5973</v>
      </c>
      <c r="CC1026" s="2" t="s">
        <v>239</v>
      </c>
      <c r="CD1026" s="2" t="s">
        <v>227</v>
      </c>
      <c r="CE1026" s="4">
        <v>491</v>
      </c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/>
      <c r="FB1026" s="4"/>
      <c r="FC1026" s="4"/>
      <c r="FD1026" s="4"/>
      <c r="FE1026" s="4"/>
      <c r="FF1026" s="4"/>
      <c r="FG1026" s="4"/>
      <c r="FH1026" s="4"/>
      <c r="FI1026" s="4"/>
      <c r="FJ1026" s="4"/>
      <c r="FK1026" s="4"/>
      <c r="FL1026" s="4"/>
      <c r="FM1026" s="4"/>
      <c r="FN1026" s="4"/>
      <c r="FO1026" s="4"/>
      <c r="FP1026" s="4"/>
      <c r="FQ1026" s="4"/>
      <c r="FR1026" s="4"/>
      <c r="FS1026" s="4"/>
      <c r="FT1026" s="4"/>
      <c r="FU1026" s="4"/>
      <c r="FV1026" s="4"/>
      <c r="FW1026" s="4"/>
      <c r="FX1026" s="4"/>
      <c r="FY1026" s="4"/>
      <c r="FZ1026" s="4"/>
      <c r="GA1026" s="4"/>
      <c r="GB1026" s="4"/>
      <c r="GC1026" s="4"/>
      <c r="GD1026" s="4"/>
      <c r="GE1026" s="4"/>
      <c r="GF1026" s="4"/>
      <c r="GG1026" s="4"/>
      <c r="GH1026" s="4"/>
      <c r="GI1026" s="4"/>
      <c r="GJ1026" s="4"/>
      <c r="GK1026" s="4"/>
      <c r="GL1026" s="4"/>
      <c r="GM1026" s="4"/>
      <c r="GN1026" s="4"/>
      <c r="GO1026" s="4"/>
      <c r="GP1026" s="4"/>
      <c r="GQ1026" s="4"/>
      <c r="GR1026" s="4"/>
      <c r="GS1026" s="4"/>
      <c r="GT1026" s="4"/>
      <c r="GU1026" s="4"/>
      <c r="GV1026" s="4"/>
      <c r="GW1026" s="4"/>
      <c r="GX1026" s="4"/>
    </row>
    <row r="1027">
      <c r="A1027" s="2" t="s">
        <v>5974</v>
      </c>
      <c r="B1027" s="2" t="s">
        <v>715</v>
      </c>
      <c r="C1027" s="2" t="s">
        <v>1210</v>
      </c>
      <c r="D1027" s="2" t="s">
        <v>716</v>
      </c>
      <c r="E1027" s="2" t="s">
        <v>717</v>
      </c>
      <c r="F1027" s="2" t="s">
        <v>5967</v>
      </c>
      <c r="G1027" s="2" t="s">
        <v>5968</v>
      </c>
      <c r="H1027" s="2" t="s">
        <v>5969</v>
      </c>
      <c r="I1027" s="2" t="s">
        <v>5970</v>
      </c>
      <c r="J1027" s="2" t="s">
        <v>983</v>
      </c>
      <c r="K1027" s="2" t="s">
        <v>363</v>
      </c>
      <c r="L1027" s="3">
        <v>24.75</v>
      </c>
      <c r="M1027" s="3">
        <v>25.99</v>
      </c>
      <c r="N1027" s="3">
        <v>54.99</v>
      </c>
      <c r="O1027" s="2" t="s">
        <v>224</v>
      </c>
      <c r="P1027" s="2" t="s">
        <v>225</v>
      </c>
      <c r="Q1027" s="2" t="s">
        <v>226</v>
      </c>
      <c r="R1027" s="2" t="s">
        <v>227</v>
      </c>
      <c r="S1027" s="2" t="s">
        <v>5971</v>
      </c>
      <c r="T1027" s="2" t="s">
        <v>227</v>
      </c>
      <c r="U1027" s="2" t="s">
        <v>552</v>
      </c>
      <c r="V1027" s="2" t="s">
        <v>906</v>
      </c>
      <c r="W1027" s="2" t="s">
        <v>836</v>
      </c>
      <c r="X1027" s="2" t="s">
        <v>1216</v>
      </c>
      <c r="Y1027" s="2" t="s">
        <v>2171</v>
      </c>
      <c r="Z1027" s="4">
        <v>174</v>
      </c>
      <c r="AA1027" s="4">
        <f>=ROUNDDOWN(14.5,0)</f>
      </c>
      <c r="AB1027" s="5">
        <v>12</v>
      </c>
      <c r="AC1027" s="2" t="s">
        <v>169</v>
      </c>
      <c r="AD1027" s="4">
        <v>168</v>
      </c>
      <c r="AE1027" s="4">
        <v>168</v>
      </c>
      <c r="AF1027" s="6">
        <v>65</v>
      </c>
      <c r="AG1027" s="6"/>
      <c r="AH1027" s="7">
        <v>0.7742</v>
      </c>
      <c r="AI1027" s="4"/>
      <c r="AJ1027" s="4">
        <f>=ROUNDDOWN({0},0)</f>
      </c>
      <c r="AK1027" s="5"/>
      <c r="AL1027" s="2" t="s">
        <v>227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227</v>
      </c>
      <c r="AW1027" s="8" t="s">
        <v>227</v>
      </c>
      <c r="AX1027" s="4" t="s">
        <v>227</v>
      </c>
      <c r="AY1027" s="8" t="s">
        <v>227</v>
      </c>
      <c r="AZ1027" s="7" t="s">
        <v>227</v>
      </c>
      <c r="BA1027" s="7" t="s">
        <v>227</v>
      </c>
      <c r="BB1027" s="7"/>
      <c r="BC1027" s="4" t="s">
        <v>227</v>
      </c>
      <c r="BD1027" s="8" t="s">
        <v>227</v>
      </c>
      <c r="BE1027" s="4" t="s">
        <v>227</v>
      </c>
      <c r="BF1027" s="8" t="s">
        <v>227</v>
      </c>
      <c r="BG1027" s="7" t="s">
        <v>227</v>
      </c>
      <c r="BH1027" s="7" t="s">
        <v>227</v>
      </c>
      <c r="BI1027" s="7"/>
      <c r="BJ1027" s="4">
        <v>30</v>
      </c>
      <c r="BK1027" s="8">
        <v>774.48</v>
      </c>
      <c r="BL1027" s="2" t="s">
        <v>2088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5975</v>
      </c>
      <c r="BV1027" s="2" t="s">
        <v>227</v>
      </c>
      <c r="BW1027" s="2" t="s">
        <v>227</v>
      </c>
      <c r="BX1027" s="2" t="s">
        <v>235</v>
      </c>
      <c r="BY1027" s="2" t="s">
        <v>236</v>
      </c>
      <c r="BZ1027" s="2" t="s">
        <v>224</v>
      </c>
      <c r="CA1027" s="2" t="s">
        <v>2669</v>
      </c>
      <c r="CB1027" s="2" t="s">
        <v>5976</v>
      </c>
      <c r="CC1027" s="2" t="s">
        <v>239</v>
      </c>
      <c r="CD1027" s="2" t="s">
        <v>227</v>
      </c>
      <c r="CE1027" s="4">
        <v>174</v>
      </c>
      <c r="CF1027" s="4"/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/>
      <c r="EX1027" s="4"/>
      <c r="EY1027" s="4"/>
      <c r="EZ1027" s="4"/>
      <c r="FA1027" s="4"/>
      <c r="FB1027" s="4"/>
      <c r="FC1027" s="4"/>
      <c r="FD1027" s="4"/>
      <c r="FE1027" s="4">
        <v>168</v>
      </c>
      <c r="FF1027" s="4"/>
      <c r="FG1027" s="4"/>
      <c r="FH1027" s="4"/>
      <c r="FI1027" s="4"/>
      <c r="FJ1027" s="4"/>
      <c r="FK1027" s="4"/>
      <c r="FL1027" s="4"/>
      <c r="FM1027" s="4"/>
      <c r="FN1027" s="4"/>
      <c r="FO1027" s="4"/>
      <c r="FP1027" s="4"/>
      <c r="FQ1027" s="4"/>
      <c r="FR1027" s="4"/>
      <c r="FS1027" s="4"/>
      <c r="FT1027" s="4"/>
      <c r="FU1027" s="4"/>
      <c r="FV1027" s="4"/>
      <c r="FW1027" s="4"/>
      <c r="FX1027" s="4"/>
      <c r="FY1027" s="4"/>
      <c r="FZ1027" s="4"/>
      <c r="GA1027" s="4"/>
      <c r="GB1027" s="4"/>
      <c r="GC1027" s="4"/>
      <c r="GD1027" s="4"/>
      <c r="GE1027" s="4"/>
      <c r="GF1027" s="4"/>
      <c r="GG1027" s="4"/>
      <c r="GH1027" s="4"/>
      <c r="GI1027" s="4"/>
      <c r="GJ1027" s="4"/>
      <c r="GK1027" s="4"/>
      <c r="GL1027" s="4"/>
      <c r="GM1027" s="4"/>
      <c r="GN1027" s="4"/>
      <c r="GO1027" s="4"/>
      <c r="GP1027" s="4"/>
      <c r="GQ1027" s="4"/>
      <c r="GR1027" s="4"/>
      <c r="GS1027" s="4"/>
      <c r="GT1027" s="4"/>
      <c r="GU1027" s="4"/>
      <c r="GV1027" s="4"/>
      <c r="GW1027" s="4"/>
      <c r="GX1027" s="4"/>
    </row>
    <row r="1028">
      <c r="A1028" s="2" t="s">
        <v>5977</v>
      </c>
      <c r="B1028" s="2" t="s">
        <v>667</v>
      </c>
      <c r="C1028" s="2" t="s">
        <v>360</v>
      </c>
      <c r="D1028" s="2" t="s">
        <v>1652</v>
      </c>
      <c r="E1028" s="2" t="s">
        <v>1653</v>
      </c>
      <c r="F1028" s="2" t="s">
        <v>5978</v>
      </c>
      <c r="G1028" s="2" t="s">
        <v>5979</v>
      </c>
      <c r="H1028" s="2" t="s">
        <v>5980</v>
      </c>
      <c r="I1028" s="2" t="s">
        <v>4138</v>
      </c>
      <c r="J1028" s="2" t="s">
        <v>682</v>
      </c>
      <c r="K1028" s="2" t="s">
        <v>976</v>
      </c>
      <c r="L1028" s="3">
        <v>68.6</v>
      </c>
      <c r="M1028" s="3">
        <v>72.02</v>
      </c>
      <c r="N1028" s="3">
        <v>139.99</v>
      </c>
      <c r="O1028" s="2" t="s">
        <v>224</v>
      </c>
      <c r="P1028" s="2" t="s">
        <v>225</v>
      </c>
      <c r="Q1028" s="2" t="s">
        <v>226</v>
      </c>
      <c r="R1028" s="2" t="s">
        <v>227</v>
      </c>
      <c r="S1028" s="2" t="s">
        <v>5981</v>
      </c>
      <c r="T1028" s="2" t="s">
        <v>286</v>
      </c>
      <c r="U1028" s="2" t="s">
        <v>594</v>
      </c>
      <c r="V1028" s="2" t="s">
        <v>3355</v>
      </c>
      <c r="W1028" s="2" t="s">
        <v>581</v>
      </c>
      <c r="X1028" s="2" t="s">
        <v>5982</v>
      </c>
      <c r="Y1028" s="2" t="s">
        <v>5983</v>
      </c>
      <c r="Z1028" s="4">
        <v>169</v>
      </c>
      <c r="AA1028" s="4">
        <f>=ROUNDDOWN(42.25,0)</f>
      </c>
      <c r="AB1028" s="5">
        <v>4</v>
      </c>
      <c r="AC1028" s="2" t="s">
        <v>2106</v>
      </c>
      <c r="AD1028" s="4">
        <v>20</v>
      </c>
      <c r="AE1028" s="4">
        <v>70</v>
      </c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227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/>
      <c r="AW1028" s="8"/>
      <c r="AX1028" s="4"/>
      <c r="AY1028" s="8"/>
      <c r="AZ1028" s="7"/>
      <c r="BA1028" s="7"/>
      <c r="BB1028" s="7"/>
      <c r="BC1028" s="4"/>
      <c r="BD1028" s="8"/>
      <c r="BE1028" s="4"/>
      <c r="BF1028" s="8"/>
      <c r="BG1028" s="7"/>
      <c r="BH1028" s="7"/>
      <c r="BI1028" s="7"/>
      <c r="BJ1028" s="4">
        <v>19</v>
      </c>
      <c r="BK1028" s="8">
        <v>1359.75</v>
      </c>
      <c r="BL1028" s="2" t="s">
        <v>5984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5985</v>
      </c>
      <c r="BV1028" s="2" t="s">
        <v>227</v>
      </c>
      <c r="BW1028" s="2" t="s">
        <v>227</v>
      </c>
      <c r="BX1028" s="2" t="s">
        <v>235</v>
      </c>
      <c r="BY1028" s="2" t="s">
        <v>236</v>
      </c>
      <c r="BZ1028" s="2" t="s">
        <v>224</v>
      </c>
      <c r="CA1028" s="2" t="s">
        <v>5986</v>
      </c>
      <c r="CB1028" s="2" t="s">
        <v>5987</v>
      </c>
      <c r="CC1028" s="2" t="s">
        <v>239</v>
      </c>
      <c r="CD1028" s="2" t="s">
        <v>227</v>
      </c>
      <c r="CE1028" s="4">
        <v>169</v>
      </c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>
        <v>20</v>
      </c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/>
      <c r="FB1028" s="4"/>
      <c r="FC1028" s="4"/>
      <c r="FD1028" s="4"/>
      <c r="FE1028" s="4"/>
      <c r="FF1028" s="4"/>
      <c r="FG1028" s="4"/>
      <c r="FH1028" s="4"/>
      <c r="FI1028" s="4"/>
      <c r="FJ1028" s="4"/>
      <c r="FK1028" s="4"/>
      <c r="FL1028" s="4"/>
      <c r="FM1028" s="4"/>
      <c r="FN1028" s="4"/>
      <c r="FO1028" s="4"/>
      <c r="FP1028" s="4"/>
      <c r="FQ1028" s="4"/>
      <c r="FR1028" s="4"/>
      <c r="FS1028" s="4"/>
      <c r="FT1028" s="4"/>
      <c r="FU1028" s="4"/>
      <c r="FV1028" s="4"/>
      <c r="FW1028" s="4"/>
      <c r="FX1028" s="4"/>
      <c r="FY1028" s="4"/>
      <c r="FZ1028" s="4"/>
      <c r="GA1028" s="4"/>
      <c r="GB1028" s="4"/>
      <c r="GC1028" s="4"/>
      <c r="GD1028" s="4"/>
      <c r="GE1028" s="4"/>
      <c r="GF1028" s="4"/>
      <c r="GG1028" s="4"/>
      <c r="GH1028" s="4"/>
      <c r="GI1028" s="4"/>
      <c r="GJ1028" s="4"/>
      <c r="GK1028" s="4"/>
      <c r="GL1028" s="4">
        <v>50</v>
      </c>
      <c r="GM1028" s="4"/>
      <c r="GN1028" s="4"/>
      <c r="GO1028" s="4"/>
      <c r="GP1028" s="4"/>
      <c r="GQ1028" s="4"/>
      <c r="GR1028" s="4"/>
      <c r="GS1028" s="4"/>
      <c r="GT1028" s="4"/>
      <c r="GU1028" s="4"/>
      <c r="GV1028" s="4"/>
      <c r="GW1028" s="4"/>
      <c r="GX1028" s="4"/>
    </row>
    <row r="1029">
      <c r="A1029" s="2" t="s">
        <v>5988</v>
      </c>
      <c r="B1029" s="2" t="s">
        <v>542</v>
      </c>
      <c r="C1029" s="2" t="s">
        <v>543</v>
      </c>
      <c r="D1029" s="2" t="s">
        <v>1052</v>
      </c>
      <c r="E1029" s="2" t="s">
        <v>545</v>
      </c>
      <c r="F1029" s="2" t="s">
        <v>5989</v>
      </c>
      <c r="G1029" s="2" t="s">
        <v>5989</v>
      </c>
      <c r="H1029" s="2" t="s">
        <v>5989</v>
      </c>
      <c r="I1029" s="2" t="s">
        <v>5990</v>
      </c>
      <c r="J1029" s="2" t="s">
        <v>548</v>
      </c>
      <c r="K1029" s="2" t="s">
        <v>549</v>
      </c>
      <c r="L1029" s="3">
        <v>87.35</v>
      </c>
      <c r="M1029" s="3">
        <v>91.72</v>
      </c>
      <c r="N1029" s="3">
        <v>161.49</v>
      </c>
      <c r="O1029" s="2" t="s">
        <v>224</v>
      </c>
      <c r="P1029" s="2" t="s">
        <v>530</v>
      </c>
      <c r="Q1029" s="2" t="s">
        <v>226</v>
      </c>
      <c r="R1029" s="2" t="s">
        <v>227</v>
      </c>
      <c r="S1029" s="2" t="s">
        <v>5991</v>
      </c>
      <c r="T1029" s="2" t="s">
        <v>227</v>
      </c>
      <c r="U1029" s="2" t="s">
        <v>1350</v>
      </c>
      <c r="V1029" s="2" t="s">
        <v>553</v>
      </c>
      <c r="W1029" s="2" t="s">
        <v>581</v>
      </c>
      <c r="X1029" s="2" t="s">
        <v>554</v>
      </c>
      <c r="Y1029" s="2" t="s">
        <v>5992</v>
      </c>
      <c r="Z1029" s="4">
        <v>101</v>
      </c>
      <c r="AA1029" s="4">
        <f>=ROUNDDOWN(12.625,0)</f>
      </c>
      <c r="AB1029" s="5">
        <v>8</v>
      </c>
      <c r="AC1029" s="2" t="s">
        <v>153</v>
      </c>
      <c r="AD1029" s="4">
        <v>110</v>
      </c>
      <c r="AE1029" s="4">
        <v>110</v>
      </c>
      <c r="AF1029" s="6">
        <v>63</v>
      </c>
      <c r="AG1029" s="6"/>
      <c r="AH1029" s="7">
        <v>1</v>
      </c>
      <c r="AI1029" s="4"/>
      <c r="AJ1029" s="4">
        <f>=ROUNDDOWN({0},0)</f>
      </c>
      <c r="AK1029" s="5"/>
      <c r="AL1029" s="2" t="s">
        <v>227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/>
      <c r="AW1029" s="8"/>
      <c r="AX1029" s="4"/>
      <c r="AY1029" s="8"/>
      <c r="AZ1029" s="7"/>
      <c r="BA1029" s="7"/>
      <c r="BB1029" s="7"/>
      <c r="BC1029" s="4"/>
      <c r="BD1029" s="8"/>
      <c r="BE1029" s="4"/>
      <c r="BF1029" s="8"/>
      <c r="BG1029" s="7"/>
      <c r="BH1029" s="7"/>
      <c r="BI1029" s="7"/>
      <c r="BJ1029" s="4">
        <v>27</v>
      </c>
      <c r="BK1029" s="8">
        <v>2670.84</v>
      </c>
      <c r="BL1029" s="2" t="s">
        <v>5993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5994</v>
      </c>
      <c r="BV1029" s="2" t="s">
        <v>227</v>
      </c>
      <c r="BW1029" s="2" t="s">
        <v>227</v>
      </c>
      <c r="BX1029" s="2" t="s">
        <v>235</v>
      </c>
      <c r="BY1029" s="2" t="s">
        <v>236</v>
      </c>
      <c r="BZ1029" s="2" t="s">
        <v>224</v>
      </c>
      <c r="CA1029" s="2" t="s">
        <v>5992</v>
      </c>
      <c r="CB1029" s="2" t="s">
        <v>5995</v>
      </c>
      <c r="CC1029" s="2" t="s">
        <v>239</v>
      </c>
      <c r="CD1029" s="2" t="s">
        <v>227</v>
      </c>
      <c r="CE1029" s="4"/>
      <c r="CF1029" s="4">
        <v>101</v>
      </c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  <c r="EM1029" s="4"/>
      <c r="EN1029" s="4"/>
      <c r="EO1029" s="4">
        <v>110</v>
      </c>
      <c r="EP1029" s="4"/>
      <c r="EQ1029" s="4"/>
      <c r="ER1029" s="4"/>
      <c r="ES1029" s="4"/>
      <c r="ET1029" s="4"/>
      <c r="EU1029" s="4"/>
      <c r="EV1029" s="4"/>
      <c r="EW1029" s="4"/>
      <c r="EX1029" s="4"/>
      <c r="EY1029" s="4"/>
      <c r="EZ1029" s="4"/>
      <c r="FA1029" s="4"/>
      <c r="FB1029" s="4"/>
      <c r="FC1029" s="4"/>
      <c r="FD1029" s="4"/>
      <c r="FE1029" s="4"/>
      <c r="FF1029" s="4"/>
      <c r="FG1029" s="4"/>
      <c r="FH1029" s="4"/>
      <c r="FI1029" s="4"/>
      <c r="FJ1029" s="4"/>
      <c r="FK1029" s="4"/>
      <c r="FL1029" s="4"/>
      <c r="FM1029" s="4"/>
      <c r="FN1029" s="4"/>
      <c r="FO1029" s="4"/>
      <c r="FP1029" s="4"/>
      <c r="FQ1029" s="4"/>
      <c r="FR1029" s="4"/>
      <c r="FS1029" s="4"/>
      <c r="FT1029" s="4"/>
      <c r="FU1029" s="4"/>
      <c r="FV1029" s="4"/>
      <c r="FW1029" s="4"/>
      <c r="FX1029" s="4"/>
      <c r="FY1029" s="4"/>
      <c r="FZ1029" s="4"/>
      <c r="GA1029" s="4"/>
      <c r="GB1029" s="4"/>
      <c r="GC1029" s="4"/>
      <c r="GD1029" s="4"/>
      <c r="GE1029" s="4"/>
      <c r="GF1029" s="4"/>
      <c r="GG1029" s="4"/>
      <c r="GH1029" s="4"/>
      <c r="GI1029" s="4"/>
      <c r="GJ1029" s="4"/>
      <c r="GK1029" s="4"/>
      <c r="GL1029" s="4"/>
      <c r="GM1029" s="4"/>
      <c r="GN1029" s="4"/>
      <c r="GO1029" s="4"/>
      <c r="GP1029" s="4"/>
      <c r="GQ1029" s="4"/>
      <c r="GR1029" s="4"/>
      <c r="GS1029" s="4"/>
      <c r="GT1029" s="4"/>
      <c r="GU1029" s="4"/>
      <c r="GV1029" s="4"/>
      <c r="GW1029" s="4"/>
      <c r="GX1029" s="4"/>
    </row>
    <row r="1030">
      <c r="A1030" s="2" t="s">
        <v>5996</v>
      </c>
      <c r="B1030" s="2" t="s">
        <v>697</v>
      </c>
      <c r="C1030" s="2" t="s">
        <v>360</v>
      </c>
      <c r="D1030" s="2" t="s">
        <v>868</v>
      </c>
      <c r="E1030" s="2" t="s">
        <v>1334</v>
      </c>
      <c r="F1030" s="2" t="s">
        <v>5997</v>
      </c>
      <c r="G1030" s="2" t="s">
        <v>5998</v>
      </c>
      <c r="H1030" s="2" t="s">
        <v>5998</v>
      </c>
      <c r="I1030" s="2" t="s">
        <v>5999</v>
      </c>
      <c r="J1030" s="2" t="s">
        <v>873</v>
      </c>
      <c r="K1030" s="2" t="s">
        <v>363</v>
      </c>
      <c r="L1030" s="3">
        <v>20.57</v>
      </c>
      <c r="M1030" s="3">
        <v>21.6</v>
      </c>
      <c r="N1030" s="3">
        <v>44.99</v>
      </c>
      <c r="O1030" s="2" t="s">
        <v>224</v>
      </c>
      <c r="P1030" s="2" t="s">
        <v>225</v>
      </c>
      <c r="Q1030" s="2" t="s">
        <v>226</v>
      </c>
      <c r="R1030" s="2" t="s">
        <v>227</v>
      </c>
      <c r="S1030" s="2" t="s">
        <v>6000</v>
      </c>
      <c r="T1030" s="2" t="s">
        <v>876</v>
      </c>
      <c r="U1030" s="2" t="s">
        <v>552</v>
      </c>
      <c r="V1030" s="2" t="s">
        <v>230</v>
      </c>
      <c r="W1030" s="2" t="s">
        <v>487</v>
      </c>
      <c r="X1030" s="2" t="s">
        <v>227</v>
      </c>
      <c r="Y1030" s="2" t="s">
        <v>6001</v>
      </c>
      <c r="Z1030" s="4">
        <v>636</v>
      </c>
      <c r="AA1030" s="4">
        <f>=ROUNDDOWN(37.4117647058823,0)</f>
      </c>
      <c r="AB1030" s="5">
        <v>17</v>
      </c>
      <c r="AC1030" s="2" t="s">
        <v>191</v>
      </c>
      <c r="AD1030" s="4">
        <v>500</v>
      </c>
      <c r="AE1030" s="4">
        <v>780</v>
      </c>
      <c r="AF1030" s="6">
        <v>64</v>
      </c>
      <c r="AG1030" s="6"/>
      <c r="AH1030" s="7">
        <v>1</v>
      </c>
      <c r="AI1030" s="4"/>
      <c r="AJ1030" s="4">
        <f>=ROUNDDOWN({0},0)</f>
      </c>
      <c r="AK1030" s="5"/>
      <c r="AL1030" s="2" t="s">
        <v>227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/>
      <c r="AW1030" s="8"/>
      <c r="AX1030" s="4"/>
      <c r="AY1030" s="8"/>
      <c r="AZ1030" s="7"/>
      <c r="BA1030" s="7"/>
      <c r="BB1030" s="7"/>
      <c r="BC1030" s="4"/>
      <c r="BD1030" s="8"/>
      <c r="BE1030" s="4"/>
      <c r="BF1030" s="8"/>
      <c r="BG1030" s="7"/>
      <c r="BH1030" s="7"/>
      <c r="BI1030" s="7"/>
      <c r="BJ1030" s="4">
        <v>74</v>
      </c>
      <c r="BK1030" s="8">
        <v>1756.05</v>
      </c>
      <c r="BL1030" s="2" t="s">
        <v>4393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6002</v>
      </c>
      <c r="BV1030" s="2" t="s">
        <v>227</v>
      </c>
      <c r="BW1030" s="2" t="s">
        <v>227</v>
      </c>
      <c r="BX1030" s="2" t="s">
        <v>235</v>
      </c>
      <c r="BY1030" s="2" t="s">
        <v>236</v>
      </c>
      <c r="BZ1030" s="2" t="s">
        <v>224</v>
      </c>
      <c r="CA1030" s="2" t="s">
        <v>1699</v>
      </c>
      <c r="CB1030" s="2" t="s">
        <v>1713</v>
      </c>
      <c r="CC1030" s="2" t="s">
        <v>239</v>
      </c>
      <c r="CD1030" s="2" t="s">
        <v>227</v>
      </c>
      <c r="CE1030" s="4">
        <v>636</v>
      </c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  <c r="EM1030" s="4"/>
      <c r="EN1030" s="4"/>
      <c r="EO1030" s="4"/>
      <c r="EP1030" s="4"/>
      <c r="EQ1030" s="4"/>
      <c r="ER1030" s="4"/>
      <c r="ES1030" s="4"/>
      <c r="ET1030" s="4"/>
      <c r="EU1030" s="4"/>
      <c r="EV1030" s="4"/>
      <c r="EW1030" s="4"/>
      <c r="EX1030" s="4"/>
      <c r="EY1030" s="4"/>
      <c r="EZ1030" s="4"/>
      <c r="FA1030" s="4"/>
      <c r="FB1030" s="4"/>
      <c r="FC1030" s="4"/>
      <c r="FD1030" s="4"/>
      <c r="FE1030" s="4"/>
      <c r="FF1030" s="4"/>
      <c r="FG1030" s="4"/>
      <c r="FH1030" s="4"/>
      <c r="FI1030" s="4"/>
      <c r="FJ1030" s="4"/>
      <c r="FK1030" s="4"/>
      <c r="FL1030" s="4"/>
      <c r="FM1030" s="4"/>
      <c r="FN1030" s="4"/>
      <c r="FO1030" s="4"/>
      <c r="FP1030" s="4"/>
      <c r="FQ1030" s="4"/>
      <c r="FR1030" s="4"/>
      <c r="FS1030" s="4"/>
      <c r="FT1030" s="4"/>
      <c r="FU1030" s="4"/>
      <c r="FV1030" s="4"/>
      <c r="FW1030" s="4"/>
      <c r="FX1030" s="4"/>
      <c r="FY1030" s="4"/>
      <c r="FZ1030" s="4"/>
      <c r="GA1030" s="4">
        <v>500</v>
      </c>
      <c r="GB1030" s="4"/>
      <c r="GC1030" s="4"/>
      <c r="GD1030" s="4"/>
      <c r="GE1030" s="4"/>
      <c r="GF1030" s="4"/>
      <c r="GG1030" s="4"/>
      <c r="GH1030" s="4"/>
      <c r="GI1030" s="4"/>
      <c r="GJ1030" s="4"/>
      <c r="GK1030" s="4"/>
      <c r="GL1030" s="4"/>
      <c r="GM1030" s="4"/>
      <c r="GN1030" s="4"/>
      <c r="GO1030" s="4"/>
      <c r="GP1030" s="4"/>
      <c r="GQ1030" s="4"/>
      <c r="GR1030" s="4"/>
      <c r="GS1030" s="4">
        <v>280</v>
      </c>
      <c r="GT1030" s="4"/>
      <c r="GU1030" s="4"/>
      <c r="GV1030" s="4"/>
      <c r="GW1030" s="4"/>
      <c r="GX1030" s="4"/>
    </row>
    <row r="1031">
      <c r="A1031" s="2" t="s">
        <v>6003</v>
      </c>
      <c r="B1031" s="2" t="s">
        <v>667</v>
      </c>
      <c r="C1031" s="2" t="s">
        <v>360</v>
      </c>
      <c r="D1031" s="2" t="s">
        <v>687</v>
      </c>
      <c r="E1031" s="2" t="s">
        <v>699</v>
      </c>
      <c r="F1031" s="2" t="s">
        <v>6004</v>
      </c>
      <c r="G1031" s="2" t="s">
        <v>6005</v>
      </c>
      <c r="H1031" s="2" t="s">
        <v>6006</v>
      </c>
      <c r="I1031" s="2" t="s">
        <v>6007</v>
      </c>
      <c r="J1031" s="2" t="s">
        <v>384</v>
      </c>
      <c r="K1031" s="2" t="s">
        <v>1067</v>
      </c>
      <c r="L1031" s="3">
        <v>63.7</v>
      </c>
      <c r="M1031" s="3">
        <v>66.88</v>
      </c>
      <c r="N1031" s="3">
        <v>129.99</v>
      </c>
      <c r="O1031" s="2" t="s">
        <v>224</v>
      </c>
      <c r="P1031" s="2" t="s">
        <v>225</v>
      </c>
      <c r="Q1031" s="2" t="s">
        <v>226</v>
      </c>
      <c r="R1031" s="2" t="s">
        <v>227</v>
      </c>
      <c r="S1031" s="2" t="s">
        <v>6008</v>
      </c>
      <c r="T1031" s="2" t="s">
        <v>227</v>
      </c>
      <c r="U1031" s="2" t="s">
        <v>1069</v>
      </c>
      <c r="V1031" s="2" t="s">
        <v>230</v>
      </c>
      <c r="W1031" s="2" t="s">
        <v>836</v>
      </c>
      <c r="X1031" s="2" t="s">
        <v>6009</v>
      </c>
      <c r="Y1031" s="2" t="s">
        <v>6010</v>
      </c>
      <c r="Z1031" s="4">
        <v>271</v>
      </c>
      <c r="AA1031" s="4">
        <f>=ROUNDDOWN(38.7142857142857,0)</f>
      </c>
      <c r="AB1031" s="5">
        <v>7</v>
      </c>
      <c r="AC1031" s="2" t="s">
        <v>227</v>
      </c>
      <c r="AD1031" s="4"/>
      <c r="AE1031" s="4"/>
      <c r="AF1031" s="6">
        <v>65</v>
      </c>
      <c r="AG1031" s="6"/>
      <c r="AH1031" s="7">
        <v>1</v>
      </c>
      <c r="AI1031" s="4"/>
      <c r="AJ1031" s="4">
        <f>=ROUNDDOWN({0},0)</f>
      </c>
      <c r="AK1031" s="5"/>
      <c r="AL1031" s="2" t="s">
        <v>227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/>
      <c r="AW1031" s="8"/>
      <c r="AX1031" s="4"/>
      <c r="AY1031" s="8"/>
      <c r="AZ1031" s="7"/>
      <c r="BA1031" s="7"/>
      <c r="BB1031" s="7"/>
      <c r="BC1031" s="4"/>
      <c r="BD1031" s="8"/>
      <c r="BE1031" s="4"/>
      <c r="BF1031" s="8"/>
      <c r="BG1031" s="7"/>
      <c r="BH1031" s="7"/>
      <c r="BI1031" s="7"/>
      <c r="BJ1031" s="4">
        <v>20</v>
      </c>
      <c r="BK1031" s="8">
        <v>1342.71</v>
      </c>
      <c r="BL1031" s="2" t="s">
        <v>6011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6012</v>
      </c>
      <c r="BV1031" s="2" t="s">
        <v>227</v>
      </c>
      <c r="BW1031" s="2" t="s">
        <v>227</v>
      </c>
      <c r="BX1031" s="2" t="s">
        <v>235</v>
      </c>
      <c r="BY1031" s="2" t="s">
        <v>236</v>
      </c>
      <c r="BZ1031" s="2" t="s">
        <v>224</v>
      </c>
      <c r="CA1031" s="2" t="s">
        <v>6010</v>
      </c>
      <c r="CB1031" s="2" t="s">
        <v>6013</v>
      </c>
      <c r="CC1031" s="2" t="s">
        <v>239</v>
      </c>
      <c r="CD1031" s="2" t="s">
        <v>227</v>
      </c>
      <c r="CE1031" s="4">
        <v>271</v>
      </c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  <c r="EM1031" s="4"/>
      <c r="EN1031" s="4"/>
      <c r="EO1031" s="4"/>
      <c r="EP1031" s="4"/>
      <c r="EQ1031" s="4"/>
      <c r="ER1031" s="4"/>
      <c r="ES1031" s="4"/>
      <c r="ET1031" s="4"/>
      <c r="EU1031" s="4"/>
      <c r="EV1031" s="4"/>
      <c r="EW1031" s="4"/>
      <c r="EX1031" s="4"/>
      <c r="EY1031" s="4"/>
      <c r="EZ1031" s="4"/>
      <c r="FA1031" s="4"/>
      <c r="FB1031" s="4"/>
      <c r="FC1031" s="4"/>
      <c r="FD1031" s="4"/>
      <c r="FE1031" s="4"/>
      <c r="FF1031" s="4"/>
      <c r="FG1031" s="4"/>
      <c r="FH1031" s="4"/>
      <c r="FI1031" s="4"/>
      <c r="FJ1031" s="4"/>
      <c r="FK1031" s="4"/>
      <c r="FL1031" s="4"/>
      <c r="FM1031" s="4"/>
      <c r="FN1031" s="4"/>
      <c r="FO1031" s="4"/>
      <c r="FP1031" s="4"/>
      <c r="FQ1031" s="4"/>
      <c r="FR1031" s="4"/>
      <c r="FS1031" s="4"/>
      <c r="FT1031" s="4"/>
      <c r="FU1031" s="4"/>
      <c r="FV1031" s="4"/>
      <c r="FW1031" s="4"/>
      <c r="FX1031" s="4"/>
      <c r="FY1031" s="4"/>
      <c r="FZ1031" s="4"/>
      <c r="GA1031" s="4"/>
      <c r="GB1031" s="4"/>
      <c r="GC1031" s="4"/>
      <c r="GD1031" s="4"/>
      <c r="GE1031" s="4"/>
      <c r="GF1031" s="4"/>
      <c r="GG1031" s="4"/>
      <c r="GH1031" s="4"/>
      <c r="GI1031" s="4"/>
      <c r="GJ1031" s="4"/>
      <c r="GK1031" s="4"/>
      <c r="GL1031" s="4"/>
      <c r="GM1031" s="4"/>
      <c r="GN1031" s="4"/>
      <c r="GO1031" s="4"/>
      <c r="GP1031" s="4"/>
      <c r="GQ1031" s="4"/>
      <c r="GR1031" s="4"/>
      <c r="GS1031" s="4"/>
      <c r="GT1031" s="4"/>
      <c r="GU1031" s="4"/>
      <c r="GV1031" s="4"/>
      <c r="GW1031" s="4"/>
      <c r="GX1031" s="4"/>
    </row>
    <row r="1032">
      <c r="A1032" s="2" t="s">
        <v>6014</v>
      </c>
      <c r="B1032" s="2" t="s">
        <v>667</v>
      </c>
      <c r="C1032" s="2" t="s">
        <v>360</v>
      </c>
      <c r="D1032" s="2" t="s">
        <v>1652</v>
      </c>
      <c r="E1032" s="2" t="s">
        <v>1653</v>
      </c>
      <c r="F1032" s="2" t="s">
        <v>6015</v>
      </c>
      <c r="G1032" s="2" t="s">
        <v>6016</v>
      </c>
      <c r="H1032" s="2" t="s">
        <v>6017</v>
      </c>
      <c r="I1032" s="2" t="s">
        <v>6018</v>
      </c>
      <c r="J1032" s="2" t="s">
        <v>626</v>
      </c>
      <c r="K1032" s="2" t="s">
        <v>780</v>
      </c>
      <c r="L1032" s="3">
        <v>58.12</v>
      </c>
      <c r="M1032" s="3">
        <v>61.03</v>
      </c>
      <c r="N1032" s="3">
        <v>119.99</v>
      </c>
      <c r="O1032" s="2" t="s">
        <v>224</v>
      </c>
      <c r="P1032" s="2" t="s">
        <v>225</v>
      </c>
      <c r="Q1032" s="2" t="s">
        <v>226</v>
      </c>
      <c r="R1032" s="2" t="s">
        <v>227</v>
      </c>
      <c r="S1032" s="2" t="s">
        <v>6019</v>
      </c>
      <c r="T1032" s="2" t="s">
        <v>286</v>
      </c>
      <c r="U1032" s="2" t="s">
        <v>594</v>
      </c>
      <c r="V1032" s="2" t="s">
        <v>629</v>
      </c>
      <c r="W1032" s="2" t="s">
        <v>706</v>
      </c>
      <c r="X1032" s="2" t="s">
        <v>5204</v>
      </c>
      <c r="Y1032" s="2" t="s">
        <v>232</v>
      </c>
      <c r="Z1032" s="4">
        <v>601</v>
      </c>
      <c r="AA1032" s="4">
        <f>=ROUNDDOWN(24.04,0)</f>
      </c>
      <c r="AB1032" s="5">
        <v>25</v>
      </c>
      <c r="AC1032" s="2" t="s">
        <v>187</v>
      </c>
      <c r="AD1032" s="4">
        <v>550</v>
      </c>
      <c r="AE1032" s="4">
        <v>550</v>
      </c>
      <c r="AF1032" s="6">
        <v>65</v>
      </c>
      <c r="AG1032" s="6"/>
      <c r="AH1032" s="7">
        <v>1</v>
      </c>
      <c r="AI1032" s="4"/>
      <c r="AJ1032" s="4">
        <f>=ROUNDDOWN({0},0)</f>
      </c>
      <c r="AK1032" s="5"/>
      <c r="AL1032" s="2" t="s">
        <v>227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 t="s">
        <v>227</v>
      </c>
      <c r="AW1032" s="8" t="s">
        <v>227</v>
      </c>
      <c r="AX1032" s="4" t="s">
        <v>227</v>
      </c>
      <c r="AY1032" s="8" t="s">
        <v>227</v>
      </c>
      <c r="AZ1032" s="7" t="s">
        <v>227</v>
      </c>
      <c r="BA1032" s="7" t="s">
        <v>227</v>
      </c>
      <c r="BB1032" s="7"/>
      <c r="BC1032" s="4" t="s">
        <v>227</v>
      </c>
      <c r="BD1032" s="8" t="s">
        <v>227</v>
      </c>
      <c r="BE1032" s="4" t="s">
        <v>227</v>
      </c>
      <c r="BF1032" s="8" t="s">
        <v>227</v>
      </c>
      <c r="BG1032" s="7" t="s">
        <v>227</v>
      </c>
      <c r="BH1032" s="7" t="s">
        <v>227</v>
      </c>
      <c r="BI1032" s="7"/>
      <c r="BJ1032" s="4">
        <v>85</v>
      </c>
      <c r="BK1032" s="8">
        <v>5430.55</v>
      </c>
      <c r="BL1032" s="2" t="s">
        <v>6020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6021</v>
      </c>
      <c r="BV1032" s="2" t="s">
        <v>227</v>
      </c>
      <c r="BW1032" s="2" t="s">
        <v>227</v>
      </c>
      <c r="BX1032" s="2" t="s">
        <v>235</v>
      </c>
      <c r="BY1032" s="2" t="s">
        <v>236</v>
      </c>
      <c r="BZ1032" s="2" t="s">
        <v>224</v>
      </c>
      <c r="CA1032" s="2" t="s">
        <v>2859</v>
      </c>
      <c r="CB1032" s="2" t="s">
        <v>1813</v>
      </c>
      <c r="CC1032" s="2" t="s">
        <v>239</v>
      </c>
      <c r="CD1032" s="2" t="s">
        <v>227</v>
      </c>
      <c r="CE1032" s="4">
        <v>511</v>
      </c>
      <c r="CF1032" s="4"/>
      <c r="CG1032" s="4"/>
      <c r="CH1032" s="4">
        <v>90</v>
      </c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  <c r="EM1032" s="4"/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/>
      <c r="FA1032" s="4"/>
      <c r="FB1032" s="4"/>
      <c r="FC1032" s="4"/>
      <c r="FD1032" s="4"/>
      <c r="FE1032" s="4"/>
      <c r="FF1032" s="4"/>
      <c r="FG1032" s="4"/>
      <c r="FH1032" s="4"/>
      <c r="FI1032" s="4"/>
      <c r="FJ1032" s="4"/>
      <c r="FK1032" s="4"/>
      <c r="FL1032" s="4"/>
      <c r="FM1032" s="4"/>
      <c r="FN1032" s="4"/>
      <c r="FO1032" s="4"/>
      <c r="FP1032" s="4"/>
      <c r="FQ1032" s="4"/>
      <c r="FR1032" s="4"/>
      <c r="FS1032" s="4"/>
      <c r="FT1032" s="4"/>
      <c r="FU1032" s="4"/>
      <c r="FV1032" s="4"/>
      <c r="FW1032" s="4">
        <v>550</v>
      </c>
      <c r="FX1032" s="4"/>
      <c r="FY1032" s="4"/>
      <c r="FZ1032" s="4"/>
      <c r="GA1032" s="4"/>
      <c r="GB1032" s="4"/>
      <c r="GC1032" s="4"/>
      <c r="GD1032" s="4"/>
      <c r="GE1032" s="4"/>
      <c r="GF1032" s="4"/>
      <c r="GG1032" s="4"/>
      <c r="GH1032" s="4"/>
      <c r="GI1032" s="4"/>
      <c r="GJ1032" s="4"/>
      <c r="GK1032" s="4"/>
      <c r="GL1032" s="4"/>
      <c r="GM1032" s="4"/>
      <c r="GN1032" s="4"/>
      <c r="GO1032" s="4"/>
      <c r="GP1032" s="4"/>
      <c r="GQ1032" s="4"/>
      <c r="GR1032" s="4"/>
      <c r="GS1032" s="4"/>
      <c r="GT1032" s="4"/>
      <c r="GU1032" s="4"/>
      <c r="GV1032" s="4"/>
      <c r="GW1032" s="4"/>
      <c r="GX1032" s="4"/>
    </row>
    <row r="1033">
      <c r="A1033" s="2" t="s">
        <v>6022</v>
      </c>
      <c r="B1033" s="2" t="s">
        <v>667</v>
      </c>
      <c r="C1033" s="2" t="s">
        <v>360</v>
      </c>
      <c r="D1033" s="2" t="s">
        <v>1652</v>
      </c>
      <c r="E1033" s="2" t="s">
        <v>1653</v>
      </c>
      <c r="F1033" s="2" t="s">
        <v>6015</v>
      </c>
      <c r="G1033" s="2" t="s">
        <v>6016</v>
      </c>
      <c r="H1033" s="2" t="s">
        <v>6017</v>
      </c>
      <c r="I1033" s="2" t="s">
        <v>6018</v>
      </c>
      <c r="J1033" s="2" t="s">
        <v>682</v>
      </c>
      <c r="K1033" s="2" t="s">
        <v>780</v>
      </c>
      <c r="L1033" s="3">
        <v>62.6</v>
      </c>
      <c r="M1033" s="3">
        <v>65.73</v>
      </c>
      <c r="N1033" s="3">
        <v>129.99</v>
      </c>
      <c r="O1033" s="2" t="s">
        <v>224</v>
      </c>
      <c r="P1033" s="2" t="s">
        <v>225</v>
      </c>
      <c r="Q1033" s="2" t="s">
        <v>226</v>
      </c>
      <c r="R1033" s="2" t="s">
        <v>227</v>
      </c>
      <c r="S1033" s="2" t="s">
        <v>6019</v>
      </c>
      <c r="T1033" s="2" t="s">
        <v>286</v>
      </c>
      <c r="U1033" s="2" t="s">
        <v>594</v>
      </c>
      <c r="V1033" s="2" t="s">
        <v>629</v>
      </c>
      <c r="W1033" s="2" t="s">
        <v>706</v>
      </c>
      <c r="X1033" s="2" t="s">
        <v>5204</v>
      </c>
      <c r="Y1033" s="2" t="s">
        <v>232</v>
      </c>
      <c r="Z1033" s="4">
        <v>656</v>
      </c>
      <c r="AA1033" s="4">
        <f>=ROUNDDOWN(19.2941176470588,0)</f>
      </c>
      <c r="AB1033" s="5">
        <v>34</v>
      </c>
      <c r="AC1033" s="2" t="s">
        <v>187</v>
      </c>
      <c r="AD1033" s="4">
        <v>650</v>
      </c>
      <c r="AE1033" s="4">
        <v>650</v>
      </c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227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 t="s">
        <v>227</v>
      </c>
      <c r="AW1033" s="8" t="s">
        <v>227</v>
      </c>
      <c r="AX1033" s="4" t="s">
        <v>227</v>
      </c>
      <c r="AY1033" s="8" t="s">
        <v>227</v>
      </c>
      <c r="AZ1033" s="7" t="s">
        <v>227</v>
      </c>
      <c r="BA1033" s="7" t="s">
        <v>227</v>
      </c>
      <c r="BB1033" s="7"/>
      <c r="BC1033" s="4" t="s">
        <v>227</v>
      </c>
      <c r="BD1033" s="8" t="s">
        <v>227</v>
      </c>
      <c r="BE1033" s="4" t="s">
        <v>227</v>
      </c>
      <c r="BF1033" s="8" t="s">
        <v>227</v>
      </c>
      <c r="BG1033" s="7" t="s">
        <v>227</v>
      </c>
      <c r="BH1033" s="7" t="s">
        <v>227</v>
      </c>
      <c r="BI1033" s="7"/>
      <c r="BJ1033" s="4">
        <v>103</v>
      </c>
      <c r="BK1033" s="8">
        <v>7450.21</v>
      </c>
      <c r="BL1033" s="2" t="s">
        <v>6023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6024</v>
      </c>
      <c r="BV1033" s="2" t="s">
        <v>227</v>
      </c>
      <c r="BW1033" s="2" t="s">
        <v>227</v>
      </c>
      <c r="BX1033" s="2" t="s">
        <v>235</v>
      </c>
      <c r="BY1033" s="2" t="s">
        <v>236</v>
      </c>
      <c r="BZ1033" s="2" t="s">
        <v>224</v>
      </c>
      <c r="CA1033" s="2" t="s">
        <v>2859</v>
      </c>
      <c r="CB1033" s="2" t="s">
        <v>5129</v>
      </c>
      <c r="CC1033" s="2" t="s">
        <v>239</v>
      </c>
      <c r="CD1033" s="2" t="s">
        <v>227</v>
      </c>
      <c r="CE1033" s="4">
        <v>1</v>
      </c>
      <c r="CF1033" s="4">
        <v>655</v>
      </c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  <c r="EM1033" s="4"/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/>
      <c r="FA1033" s="4"/>
      <c r="FB1033" s="4"/>
      <c r="FC1033" s="4"/>
      <c r="FD1033" s="4"/>
      <c r="FE1033" s="4"/>
      <c r="FF1033" s="4"/>
      <c r="FG1033" s="4"/>
      <c r="FH1033" s="4"/>
      <c r="FI1033" s="4"/>
      <c r="FJ1033" s="4"/>
      <c r="FK1033" s="4"/>
      <c r="FL1033" s="4"/>
      <c r="FM1033" s="4"/>
      <c r="FN1033" s="4"/>
      <c r="FO1033" s="4"/>
      <c r="FP1033" s="4"/>
      <c r="FQ1033" s="4"/>
      <c r="FR1033" s="4"/>
      <c r="FS1033" s="4"/>
      <c r="FT1033" s="4"/>
      <c r="FU1033" s="4"/>
      <c r="FV1033" s="4"/>
      <c r="FW1033" s="4">
        <v>650</v>
      </c>
      <c r="FX1033" s="4"/>
      <c r="FY1033" s="4"/>
      <c r="FZ1033" s="4"/>
      <c r="GA1033" s="4"/>
      <c r="GB1033" s="4"/>
      <c r="GC1033" s="4"/>
      <c r="GD1033" s="4"/>
      <c r="GE1033" s="4"/>
      <c r="GF1033" s="4"/>
      <c r="GG1033" s="4"/>
      <c r="GH1033" s="4"/>
      <c r="GI1033" s="4"/>
      <c r="GJ1033" s="4"/>
      <c r="GK1033" s="4"/>
      <c r="GL1033" s="4"/>
      <c r="GM1033" s="4"/>
      <c r="GN1033" s="4"/>
      <c r="GO1033" s="4"/>
      <c r="GP1033" s="4"/>
      <c r="GQ1033" s="4"/>
      <c r="GR1033" s="4"/>
      <c r="GS1033" s="4"/>
      <c r="GT1033" s="4"/>
      <c r="GU1033" s="4"/>
      <c r="GV1033" s="4"/>
      <c r="GW1033" s="4"/>
      <c r="GX1033" s="4"/>
    </row>
    <row r="1034">
      <c r="A1034" s="2" t="s">
        <v>6025</v>
      </c>
      <c r="B1034" s="2" t="s">
        <v>667</v>
      </c>
      <c r="C1034" s="2" t="s">
        <v>1026</v>
      </c>
      <c r="D1034" s="2" t="s">
        <v>1027</v>
      </c>
      <c r="E1034" s="2" t="s">
        <v>1028</v>
      </c>
      <c r="F1034" s="2" t="s">
        <v>6026</v>
      </c>
      <c r="G1034" s="2" t="s">
        <v>6026</v>
      </c>
      <c r="H1034" s="2" t="s">
        <v>6026</v>
      </c>
      <c r="I1034" s="2" t="s">
        <v>1277</v>
      </c>
      <c r="J1034" s="2" t="s">
        <v>1434</v>
      </c>
      <c r="K1034" s="2" t="s">
        <v>565</v>
      </c>
      <c r="L1034" s="3">
        <v>34.04</v>
      </c>
      <c r="M1034" s="3">
        <v>35.74</v>
      </c>
      <c r="N1034" s="3">
        <v>109.99</v>
      </c>
      <c r="O1034" s="2" t="s">
        <v>224</v>
      </c>
      <c r="P1034" s="2" t="s">
        <v>580</v>
      </c>
      <c r="Q1034" s="2" t="s">
        <v>226</v>
      </c>
      <c r="R1034" s="2" t="s">
        <v>227</v>
      </c>
      <c r="S1034" s="2" t="s">
        <v>227</v>
      </c>
      <c r="T1034" s="2" t="s">
        <v>227</v>
      </c>
      <c r="U1034" s="2" t="s">
        <v>552</v>
      </c>
      <c r="V1034" s="2" t="s">
        <v>230</v>
      </c>
      <c r="W1034" s="2" t="s">
        <v>506</v>
      </c>
      <c r="X1034" s="2" t="s">
        <v>227</v>
      </c>
      <c r="Y1034" s="2" t="s">
        <v>843</v>
      </c>
      <c r="Z1034" s="4">
        <v>135</v>
      </c>
      <c r="AA1034" s="4">
        <f>=ROUNDDOWN(45,0)</f>
      </c>
      <c r="AB1034" s="5">
        <v>3</v>
      </c>
      <c r="AC1034" s="2" t="s">
        <v>227</v>
      </c>
      <c r="AD1034" s="4"/>
      <c r="AE1034" s="4"/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227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/>
      <c r="AW1034" s="8"/>
      <c r="AX1034" s="4"/>
      <c r="AY1034" s="8"/>
      <c r="AZ1034" s="7"/>
      <c r="BA1034" s="7"/>
      <c r="BB1034" s="7"/>
      <c r="BC1034" s="4" t="s">
        <v>227</v>
      </c>
      <c r="BD1034" s="8" t="s">
        <v>227</v>
      </c>
      <c r="BE1034" s="4" t="s">
        <v>227</v>
      </c>
      <c r="BF1034" s="8" t="s">
        <v>227</v>
      </c>
      <c r="BG1034" s="7" t="s">
        <v>227</v>
      </c>
      <c r="BH1034" s="7" t="s">
        <v>227</v>
      </c>
      <c r="BI1034" s="7"/>
      <c r="BJ1034" s="4">
        <v>14</v>
      </c>
      <c r="BK1034" s="8">
        <v>539.74</v>
      </c>
      <c r="BL1034" s="2" t="s">
        <v>6027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6028</v>
      </c>
      <c r="BV1034" s="2" t="s">
        <v>227</v>
      </c>
      <c r="BW1034" s="2" t="s">
        <v>227</v>
      </c>
      <c r="BX1034" s="2" t="s">
        <v>235</v>
      </c>
      <c r="BY1034" s="2" t="s">
        <v>236</v>
      </c>
      <c r="BZ1034" s="2" t="s">
        <v>224</v>
      </c>
      <c r="CA1034" s="2" t="s">
        <v>1036</v>
      </c>
      <c r="CB1034" s="2" t="s">
        <v>3638</v>
      </c>
      <c r="CC1034" s="2" t="s">
        <v>239</v>
      </c>
      <c r="CD1034" s="2" t="s">
        <v>227</v>
      </c>
      <c r="CE1034" s="4">
        <v>135</v>
      </c>
      <c r="CF1034" s="4"/>
      <c r="CG1034" s="4"/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/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/>
      <c r="FA1034" s="4"/>
      <c r="FB1034" s="4"/>
      <c r="FC1034" s="4"/>
      <c r="FD1034" s="4"/>
      <c r="FE1034" s="4"/>
      <c r="FF1034" s="4"/>
      <c r="FG1034" s="4"/>
      <c r="FH1034" s="4"/>
      <c r="FI1034" s="4"/>
      <c r="FJ1034" s="4"/>
      <c r="FK1034" s="4"/>
      <c r="FL1034" s="4"/>
      <c r="FM1034" s="4"/>
      <c r="FN1034" s="4"/>
      <c r="FO1034" s="4"/>
      <c r="FP1034" s="4"/>
      <c r="FQ1034" s="4"/>
      <c r="FR1034" s="4"/>
      <c r="FS1034" s="4"/>
      <c r="FT1034" s="4"/>
      <c r="FU1034" s="4"/>
      <c r="FV1034" s="4"/>
      <c r="FW1034" s="4"/>
      <c r="FX1034" s="4"/>
      <c r="FY1034" s="4"/>
      <c r="FZ1034" s="4"/>
      <c r="GA1034" s="4"/>
      <c r="GB1034" s="4"/>
      <c r="GC1034" s="4"/>
      <c r="GD1034" s="4"/>
      <c r="GE1034" s="4"/>
      <c r="GF1034" s="4"/>
      <c r="GG1034" s="4"/>
      <c r="GH1034" s="4"/>
      <c r="GI1034" s="4"/>
      <c r="GJ1034" s="4"/>
      <c r="GK1034" s="4"/>
      <c r="GL1034" s="4"/>
      <c r="GM1034" s="4"/>
      <c r="GN1034" s="4"/>
      <c r="GO1034" s="4"/>
      <c r="GP1034" s="4"/>
      <c r="GQ1034" s="4"/>
      <c r="GR1034" s="4"/>
      <c r="GS1034" s="4"/>
      <c r="GT1034" s="4"/>
      <c r="GU1034" s="4"/>
      <c r="GV1034" s="4"/>
      <c r="GW1034" s="4"/>
      <c r="GX1034" s="4"/>
    </row>
    <row r="1035">
      <c r="A1035" s="2" t="s">
        <v>6029</v>
      </c>
      <c r="B1035" s="2" t="s">
        <v>667</v>
      </c>
      <c r="C1035" s="2" t="s">
        <v>1026</v>
      </c>
      <c r="D1035" s="2" t="s">
        <v>1027</v>
      </c>
      <c r="E1035" s="2" t="s">
        <v>1028</v>
      </c>
      <c r="F1035" s="2" t="s">
        <v>6026</v>
      </c>
      <c r="G1035" s="2" t="s">
        <v>6026</v>
      </c>
      <c r="H1035" s="2" t="s">
        <v>6026</v>
      </c>
      <c r="I1035" s="2" t="s">
        <v>1277</v>
      </c>
      <c r="J1035" s="2" t="s">
        <v>1434</v>
      </c>
      <c r="K1035" s="2" t="s">
        <v>657</v>
      </c>
      <c r="L1035" s="3">
        <v>34.04</v>
      </c>
      <c r="M1035" s="3">
        <v>35.74</v>
      </c>
      <c r="N1035" s="3">
        <v>109.99</v>
      </c>
      <c r="O1035" s="2" t="s">
        <v>224</v>
      </c>
      <c r="P1035" s="2" t="s">
        <v>225</v>
      </c>
      <c r="Q1035" s="2" t="s">
        <v>226</v>
      </c>
      <c r="R1035" s="2" t="s">
        <v>227</v>
      </c>
      <c r="S1035" s="2" t="s">
        <v>227</v>
      </c>
      <c r="T1035" s="2" t="s">
        <v>227</v>
      </c>
      <c r="U1035" s="2" t="s">
        <v>552</v>
      </c>
      <c r="V1035" s="2" t="s">
        <v>230</v>
      </c>
      <c r="W1035" s="2" t="s">
        <v>506</v>
      </c>
      <c r="X1035" s="2" t="s">
        <v>227</v>
      </c>
      <c r="Y1035" s="2" t="s">
        <v>843</v>
      </c>
      <c r="Z1035" s="4">
        <v>165</v>
      </c>
      <c r="AA1035" s="4">
        <f>=ROUNDDOWN(55,0)</f>
      </c>
      <c r="AB1035" s="5">
        <v>3</v>
      </c>
      <c r="AC1035" s="2" t="s">
        <v>227</v>
      </c>
      <c r="AD1035" s="4"/>
      <c r="AE1035" s="4"/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227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/>
      <c r="AW1035" s="8"/>
      <c r="AX1035" s="4"/>
      <c r="AY1035" s="8"/>
      <c r="AZ1035" s="7"/>
      <c r="BA1035" s="7"/>
      <c r="BB1035" s="7"/>
      <c r="BC1035" s="4" t="s">
        <v>227</v>
      </c>
      <c r="BD1035" s="8" t="s">
        <v>227</v>
      </c>
      <c r="BE1035" s="4" t="s">
        <v>227</v>
      </c>
      <c r="BF1035" s="8" t="s">
        <v>227</v>
      </c>
      <c r="BG1035" s="7" t="s">
        <v>227</v>
      </c>
      <c r="BH1035" s="7" t="s">
        <v>227</v>
      </c>
      <c r="BI1035" s="7"/>
      <c r="BJ1035" s="4">
        <v>11</v>
      </c>
      <c r="BK1035" s="8">
        <v>437.69</v>
      </c>
      <c r="BL1035" s="2" t="s">
        <v>2332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6030</v>
      </c>
      <c r="BV1035" s="2" t="s">
        <v>227</v>
      </c>
      <c r="BW1035" s="2" t="s">
        <v>227</v>
      </c>
      <c r="BX1035" s="2" t="s">
        <v>235</v>
      </c>
      <c r="BY1035" s="2" t="s">
        <v>236</v>
      </c>
      <c r="BZ1035" s="2" t="s">
        <v>224</v>
      </c>
      <c r="CA1035" s="2" t="s">
        <v>1036</v>
      </c>
      <c r="CB1035" s="2" t="s">
        <v>3638</v>
      </c>
      <c r="CC1035" s="2" t="s">
        <v>239</v>
      </c>
      <c r="CD1035" s="2" t="s">
        <v>227</v>
      </c>
      <c r="CE1035" s="4">
        <v>165</v>
      </c>
      <c r="CF1035" s="4"/>
      <c r="CG1035" s="4"/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/>
      <c r="EL1035" s="4"/>
      <c r="EM1035" s="4"/>
      <c r="EN1035" s="4"/>
      <c r="EO1035" s="4"/>
      <c r="EP1035" s="4"/>
      <c r="EQ1035" s="4"/>
      <c r="ER1035" s="4"/>
      <c r="ES1035" s="4"/>
      <c r="ET1035" s="4"/>
      <c r="EU1035" s="4"/>
      <c r="EV1035" s="4"/>
      <c r="EW1035" s="4"/>
      <c r="EX1035" s="4"/>
      <c r="EY1035" s="4"/>
      <c r="EZ1035" s="4"/>
      <c r="FA1035" s="4"/>
      <c r="FB1035" s="4"/>
      <c r="FC1035" s="4"/>
      <c r="FD1035" s="4"/>
      <c r="FE1035" s="4"/>
      <c r="FF1035" s="4"/>
      <c r="FG1035" s="4"/>
      <c r="FH1035" s="4"/>
      <c r="FI1035" s="4"/>
      <c r="FJ1035" s="4"/>
      <c r="FK1035" s="4"/>
      <c r="FL1035" s="4"/>
      <c r="FM1035" s="4"/>
      <c r="FN1035" s="4"/>
      <c r="FO1035" s="4"/>
      <c r="FP1035" s="4"/>
      <c r="FQ1035" s="4"/>
      <c r="FR1035" s="4"/>
      <c r="FS1035" s="4"/>
      <c r="FT1035" s="4"/>
      <c r="FU1035" s="4"/>
      <c r="FV1035" s="4"/>
      <c r="FW1035" s="4"/>
      <c r="FX1035" s="4"/>
      <c r="FY1035" s="4"/>
      <c r="FZ1035" s="4"/>
      <c r="GA1035" s="4"/>
      <c r="GB1035" s="4"/>
      <c r="GC1035" s="4"/>
      <c r="GD1035" s="4"/>
      <c r="GE1035" s="4"/>
      <c r="GF1035" s="4"/>
      <c r="GG1035" s="4"/>
      <c r="GH1035" s="4"/>
      <c r="GI1035" s="4"/>
      <c r="GJ1035" s="4"/>
      <c r="GK1035" s="4"/>
      <c r="GL1035" s="4"/>
      <c r="GM1035" s="4"/>
      <c r="GN1035" s="4"/>
      <c r="GO1035" s="4"/>
      <c r="GP1035" s="4"/>
      <c r="GQ1035" s="4"/>
      <c r="GR1035" s="4"/>
      <c r="GS1035" s="4"/>
      <c r="GT1035" s="4"/>
      <c r="GU1035" s="4"/>
      <c r="GV1035" s="4"/>
      <c r="GW1035" s="4"/>
      <c r="GX1035" s="4"/>
    </row>
    <row r="1036">
      <c r="A1036" s="2" t="s">
        <v>6031</v>
      </c>
      <c r="B1036" s="2" t="s">
        <v>216</v>
      </c>
      <c r="C1036" s="2" t="s">
        <v>360</v>
      </c>
      <c r="D1036" s="2" t="s">
        <v>1448</v>
      </c>
      <c r="E1036" s="2" t="s">
        <v>1836</v>
      </c>
      <c r="F1036" s="2" t="s">
        <v>6032</v>
      </c>
      <c r="G1036" s="2" t="s">
        <v>6033</v>
      </c>
      <c r="H1036" s="2" t="s">
        <v>6033</v>
      </c>
      <c r="I1036" s="2" t="s">
        <v>6034</v>
      </c>
      <c r="J1036" s="2" t="s">
        <v>257</v>
      </c>
      <c r="K1036" s="2" t="s">
        <v>389</v>
      </c>
      <c r="L1036" s="3">
        <v>27.5</v>
      </c>
      <c r="M1036" s="3">
        <v>28.88</v>
      </c>
      <c r="N1036" s="3">
        <v>54.99</v>
      </c>
      <c r="O1036" s="2" t="s">
        <v>224</v>
      </c>
      <c r="P1036" s="2" t="s">
        <v>225</v>
      </c>
      <c r="Q1036" s="2" t="s">
        <v>226</v>
      </c>
      <c r="R1036" s="2" t="s">
        <v>227</v>
      </c>
      <c r="S1036" s="2" t="s">
        <v>227</v>
      </c>
      <c r="T1036" s="2" t="s">
        <v>375</v>
      </c>
      <c r="U1036" s="2" t="s">
        <v>227</v>
      </c>
      <c r="V1036" s="2" t="s">
        <v>230</v>
      </c>
      <c r="W1036" s="2" t="s">
        <v>231</v>
      </c>
      <c r="X1036" s="2" t="s">
        <v>227</v>
      </c>
      <c r="Y1036" s="2" t="s">
        <v>595</v>
      </c>
      <c r="Z1036" s="4">
        <v>469</v>
      </c>
      <c r="AA1036" s="4">
        <f>=ROUNDDOWN(21.3181818181818,0)</f>
      </c>
      <c r="AB1036" s="5">
        <v>22</v>
      </c>
      <c r="AC1036" s="2" t="s">
        <v>583</v>
      </c>
      <c r="AD1036" s="4">
        <v>250</v>
      </c>
      <c r="AE1036" s="4">
        <v>520</v>
      </c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227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/>
      <c r="AW1036" s="8"/>
      <c r="AX1036" s="4"/>
      <c r="AY1036" s="8"/>
      <c r="AZ1036" s="7"/>
      <c r="BA1036" s="7"/>
      <c r="BB1036" s="7"/>
      <c r="BC1036" s="4"/>
      <c r="BD1036" s="8"/>
      <c r="BE1036" s="4"/>
      <c r="BF1036" s="8"/>
      <c r="BG1036" s="7"/>
      <c r="BH1036" s="7"/>
      <c r="BI1036" s="7"/>
      <c r="BJ1036" s="4">
        <v>85</v>
      </c>
      <c r="BK1036" s="8">
        <v>2281.53</v>
      </c>
      <c r="BL1036" s="2" t="s">
        <v>6035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6036</v>
      </c>
      <c r="BV1036" s="2" t="s">
        <v>227</v>
      </c>
      <c r="BW1036" s="2" t="s">
        <v>227</v>
      </c>
      <c r="BX1036" s="2" t="s">
        <v>711</v>
      </c>
      <c r="BY1036" s="2" t="s">
        <v>236</v>
      </c>
      <c r="BZ1036" s="2" t="s">
        <v>224</v>
      </c>
      <c r="CA1036" s="2" t="s">
        <v>6037</v>
      </c>
      <c r="CB1036" s="2" t="s">
        <v>2254</v>
      </c>
      <c r="CC1036" s="2" t="s">
        <v>239</v>
      </c>
      <c r="CD1036" s="2" t="s">
        <v>227</v>
      </c>
      <c r="CE1036" s="4">
        <v>469</v>
      </c>
      <c r="CF1036" s="4"/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>
        <v>250</v>
      </c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>
        <v>50</v>
      </c>
      <c r="EH1036" s="4"/>
      <c r="EI1036" s="4">
        <v>50</v>
      </c>
      <c r="EJ1036" s="4"/>
      <c r="EK1036" s="4"/>
      <c r="EL1036" s="4"/>
      <c r="EM1036" s="4"/>
      <c r="EN1036" s="4"/>
      <c r="EO1036" s="4"/>
      <c r="EP1036" s="4"/>
      <c r="EQ1036" s="4"/>
      <c r="ER1036" s="4"/>
      <c r="ES1036" s="4"/>
      <c r="ET1036" s="4"/>
      <c r="EU1036" s="4"/>
      <c r="EV1036" s="4"/>
      <c r="EW1036" s="4"/>
      <c r="EX1036" s="4"/>
      <c r="EY1036" s="4"/>
      <c r="EZ1036" s="4"/>
      <c r="FA1036" s="4"/>
      <c r="FB1036" s="4"/>
      <c r="FC1036" s="4"/>
      <c r="FD1036" s="4"/>
      <c r="FE1036" s="4"/>
      <c r="FF1036" s="4"/>
      <c r="FG1036" s="4"/>
      <c r="FH1036" s="4"/>
      <c r="FI1036" s="4"/>
      <c r="FJ1036" s="4"/>
      <c r="FK1036" s="4"/>
      <c r="FL1036" s="4"/>
      <c r="FM1036" s="4"/>
      <c r="FN1036" s="4">
        <v>170</v>
      </c>
      <c r="FO1036" s="4"/>
      <c r="FP1036" s="4"/>
      <c r="FQ1036" s="4"/>
      <c r="FR1036" s="4"/>
      <c r="FS1036" s="4"/>
      <c r="FT1036" s="4"/>
      <c r="FU1036" s="4"/>
      <c r="FV1036" s="4"/>
      <c r="FW1036" s="4"/>
      <c r="FX1036" s="4"/>
      <c r="FY1036" s="4"/>
      <c r="FZ1036" s="4"/>
      <c r="GA1036" s="4"/>
      <c r="GB1036" s="4"/>
      <c r="GC1036" s="4"/>
      <c r="GD1036" s="4"/>
      <c r="GE1036" s="4"/>
      <c r="GF1036" s="4"/>
      <c r="GG1036" s="4"/>
      <c r="GH1036" s="4"/>
      <c r="GI1036" s="4"/>
      <c r="GJ1036" s="4"/>
      <c r="GK1036" s="4"/>
      <c r="GL1036" s="4"/>
      <c r="GM1036" s="4"/>
      <c r="GN1036" s="4"/>
      <c r="GO1036" s="4"/>
      <c r="GP1036" s="4"/>
      <c r="GQ1036" s="4"/>
      <c r="GR1036" s="4"/>
      <c r="GS1036" s="4"/>
      <c r="GT1036" s="4"/>
      <c r="GU1036" s="4"/>
      <c r="GV1036" s="4"/>
      <c r="GW1036" s="4"/>
      <c r="GX1036" s="4"/>
    </row>
    <row r="1037">
      <c r="A1037" s="2" t="s">
        <v>6038</v>
      </c>
      <c r="B1037" s="2" t="s">
        <v>715</v>
      </c>
      <c r="C1037" s="2" t="s">
        <v>6039</v>
      </c>
      <c r="D1037" s="2" t="s">
        <v>716</v>
      </c>
      <c r="E1037" s="2" t="s">
        <v>717</v>
      </c>
      <c r="F1037" s="2" t="s">
        <v>6040</v>
      </c>
      <c r="G1037" s="2" t="s">
        <v>6040</v>
      </c>
      <c r="H1037" s="2" t="s">
        <v>6040</v>
      </c>
      <c r="I1037" s="2" t="s">
        <v>6041</v>
      </c>
      <c r="J1037" s="2" t="s">
        <v>1105</v>
      </c>
      <c r="K1037" s="2" t="s">
        <v>223</v>
      </c>
      <c r="L1037" s="3">
        <v>27.23</v>
      </c>
      <c r="M1037" s="3">
        <v>28.59</v>
      </c>
      <c r="N1037" s="3">
        <v>79.99</v>
      </c>
      <c r="O1037" s="2" t="s">
        <v>224</v>
      </c>
      <c r="P1037" s="2" t="s">
        <v>580</v>
      </c>
      <c r="Q1037" s="2" t="s">
        <v>226</v>
      </c>
      <c r="R1037" s="2" t="s">
        <v>227</v>
      </c>
      <c r="S1037" s="2" t="s">
        <v>227</v>
      </c>
      <c r="T1037" s="2" t="s">
        <v>227</v>
      </c>
      <c r="U1037" s="2" t="s">
        <v>552</v>
      </c>
      <c r="V1037" s="2" t="s">
        <v>629</v>
      </c>
      <c r="W1037" s="2" t="s">
        <v>836</v>
      </c>
      <c r="X1037" s="2" t="s">
        <v>227</v>
      </c>
      <c r="Y1037" s="2" t="s">
        <v>6042</v>
      </c>
      <c r="Z1037" s="4">
        <v>1</v>
      </c>
      <c r="AA1037" s="4">
        <f>=ROUNDDOWN(0.333333333333333,0)</f>
      </c>
      <c r="AB1037" s="5">
        <v>3</v>
      </c>
      <c r="AC1037" s="2" t="s">
        <v>227</v>
      </c>
      <c r="AD1037" s="4"/>
      <c r="AE1037" s="4"/>
      <c r="AF1037" s="6">
        <v>65</v>
      </c>
      <c r="AG1037" s="6"/>
      <c r="AH1037" s="7">
        <v>0</v>
      </c>
      <c r="AI1037" s="4"/>
      <c r="AJ1037" s="4">
        <f>=ROUNDDOWN({0},0)</f>
      </c>
      <c r="AK1037" s="5"/>
      <c r="AL1037" s="2" t="s">
        <v>227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 t="s">
        <v>227</v>
      </c>
      <c r="BD1037" s="8" t="s">
        <v>227</v>
      </c>
      <c r="BE1037" s="4" t="s">
        <v>227</v>
      </c>
      <c r="BF1037" s="8" t="s">
        <v>227</v>
      </c>
      <c r="BG1037" s="7" t="s">
        <v>227</v>
      </c>
      <c r="BH1037" s="7" t="s">
        <v>227</v>
      </c>
      <c r="BI1037" s="7"/>
      <c r="BJ1037" s="4"/>
      <c r="BK1037" s="8"/>
      <c r="BL1037" s="2" t="s">
        <v>1987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6043</v>
      </c>
      <c r="BV1037" s="2" t="s">
        <v>227</v>
      </c>
      <c r="BW1037" s="2" t="s">
        <v>227</v>
      </c>
      <c r="BX1037" s="2" t="s">
        <v>235</v>
      </c>
      <c r="BY1037" s="2" t="s">
        <v>236</v>
      </c>
      <c r="BZ1037" s="2" t="s">
        <v>224</v>
      </c>
      <c r="CA1037" s="2" t="s">
        <v>1102</v>
      </c>
      <c r="CB1037" s="2" t="s">
        <v>570</v>
      </c>
      <c r="CC1037" s="2" t="s">
        <v>239</v>
      </c>
      <c r="CD1037" s="2" t="s">
        <v>227</v>
      </c>
      <c r="CE1037" s="4">
        <v>1</v>
      </c>
      <c r="CF1037" s="4"/>
      <c r="CG1037" s="4"/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/>
      <c r="EM1037" s="4"/>
      <c r="EN1037" s="4"/>
      <c r="EO1037" s="4"/>
      <c r="EP1037" s="4"/>
      <c r="EQ1037" s="4"/>
      <c r="ER1037" s="4"/>
      <c r="ES1037" s="4"/>
      <c r="ET1037" s="4"/>
      <c r="EU1037" s="4"/>
      <c r="EV1037" s="4"/>
      <c r="EW1037" s="4"/>
      <c r="EX1037" s="4"/>
      <c r="EY1037" s="4"/>
      <c r="EZ1037" s="4"/>
      <c r="FA1037" s="4"/>
      <c r="FB1037" s="4"/>
      <c r="FC1037" s="4"/>
      <c r="FD1037" s="4"/>
      <c r="FE1037" s="4"/>
      <c r="FF1037" s="4"/>
      <c r="FG1037" s="4"/>
      <c r="FH1037" s="4"/>
      <c r="FI1037" s="4"/>
      <c r="FJ1037" s="4"/>
      <c r="FK1037" s="4"/>
      <c r="FL1037" s="4"/>
      <c r="FM1037" s="4"/>
      <c r="FN1037" s="4"/>
      <c r="FO1037" s="4"/>
      <c r="FP1037" s="4"/>
      <c r="FQ1037" s="4"/>
      <c r="FR1037" s="4"/>
      <c r="FS1037" s="4"/>
      <c r="FT1037" s="4"/>
      <c r="FU1037" s="4"/>
      <c r="FV1037" s="4"/>
      <c r="FW1037" s="4"/>
      <c r="FX1037" s="4"/>
      <c r="FY1037" s="4"/>
      <c r="FZ1037" s="4"/>
      <c r="GA1037" s="4"/>
      <c r="GB1037" s="4"/>
      <c r="GC1037" s="4"/>
      <c r="GD1037" s="4"/>
      <c r="GE1037" s="4"/>
      <c r="GF1037" s="4"/>
      <c r="GG1037" s="4"/>
      <c r="GH1037" s="4"/>
      <c r="GI1037" s="4"/>
      <c r="GJ1037" s="4"/>
      <c r="GK1037" s="4"/>
      <c r="GL1037" s="4"/>
      <c r="GM1037" s="4"/>
      <c r="GN1037" s="4"/>
      <c r="GO1037" s="4"/>
      <c r="GP1037" s="4"/>
      <c r="GQ1037" s="4"/>
      <c r="GR1037" s="4"/>
      <c r="GS1037" s="4"/>
      <c r="GT1037" s="4"/>
      <c r="GU1037" s="4"/>
      <c r="GV1037" s="4"/>
      <c r="GW1037" s="4"/>
      <c r="GX1037" s="4"/>
    </row>
    <row r="1038">
      <c r="A1038" s="2" t="s">
        <v>6044</v>
      </c>
      <c r="B1038" s="2" t="s">
        <v>715</v>
      </c>
      <c r="C1038" s="2" t="s">
        <v>6039</v>
      </c>
      <c r="D1038" s="2" t="s">
        <v>716</v>
      </c>
      <c r="E1038" s="2" t="s">
        <v>717</v>
      </c>
      <c r="F1038" s="2" t="s">
        <v>6040</v>
      </c>
      <c r="G1038" s="2" t="s">
        <v>6040</v>
      </c>
      <c r="H1038" s="2" t="s">
        <v>6040</v>
      </c>
      <c r="I1038" s="2" t="s">
        <v>6041</v>
      </c>
      <c r="J1038" s="2" t="s">
        <v>1105</v>
      </c>
      <c r="K1038" s="2" t="s">
        <v>4093</v>
      </c>
      <c r="L1038" s="3">
        <v>27.23</v>
      </c>
      <c r="M1038" s="3">
        <v>28.59</v>
      </c>
      <c r="N1038" s="3">
        <v>79.99</v>
      </c>
      <c r="O1038" s="2" t="s">
        <v>224</v>
      </c>
      <c r="P1038" s="2" t="s">
        <v>580</v>
      </c>
      <c r="Q1038" s="2" t="s">
        <v>226</v>
      </c>
      <c r="R1038" s="2" t="s">
        <v>227</v>
      </c>
      <c r="S1038" s="2" t="s">
        <v>227</v>
      </c>
      <c r="T1038" s="2" t="s">
        <v>227</v>
      </c>
      <c r="U1038" s="2" t="s">
        <v>552</v>
      </c>
      <c r="V1038" s="2" t="s">
        <v>629</v>
      </c>
      <c r="W1038" s="2" t="s">
        <v>836</v>
      </c>
      <c r="X1038" s="2" t="s">
        <v>227</v>
      </c>
      <c r="Y1038" s="2" t="s">
        <v>6042</v>
      </c>
      <c r="Z1038" s="4">
        <v>51</v>
      </c>
      <c r="AA1038" s="4">
        <f>=ROUNDDOWN(25.5,0)</f>
      </c>
      <c r="AB1038" s="5">
        <v>2</v>
      </c>
      <c r="AC1038" s="2" t="s">
        <v>227</v>
      </c>
      <c r="AD1038" s="4"/>
      <c r="AE1038" s="4"/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227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 t="s">
        <v>227</v>
      </c>
      <c r="AW1038" s="8" t="s">
        <v>227</v>
      </c>
      <c r="AX1038" s="4" t="s">
        <v>227</v>
      </c>
      <c r="AY1038" s="8" t="s">
        <v>227</v>
      </c>
      <c r="AZ1038" s="7" t="s">
        <v>227</v>
      </c>
      <c r="BA1038" s="7" t="s">
        <v>227</v>
      </c>
      <c r="BB1038" s="7"/>
      <c r="BC1038" s="4" t="s">
        <v>227</v>
      </c>
      <c r="BD1038" s="8" t="s">
        <v>227</v>
      </c>
      <c r="BE1038" s="4" t="s">
        <v>227</v>
      </c>
      <c r="BF1038" s="8" t="s">
        <v>227</v>
      </c>
      <c r="BG1038" s="7" t="s">
        <v>227</v>
      </c>
      <c r="BH1038" s="7" t="s">
        <v>227</v>
      </c>
      <c r="BI1038" s="7"/>
      <c r="BJ1038" s="4"/>
      <c r="BK1038" s="8"/>
      <c r="BL1038" s="2" t="s">
        <v>227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6045</v>
      </c>
      <c r="BV1038" s="2" t="s">
        <v>227</v>
      </c>
      <c r="BW1038" s="2" t="s">
        <v>227</v>
      </c>
      <c r="BX1038" s="2" t="s">
        <v>235</v>
      </c>
      <c r="BY1038" s="2" t="s">
        <v>236</v>
      </c>
      <c r="BZ1038" s="2" t="s">
        <v>224</v>
      </c>
      <c r="CA1038" s="2" t="s">
        <v>1102</v>
      </c>
      <c r="CB1038" s="2" t="s">
        <v>1919</v>
      </c>
      <c r="CC1038" s="2" t="s">
        <v>239</v>
      </c>
      <c r="CD1038" s="2" t="s">
        <v>227</v>
      </c>
      <c r="CE1038" s="4">
        <v>51</v>
      </c>
      <c r="CF1038" s="4"/>
      <c r="CG1038" s="4"/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  <c r="EM1038" s="4"/>
      <c r="EN1038" s="4"/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/>
      <c r="EZ1038" s="4"/>
      <c r="FA1038" s="4"/>
      <c r="FB1038" s="4"/>
      <c r="FC1038" s="4"/>
      <c r="FD1038" s="4"/>
      <c r="FE1038" s="4"/>
      <c r="FF1038" s="4"/>
      <c r="FG1038" s="4"/>
      <c r="FH1038" s="4"/>
      <c r="FI1038" s="4"/>
      <c r="FJ1038" s="4"/>
      <c r="FK1038" s="4"/>
      <c r="FL1038" s="4"/>
      <c r="FM1038" s="4"/>
      <c r="FN1038" s="4"/>
      <c r="FO1038" s="4"/>
      <c r="FP1038" s="4"/>
      <c r="FQ1038" s="4"/>
      <c r="FR1038" s="4"/>
      <c r="FS1038" s="4"/>
      <c r="FT1038" s="4"/>
      <c r="FU1038" s="4"/>
      <c r="FV1038" s="4"/>
      <c r="FW1038" s="4"/>
      <c r="FX1038" s="4"/>
      <c r="FY1038" s="4"/>
      <c r="FZ1038" s="4"/>
      <c r="GA1038" s="4"/>
      <c r="GB1038" s="4"/>
      <c r="GC1038" s="4"/>
      <c r="GD1038" s="4"/>
      <c r="GE1038" s="4"/>
      <c r="GF1038" s="4"/>
      <c r="GG1038" s="4"/>
      <c r="GH1038" s="4"/>
      <c r="GI1038" s="4"/>
      <c r="GJ1038" s="4"/>
      <c r="GK1038" s="4"/>
      <c r="GL1038" s="4"/>
      <c r="GM1038" s="4"/>
      <c r="GN1038" s="4"/>
      <c r="GO1038" s="4"/>
      <c r="GP1038" s="4"/>
      <c r="GQ1038" s="4"/>
      <c r="GR1038" s="4"/>
      <c r="GS1038" s="4"/>
      <c r="GT1038" s="4"/>
      <c r="GU1038" s="4"/>
      <c r="GV1038" s="4"/>
      <c r="GW1038" s="4"/>
      <c r="GX1038" s="4"/>
    </row>
    <row r="1039">
      <c r="A1039" s="2" t="s">
        <v>6046</v>
      </c>
      <c r="B1039" s="2" t="s">
        <v>715</v>
      </c>
      <c r="C1039" s="2" t="s">
        <v>6039</v>
      </c>
      <c r="D1039" s="2" t="s">
        <v>716</v>
      </c>
      <c r="E1039" s="2" t="s">
        <v>717</v>
      </c>
      <c r="F1039" s="2" t="s">
        <v>6040</v>
      </c>
      <c r="G1039" s="2" t="s">
        <v>6040</v>
      </c>
      <c r="H1039" s="2" t="s">
        <v>6040</v>
      </c>
      <c r="I1039" s="2" t="s">
        <v>6041</v>
      </c>
      <c r="J1039" s="2" t="s">
        <v>6047</v>
      </c>
      <c r="K1039" s="2" t="s">
        <v>4093</v>
      </c>
      <c r="L1039" s="3">
        <v>23.83</v>
      </c>
      <c r="M1039" s="3">
        <v>25.02</v>
      </c>
      <c r="N1039" s="3">
        <v>69.99</v>
      </c>
      <c r="O1039" s="2" t="s">
        <v>224</v>
      </c>
      <c r="P1039" s="2" t="s">
        <v>580</v>
      </c>
      <c r="Q1039" s="2" t="s">
        <v>226</v>
      </c>
      <c r="R1039" s="2" t="s">
        <v>227</v>
      </c>
      <c r="S1039" s="2" t="s">
        <v>227</v>
      </c>
      <c r="T1039" s="2" t="s">
        <v>227</v>
      </c>
      <c r="U1039" s="2" t="s">
        <v>552</v>
      </c>
      <c r="V1039" s="2" t="s">
        <v>629</v>
      </c>
      <c r="W1039" s="2" t="s">
        <v>836</v>
      </c>
      <c r="X1039" s="2" t="s">
        <v>227</v>
      </c>
      <c r="Y1039" s="2" t="s">
        <v>6042</v>
      </c>
      <c r="Z1039" s="4">
        <v>95</v>
      </c>
      <c r="AA1039" s="4">
        <f>=ROUNDDOWN(31.6666666666667,0)</f>
      </c>
      <c r="AB1039" s="5">
        <v>3</v>
      </c>
      <c r="AC1039" s="2" t="s">
        <v>227</v>
      </c>
      <c r="AD1039" s="4"/>
      <c r="AE1039" s="4"/>
      <c r="AF1039" s="6">
        <v>65</v>
      </c>
      <c r="AG1039" s="6"/>
      <c r="AH1039" s="7">
        <v>1</v>
      </c>
      <c r="AI1039" s="4"/>
      <c r="AJ1039" s="4">
        <f>=ROUNDDOWN({0},0)</f>
      </c>
      <c r="AK1039" s="5"/>
      <c r="AL1039" s="2" t="s">
        <v>227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 t="s">
        <v>227</v>
      </c>
      <c r="AW1039" s="8" t="s">
        <v>227</v>
      </c>
      <c r="AX1039" s="4" t="s">
        <v>227</v>
      </c>
      <c r="AY1039" s="8" t="s">
        <v>227</v>
      </c>
      <c r="AZ1039" s="7" t="s">
        <v>227</v>
      </c>
      <c r="BA1039" s="7" t="s">
        <v>227</v>
      </c>
      <c r="BB1039" s="7"/>
      <c r="BC1039" s="4" t="s">
        <v>227</v>
      </c>
      <c r="BD1039" s="8" t="s">
        <v>227</v>
      </c>
      <c r="BE1039" s="4" t="s">
        <v>227</v>
      </c>
      <c r="BF1039" s="8" t="s">
        <v>227</v>
      </c>
      <c r="BG1039" s="7" t="s">
        <v>227</v>
      </c>
      <c r="BH1039" s="7" t="s">
        <v>227</v>
      </c>
      <c r="BI1039" s="7"/>
      <c r="BJ1039" s="4">
        <v>4</v>
      </c>
      <c r="BK1039" s="8">
        <v>90.08</v>
      </c>
      <c r="BL1039" s="2" t="s">
        <v>1100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6048</v>
      </c>
      <c r="BV1039" s="2" t="s">
        <v>227</v>
      </c>
      <c r="BW1039" s="2" t="s">
        <v>227</v>
      </c>
      <c r="BX1039" s="2" t="s">
        <v>235</v>
      </c>
      <c r="BY1039" s="2" t="s">
        <v>236</v>
      </c>
      <c r="BZ1039" s="2" t="s">
        <v>224</v>
      </c>
      <c r="CA1039" s="2" t="s">
        <v>1102</v>
      </c>
      <c r="CB1039" s="2" t="s">
        <v>3634</v>
      </c>
      <c r="CC1039" s="2" t="s">
        <v>239</v>
      </c>
      <c r="CD1039" s="2" t="s">
        <v>227</v>
      </c>
      <c r="CE1039" s="4">
        <v>95</v>
      </c>
      <c r="CF1039" s="4"/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/>
      <c r="EM1039" s="4"/>
      <c r="EN1039" s="4"/>
      <c r="EO1039" s="4"/>
      <c r="EP1039" s="4"/>
      <c r="EQ1039" s="4"/>
      <c r="ER1039" s="4"/>
      <c r="ES1039" s="4"/>
      <c r="ET1039" s="4"/>
      <c r="EU1039" s="4"/>
      <c r="EV1039" s="4"/>
      <c r="EW1039" s="4"/>
      <c r="EX1039" s="4"/>
      <c r="EY1039" s="4"/>
      <c r="EZ1039" s="4"/>
      <c r="FA1039" s="4"/>
      <c r="FB1039" s="4"/>
      <c r="FC1039" s="4"/>
      <c r="FD1039" s="4"/>
      <c r="FE1039" s="4"/>
      <c r="FF1039" s="4"/>
      <c r="FG1039" s="4"/>
      <c r="FH1039" s="4"/>
      <c r="FI1039" s="4"/>
      <c r="FJ1039" s="4"/>
      <c r="FK1039" s="4"/>
      <c r="FL1039" s="4"/>
      <c r="FM1039" s="4"/>
      <c r="FN1039" s="4"/>
      <c r="FO1039" s="4"/>
      <c r="FP1039" s="4"/>
      <c r="FQ1039" s="4"/>
      <c r="FR1039" s="4"/>
      <c r="FS1039" s="4"/>
      <c r="FT1039" s="4"/>
      <c r="FU1039" s="4"/>
      <c r="FV1039" s="4"/>
      <c r="FW1039" s="4"/>
      <c r="FX1039" s="4"/>
      <c r="FY1039" s="4"/>
      <c r="FZ1039" s="4"/>
      <c r="GA1039" s="4"/>
      <c r="GB1039" s="4"/>
      <c r="GC1039" s="4"/>
      <c r="GD1039" s="4"/>
      <c r="GE1039" s="4"/>
      <c r="GF1039" s="4"/>
      <c r="GG1039" s="4"/>
      <c r="GH1039" s="4"/>
      <c r="GI1039" s="4"/>
      <c r="GJ1039" s="4"/>
      <c r="GK1039" s="4"/>
      <c r="GL1039" s="4"/>
      <c r="GM1039" s="4"/>
      <c r="GN1039" s="4"/>
      <c r="GO1039" s="4"/>
      <c r="GP1039" s="4"/>
      <c r="GQ1039" s="4"/>
      <c r="GR1039" s="4"/>
      <c r="GS1039" s="4"/>
      <c r="GT1039" s="4"/>
      <c r="GU1039" s="4"/>
      <c r="GV1039" s="4"/>
      <c r="GW1039" s="4"/>
      <c r="GX1039" s="4"/>
    </row>
    <row r="1040">
      <c r="A1040" s="2" t="s">
        <v>6049</v>
      </c>
      <c r="B1040" s="2" t="s">
        <v>697</v>
      </c>
      <c r="C1040" s="2" t="s">
        <v>698</v>
      </c>
      <c r="D1040" s="2" t="s">
        <v>687</v>
      </c>
      <c r="E1040" s="2" t="s">
        <v>688</v>
      </c>
      <c r="F1040" s="2" t="s">
        <v>6050</v>
      </c>
      <c r="G1040" s="2" t="s">
        <v>227</v>
      </c>
      <c r="H1040" s="2" t="s">
        <v>227</v>
      </c>
      <c r="I1040" s="2" t="s">
        <v>6051</v>
      </c>
      <c r="J1040" s="2" t="s">
        <v>222</v>
      </c>
      <c r="K1040" s="2" t="s">
        <v>410</v>
      </c>
      <c r="L1040" s="3">
        <v>25.3</v>
      </c>
      <c r="M1040" s="3">
        <v>26.56</v>
      </c>
      <c r="N1040" s="3">
        <v>54.99</v>
      </c>
      <c r="O1040" s="2" t="s">
        <v>224</v>
      </c>
      <c r="P1040" s="2" t="s">
        <v>225</v>
      </c>
      <c r="Q1040" s="2" t="s">
        <v>226</v>
      </c>
      <c r="R1040" s="2" t="s">
        <v>227</v>
      </c>
      <c r="S1040" s="2" t="s">
        <v>6052</v>
      </c>
      <c r="T1040" s="2" t="s">
        <v>6053</v>
      </c>
      <c r="U1040" s="2" t="s">
        <v>227</v>
      </c>
      <c r="V1040" s="2" t="s">
        <v>782</v>
      </c>
      <c r="W1040" s="2" t="s">
        <v>705</v>
      </c>
      <c r="X1040" s="2" t="s">
        <v>4439</v>
      </c>
      <c r="Y1040" s="2" t="s">
        <v>232</v>
      </c>
      <c r="Z1040" s="4">
        <v>180</v>
      </c>
      <c r="AA1040" s="4">
        <f>=ROUNDDOWN(20,0)</f>
      </c>
      <c r="AB1040" s="5">
        <v>9</v>
      </c>
      <c r="AC1040" s="2" t="s">
        <v>839</v>
      </c>
      <c r="AD1040" s="4">
        <v>60</v>
      </c>
      <c r="AE1040" s="4">
        <v>140</v>
      </c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227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227</v>
      </c>
      <c r="AW1040" s="8" t="s">
        <v>227</v>
      </c>
      <c r="AX1040" s="4" t="s">
        <v>227</v>
      </c>
      <c r="AY1040" s="8" t="s">
        <v>227</v>
      </c>
      <c r="AZ1040" s="7" t="s">
        <v>227</v>
      </c>
      <c r="BA1040" s="7" t="s">
        <v>227</v>
      </c>
      <c r="BB1040" s="7"/>
      <c r="BC1040" s="4" t="s">
        <v>227</v>
      </c>
      <c r="BD1040" s="8" t="s">
        <v>227</v>
      </c>
      <c r="BE1040" s="4" t="s">
        <v>227</v>
      </c>
      <c r="BF1040" s="8" t="s">
        <v>227</v>
      </c>
      <c r="BG1040" s="7" t="s">
        <v>227</v>
      </c>
      <c r="BH1040" s="7" t="s">
        <v>227</v>
      </c>
      <c r="BI1040" s="7"/>
      <c r="BJ1040" s="4">
        <v>16</v>
      </c>
      <c r="BK1040" s="8">
        <v>470.87</v>
      </c>
      <c r="BL1040" s="2" t="s">
        <v>5066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6054</v>
      </c>
      <c r="BV1040" s="2" t="s">
        <v>227</v>
      </c>
      <c r="BW1040" s="2" t="s">
        <v>227</v>
      </c>
      <c r="BX1040" s="2" t="s">
        <v>235</v>
      </c>
      <c r="BY1040" s="2" t="s">
        <v>236</v>
      </c>
      <c r="BZ1040" s="2" t="s">
        <v>224</v>
      </c>
      <c r="CA1040" s="2" t="s">
        <v>237</v>
      </c>
      <c r="CB1040" s="2" t="s">
        <v>6055</v>
      </c>
      <c r="CC1040" s="2" t="s">
        <v>239</v>
      </c>
      <c r="CD1040" s="2" t="s">
        <v>227</v>
      </c>
      <c r="CE1040" s="4">
        <v>180</v>
      </c>
      <c r="CF1040" s="4"/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>
        <v>60</v>
      </c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>
        <v>30</v>
      </c>
      <c r="ET1040" s="4"/>
      <c r="EU1040" s="4"/>
      <c r="EV1040" s="4"/>
      <c r="EW1040" s="4"/>
      <c r="EX1040" s="4"/>
      <c r="EY1040" s="4"/>
      <c r="EZ1040" s="4"/>
      <c r="FA1040" s="4"/>
      <c r="FB1040" s="4"/>
      <c r="FC1040" s="4"/>
      <c r="FD1040" s="4"/>
      <c r="FE1040" s="4"/>
      <c r="FF1040" s="4"/>
      <c r="FG1040" s="4"/>
      <c r="FH1040" s="4"/>
      <c r="FI1040" s="4"/>
      <c r="FJ1040" s="4"/>
      <c r="FK1040" s="4"/>
      <c r="FL1040" s="4"/>
      <c r="FM1040" s="4"/>
      <c r="FN1040" s="4"/>
      <c r="FO1040" s="4"/>
      <c r="FP1040" s="4"/>
      <c r="FQ1040" s="4"/>
      <c r="FR1040" s="4"/>
      <c r="FS1040" s="4"/>
      <c r="FT1040" s="4"/>
      <c r="FU1040" s="4"/>
      <c r="FV1040" s="4"/>
      <c r="FW1040" s="4"/>
      <c r="FX1040" s="4"/>
      <c r="FY1040" s="4"/>
      <c r="FZ1040" s="4"/>
      <c r="GA1040" s="4"/>
      <c r="GB1040" s="4"/>
      <c r="GC1040" s="4"/>
      <c r="GD1040" s="4"/>
      <c r="GE1040" s="4"/>
      <c r="GF1040" s="4"/>
      <c r="GG1040" s="4"/>
      <c r="GH1040" s="4"/>
      <c r="GI1040" s="4">
        <v>50</v>
      </c>
      <c r="GJ1040" s="4"/>
      <c r="GK1040" s="4"/>
      <c r="GL1040" s="4"/>
      <c r="GM1040" s="4"/>
      <c r="GN1040" s="4"/>
      <c r="GO1040" s="4"/>
      <c r="GP1040" s="4"/>
      <c r="GQ1040" s="4"/>
      <c r="GR1040" s="4"/>
      <c r="GS1040" s="4"/>
      <c r="GT1040" s="4"/>
      <c r="GU1040" s="4"/>
      <c r="GV1040" s="4"/>
      <c r="GW1040" s="4"/>
      <c r="GX1040" s="4"/>
    </row>
    <row r="1041">
      <c r="A1041" s="2" t="s">
        <v>6056</v>
      </c>
      <c r="B1041" s="2" t="s">
        <v>697</v>
      </c>
      <c r="C1041" s="2" t="s">
        <v>698</v>
      </c>
      <c r="D1041" s="2" t="s">
        <v>687</v>
      </c>
      <c r="E1041" s="2" t="s">
        <v>688</v>
      </c>
      <c r="F1041" s="2" t="s">
        <v>6050</v>
      </c>
      <c r="G1041" s="2" t="s">
        <v>227</v>
      </c>
      <c r="H1041" s="2" t="s">
        <v>227</v>
      </c>
      <c r="I1041" s="2" t="s">
        <v>6051</v>
      </c>
      <c r="J1041" s="2" t="s">
        <v>626</v>
      </c>
      <c r="K1041" s="2" t="s">
        <v>410</v>
      </c>
      <c r="L1041" s="3">
        <v>34.5</v>
      </c>
      <c r="M1041" s="3">
        <v>36.22</v>
      </c>
      <c r="N1041" s="3">
        <v>74.99</v>
      </c>
      <c r="O1041" s="2" t="s">
        <v>224</v>
      </c>
      <c r="P1041" s="2" t="s">
        <v>225</v>
      </c>
      <c r="Q1041" s="2" t="s">
        <v>226</v>
      </c>
      <c r="R1041" s="2" t="s">
        <v>227</v>
      </c>
      <c r="S1041" s="2" t="s">
        <v>6052</v>
      </c>
      <c r="T1041" s="2" t="s">
        <v>6053</v>
      </c>
      <c r="U1041" s="2" t="s">
        <v>227</v>
      </c>
      <c r="V1041" s="2" t="s">
        <v>782</v>
      </c>
      <c r="W1041" s="2" t="s">
        <v>705</v>
      </c>
      <c r="X1041" s="2" t="s">
        <v>4439</v>
      </c>
      <c r="Y1041" s="2" t="s">
        <v>232</v>
      </c>
      <c r="Z1041" s="4">
        <v>121</v>
      </c>
      <c r="AA1041" s="4">
        <f>=ROUNDDOWN(3.55882352941176,0)</f>
      </c>
      <c r="AB1041" s="5">
        <v>34</v>
      </c>
      <c r="AC1041" s="2" t="s">
        <v>839</v>
      </c>
      <c r="AD1041" s="4">
        <v>400</v>
      </c>
      <c r="AE1041" s="4">
        <v>790</v>
      </c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227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 t="s">
        <v>227</v>
      </c>
      <c r="AW1041" s="8" t="s">
        <v>227</v>
      </c>
      <c r="AX1041" s="4" t="s">
        <v>227</v>
      </c>
      <c r="AY1041" s="8" t="s">
        <v>227</v>
      </c>
      <c r="AZ1041" s="7" t="s">
        <v>227</v>
      </c>
      <c r="BA1041" s="7" t="s">
        <v>227</v>
      </c>
      <c r="BB1041" s="7"/>
      <c r="BC1041" s="4" t="s">
        <v>227</v>
      </c>
      <c r="BD1041" s="8" t="s">
        <v>227</v>
      </c>
      <c r="BE1041" s="4" t="s">
        <v>227</v>
      </c>
      <c r="BF1041" s="8" t="s">
        <v>227</v>
      </c>
      <c r="BG1041" s="7" t="s">
        <v>227</v>
      </c>
      <c r="BH1041" s="7" t="s">
        <v>227</v>
      </c>
      <c r="BI1041" s="7"/>
      <c r="BJ1041" s="4">
        <v>67</v>
      </c>
      <c r="BK1041" s="8">
        <v>2748.76</v>
      </c>
      <c r="BL1041" s="2" t="s">
        <v>6057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6058</v>
      </c>
      <c r="BV1041" s="2" t="s">
        <v>227</v>
      </c>
      <c r="BW1041" s="2" t="s">
        <v>227</v>
      </c>
      <c r="BX1041" s="2" t="s">
        <v>235</v>
      </c>
      <c r="BY1041" s="2" t="s">
        <v>236</v>
      </c>
      <c r="BZ1041" s="2" t="s">
        <v>224</v>
      </c>
      <c r="CA1041" s="2" t="s">
        <v>237</v>
      </c>
      <c r="CB1041" s="2" t="s">
        <v>4989</v>
      </c>
      <c r="CC1041" s="2" t="s">
        <v>239</v>
      </c>
      <c r="CD1041" s="2" t="s">
        <v>227</v>
      </c>
      <c r="CE1041" s="4">
        <v>121</v>
      </c>
      <c r="CF1041" s="4"/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>
        <v>400</v>
      </c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/>
      <c r="EP1041" s="4"/>
      <c r="EQ1041" s="4"/>
      <c r="ER1041" s="4"/>
      <c r="ES1041" s="4">
        <v>110</v>
      </c>
      <c r="ET1041" s="4"/>
      <c r="EU1041" s="4"/>
      <c r="EV1041" s="4"/>
      <c r="EW1041" s="4"/>
      <c r="EX1041" s="4"/>
      <c r="EY1041" s="4"/>
      <c r="EZ1041" s="4"/>
      <c r="FA1041" s="4"/>
      <c r="FB1041" s="4"/>
      <c r="FC1041" s="4"/>
      <c r="FD1041" s="4"/>
      <c r="FE1041" s="4"/>
      <c r="FF1041" s="4"/>
      <c r="FG1041" s="4"/>
      <c r="FH1041" s="4"/>
      <c r="FI1041" s="4"/>
      <c r="FJ1041" s="4"/>
      <c r="FK1041" s="4"/>
      <c r="FL1041" s="4"/>
      <c r="FM1041" s="4"/>
      <c r="FN1041" s="4"/>
      <c r="FO1041" s="4"/>
      <c r="FP1041" s="4"/>
      <c r="FQ1041" s="4"/>
      <c r="FR1041" s="4"/>
      <c r="FS1041" s="4"/>
      <c r="FT1041" s="4"/>
      <c r="FU1041" s="4"/>
      <c r="FV1041" s="4"/>
      <c r="FW1041" s="4"/>
      <c r="FX1041" s="4"/>
      <c r="FY1041" s="4"/>
      <c r="FZ1041" s="4"/>
      <c r="GA1041" s="4"/>
      <c r="GB1041" s="4"/>
      <c r="GC1041" s="4"/>
      <c r="GD1041" s="4"/>
      <c r="GE1041" s="4"/>
      <c r="GF1041" s="4"/>
      <c r="GG1041" s="4"/>
      <c r="GH1041" s="4"/>
      <c r="GI1041" s="4">
        <v>280</v>
      </c>
      <c r="GJ1041" s="4"/>
      <c r="GK1041" s="4"/>
      <c r="GL1041" s="4"/>
      <c r="GM1041" s="4"/>
      <c r="GN1041" s="4"/>
      <c r="GO1041" s="4"/>
      <c r="GP1041" s="4"/>
      <c r="GQ1041" s="4"/>
      <c r="GR1041" s="4"/>
      <c r="GS1041" s="4"/>
      <c r="GT1041" s="4"/>
      <c r="GU1041" s="4"/>
      <c r="GV1041" s="4"/>
      <c r="GW1041" s="4"/>
      <c r="GX1041" s="4"/>
    </row>
    <row r="1042">
      <c r="A1042" s="2" t="s">
        <v>6059</v>
      </c>
      <c r="B1042" s="2" t="s">
        <v>216</v>
      </c>
      <c r="C1042" s="2" t="s">
        <v>217</v>
      </c>
      <c r="D1042" s="2" t="s">
        <v>687</v>
      </c>
      <c r="E1042" s="2" t="s">
        <v>1903</v>
      </c>
      <c r="F1042" s="2" t="s">
        <v>6060</v>
      </c>
      <c r="G1042" s="2" t="s">
        <v>6060</v>
      </c>
      <c r="H1042" s="2" t="s">
        <v>6060</v>
      </c>
      <c r="I1042" s="2" t="s">
        <v>4391</v>
      </c>
      <c r="J1042" s="2" t="s">
        <v>626</v>
      </c>
      <c r="K1042" s="2" t="s">
        <v>264</v>
      </c>
      <c r="L1042" s="3">
        <v>43.2</v>
      </c>
      <c r="M1042" s="3">
        <v>45.36</v>
      </c>
      <c r="N1042" s="3">
        <v>89.99</v>
      </c>
      <c r="O1042" s="2" t="s">
        <v>224</v>
      </c>
      <c r="P1042" s="2" t="s">
        <v>225</v>
      </c>
      <c r="Q1042" s="2" t="s">
        <v>226</v>
      </c>
      <c r="R1042" s="2" t="s">
        <v>227</v>
      </c>
      <c r="S1042" s="2" t="s">
        <v>4392</v>
      </c>
      <c r="T1042" s="2" t="s">
        <v>286</v>
      </c>
      <c r="U1042" s="2" t="s">
        <v>227</v>
      </c>
      <c r="V1042" s="2" t="s">
        <v>230</v>
      </c>
      <c r="W1042" s="2" t="s">
        <v>231</v>
      </c>
      <c r="X1042" s="2" t="s">
        <v>227</v>
      </c>
      <c r="Y1042" s="2" t="s">
        <v>232</v>
      </c>
      <c r="Z1042" s="4">
        <v>192</v>
      </c>
      <c r="AA1042" s="4">
        <f>=ROUNDDOWN(27.4285714285714,0)</f>
      </c>
      <c r="AB1042" s="5">
        <v>7</v>
      </c>
      <c r="AC1042" s="2" t="s">
        <v>1596</v>
      </c>
      <c r="AD1042" s="4">
        <v>50</v>
      </c>
      <c r="AE1042" s="4">
        <v>260</v>
      </c>
      <c r="AF1042" s="6">
        <v>66</v>
      </c>
      <c r="AG1042" s="6"/>
      <c r="AH1042" s="7">
        <v>1</v>
      </c>
      <c r="AI1042" s="4"/>
      <c r="AJ1042" s="4">
        <f>=ROUNDDOWN({0},0)</f>
      </c>
      <c r="AK1042" s="5"/>
      <c r="AL1042" s="2" t="s">
        <v>227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/>
      <c r="AW1042" s="8"/>
      <c r="AX1042" s="4"/>
      <c r="AY1042" s="8"/>
      <c r="AZ1042" s="7"/>
      <c r="BA1042" s="7"/>
      <c r="BB1042" s="7"/>
      <c r="BC1042" s="4"/>
      <c r="BD1042" s="8"/>
      <c r="BE1042" s="4"/>
      <c r="BF1042" s="8"/>
      <c r="BG1042" s="7"/>
      <c r="BH1042" s="7"/>
      <c r="BI1042" s="7"/>
      <c r="BJ1042" s="4">
        <v>11</v>
      </c>
      <c r="BK1042" s="8">
        <v>476.82</v>
      </c>
      <c r="BL1042" s="2" t="s">
        <v>2521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6061</v>
      </c>
      <c r="BV1042" s="2" t="s">
        <v>227</v>
      </c>
      <c r="BW1042" s="2" t="s">
        <v>227</v>
      </c>
      <c r="BX1042" s="2" t="s">
        <v>235</v>
      </c>
      <c r="BY1042" s="2" t="s">
        <v>236</v>
      </c>
      <c r="BZ1042" s="2" t="s">
        <v>224</v>
      </c>
      <c r="CA1042" s="2" t="s">
        <v>237</v>
      </c>
      <c r="CB1042" s="2" t="s">
        <v>6062</v>
      </c>
      <c r="CC1042" s="2" t="s">
        <v>239</v>
      </c>
      <c r="CD1042" s="2" t="s">
        <v>227</v>
      </c>
      <c r="CE1042" s="4">
        <v>192</v>
      </c>
      <c r="CF1042" s="4"/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>
        <v>50</v>
      </c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  <c r="EK1042" s="4"/>
      <c r="EL1042" s="4"/>
      <c r="EM1042" s="4"/>
      <c r="EN1042" s="4"/>
      <c r="EO1042" s="4"/>
      <c r="EP1042" s="4"/>
      <c r="EQ1042" s="4"/>
      <c r="ER1042" s="4"/>
      <c r="ES1042" s="4"/>
      <c r="ET1042" s="4">
        <v>100</v>
      </c>
      <c r="EU1042" s="4"/>
      <c r="EV1042" s="4"/>
      <c r="EW1042" s="4"/>
      <c r="EX1042" s="4"/>
      <c r="EY1042" s="4"/>
      <c r="EZ1042" s="4"/>
      <c r="FA1042" s="4"/>
      <c r="FB1042" s="4"/>
      <c r="FC1042" s="4"/>
      <c r="FD1042" s="4"/>
      <c r="FE1042" s="4"/>
      <c r="FF1042" s="4"/>
      <c r="FG1042" s="4"/>
      <c r="FH1042" s="4"/>
      <c r="FI1042" s="4"/>
      <c r="FJ1042" s="4"/>
      <c r="FK1042" s="4"/>
      <c r="FL1042" s="4"/>
      <c r="FM1042" s="4"/>
      <c r="FN1042" s="4"/>
      <c r="FO1042" s="4"/>
      <c r="FP1042" s="4"/>
      <c r="FQ1042" s="4"/>
      <c r="FR1042" s="4"/>
      <c r="FS1042" s="4"/>
      <c r="FT1042" s="4"/>
      <c r="FU1042" s="4"/>
      <c r="FV1042" s="4"/>
      <c r="FW1042" s="4"/>
      <c r="FX1042" s="4">
        <v>110</v>
      </c>
      <c r="FY1042" s="4"/>
      <c r="FZ1042" s="4"/>
      <c r="GA1042" s="4"/>
      <c r="GB1042" s="4"/>
      <c r="GC1042" s="4"/>
      <c r="GD1042" s="4"/>
      <c r="GE1042" s="4"/>
      <c r="GF1042" s="4"/>
      <c r="GG1042" s="4"/>
      <c r="GH1042" s="4"/>
      <c r="GI1042" s="4"/>
      <c r="GJ1042" s="4"/>
      <c r="GK1042" s="4"/>
      <c r="GL1042" s="4"/>
      <c r="GM1042" s="4"/>
      <c r="GN1042" s="4"/>
      <c r="GO1042" s="4"/>
      <c r="GP1042" s="4"/>
      <c r="GQ1042" s="4"/>
      <c r="GR1042" s="4"/>
      <c r="GS1042" s="4"/>
      <c r="GT1042" s="4"/>
      <c r="GU1042" s="4"/>
      <c r="GV1042" s="4"/>
      <c r="GW1042" s="4"/>
      <c r="GX1042" s="4"/>
    </row>
    <row r="1043">
      <c r="A1043" s="2" t="s">
        <v>6063</v>
      </c>
      <c r="B1043" s="2" t="s">
        <v>697</v>
      </c>
      <c r="C1043" s="2" t="s">
        <v>1962</v>
      </c>
      <c r="D1043" s="2" t="s">
        <v>1982</v>
      </c>
      <c r="E1043" s="2" t="s">
        <v>3093</v>
      </c>
      <c r="F1043" s="2" t="s">
        <v>6064</v>
      </c>
      <c r="G1043" s="2" t="s">
        <v>6065</v>
      </c>
      <c r="H1043" s="2" t="s">
        <v>6065</v>
      </c>
      <c r="I1043" s="2" t="s">
        <v>6066</v>
      </c>
      <c r="J1043" s="2" t="s">
        <v>6067</v>
      </c>
      <c r="K1043" s="2" t="s">
        <v>1428</v>
      </c>
      <c r="L1043" s="3">
        <v>36.8</v>
      </c>
      <c r="M1043" s="3">
        <v>38.64</v>
      </c>
      <c r="N1043" s="3">
        <v>79.99</v>
      </c>
      <c r="O1043" s="2" t="s">
        <v>224</v>
      </c>
      <c r="P1043" s="2" t="s">
        <v>530</v>
      </c>
      <c r="Q1043" s="2" t="s">
        <v>226</v>
      </c>
      <c r="R1043" s="2" t="s">
        <v>227</v>
      </c>
      <c r="S1043" s="2" t="s">
        <v>6068</v>
      </c>
      <c r="T1043" s="2" t="s">
        <v>876</v>
      </c>
      <c r="U1043" s="2" t="s">
        <v>227</v>
      </c>
      <c r="V1043" s="2" t="s">
        <v>1153</v>
      </c>
      <c r="W1043" s="2" t="s">
        <v>487</v>
      </c>
      <c r="X1043" s="2" t="s">
        <v>581</v>
      </c>
      <c r="Y1043" s="2" t="s">
        <v>825</v>
      </c>
      <c r="Z1043" s="4">
        <v>353</v>
      </c>
      <c r="AA1043" s="4">
        <f>=ROUNDDOWN(5.515625,0)</f>
      </c>
      <c r="AB1043" s="5">
        <v>64</v>
      </c>
      <c r="AC1043" s="2" t="s">
        <v>3411</v>
      </c>
      <c r="AD1043" s="4">
        <v>750</v>
      </c>
      <c r="AE1043" s="4">
        <v>2510</v>
      </c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227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227</v>
      </c>
      <c r="AW1043" s="8" t="s">
        <v>227</v>
      </c>
      <c r="AX1043" s="4" t="s">
        <v>227</v>
      </c>
      <c r="AY1043" s="8" t="s">
        <v>227</v>
      </c>
      <c r="AZ1043" s="7" t="s">
        <v>227</v>
      </c>
      <c r="BA1043" s="7" t="s">
        <v>227</v>
      </c>
      <c r="BB1043" s="7"/>
      <c r="BC1043" s="4" t="s">
        <v>227</v>
      </c>
      <c r="BD1043" s="8" t="s">
        <v>227</v>
      </c>
      <c r="BE1043" s="4" t="s">
        <v>227</v>
      </c>
      <c r="BF1043" s="8" t="s">
        <v>227</v>
      </c>
      <c r="BG1043" s="7" t="s">
        <v>227</v>
      </c>
      <c r="BH1043" s="7" t="s">
        <v>227</v>
      </c>
      <c r="BI1043" s="7"/>
      <c r="BJ1043" s="4">
        <v>30</v>
      </c>
      <c r="BK1043" s="8">
        <v>1186.9</v>
      </c>
      <c r="BL1043" s="2" t="s">
        <v>6069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6070</v>
      </c>
      <c r="BV1043" s="2" t="s">
        <v>227</v>
      </c>
      <c r="BW1043" s="2" t="s">
        <v>227</v>
      </c>
      <c r="BX1043" s="2" t="s">
        <v>235</v>
      </c>
      <c r="BY1043" s="2" t="s">
        <v>236</v>
      </c>
      <c r="BZ1043" s="2" t="s">
        <v>224</v>
      </c>
      <c r="CA1043" s="2" t="s">
        <v>6071</v>
      </c>
      <c r="CB1043" s="2" t="s">
        <v>2814</v>
      </c>
      <c r="CC1043" s="2" t="s">
        <v>239</v>
      </c>
      <c r="CD1043" s="2" t="s">
        <v>227</v>
      </c>
      <c r="CE1043" s="4">
        <v>353</v>
      </c>
      <c r="CF1043" s="4"/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>
        <v>750</v>
      </c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>
        <v>1090</v>
      </c>
      <c r="ES1043" s="4"/>
      <c r="ET1043" s="4"/>
      <c r="EU1043" s="4"/>
      <c r="EV1043" s="4"/>
      <c r="EW1043" s="4"/>
      <c r="EX1043" s="4"/>
      <c r="EY1043" s="4"/>
      <c r="EZ1043" s="4"/>
      <c r="FA1043" s="4"/>
      <c r="FB1043" s="4"/>
      <c r="FC1043" s="4"/>
      <c r="FD1043" s="4"/>
      <c r="FE1043" s="4"/>
      <c r="FF1043" s="4"/>
      <c r="FG1043" s="4"/>
      <c r="FH1043" s="4"/>
      <c r="FI1043" s="4"/>
      <c r="FJ1043" s="4"/>
      <c r="FK1043" s="4"/>
      <c r="FL1043" s="4"/>
      <c r="FM1043" s="4"/>
      <c r="FN1043" s="4"/>
      <c r="FO1043" s="4"/>
      <c r="FP1043" s="4"/>
      <c r="FQ1043" s="4"/>
      <c r="FR1043" s="4"/>
      <c r="FS1043" s="4">
        <v>420</v>
      </c>
      <c r="FT1043" s="4"/>
      <c r="FU1043" s="4"/>
      <c r="FV1043" s="4"/>
      <c r="FW1043" s="4"/>
      <c r="FX1043" s="4"/>
      <c r="FY1043" s="4"/>
      <c r="FZ1043" s="4"/>
      <c r="GA1043" s="4"/>
      <c r="GB1043" s="4"/>
      <c r="GC1043" s="4"/>
      <c r="GD1043" s="4"/>
      <c r="GE1043" s="4"/>
      <c r="GF1043" s="4"/>
      <c r="GG1043" s="4"/>
      <c r="GH1043" s="4"/>
      <c r="GI1043" s="4"/>
      <c r="GJ1043" s="4"/>
      <c r="GK1043" s="4"/>
      <c r="GL1043" s="4"/>
      <c r="GM1043" s="4">
        <v>250</v>
      </c>
      <c r="GN1043" s="4"/>
      <c r="GO1043" s="4"/>
      <c r="GP1043" s="4"/>
      <c r="GQ1043" s="4"/>
      <c r="GR1043" s="4"/>
      <c r="GS1043" s="4"/>
      <c r="GT1043" s="4"/>
      <c r="GU1043" s="4"/>
      <c r="GV1043" s="4"/>
      <c r="GW1043" s="4"/>
      <c r="GX1043" s="4"/>
    </row>
    <row r="1044">
      <c r="A1044" s="2" t="s">
        <v>6072</v>
      </c>
      <c r="B1044" s="2" t="s">
        <v>697</v>
      </c>
      <c r="C1044" s="2" t="s">
        <v>360</v>
      </c>
      <c r="D1044" s="2" t="s">
        <v>1027</v>
      </c>
      <c r="E1044" s="2" t="s">
        <v>2748</v>
      </c>
      <c r="F1044" s="2" t="s">
        <v>6064</v>
      </c>
      <c r="G1044" s="2" t="s">
        <v>6065</v>
      </c>
      <c r="H1044" s="2" t="s">
        <v>6065</v>
      </c>
      <c r="I1044" s="2" t="s">
        <v>2749</v>
      </c>
      <c r="J1044" s="2" t="s">
        <v>1434</v>
      </c>
      <c r="K1044" s="2" t="s">
        <v>1428</v>
      </c>
      <c r="L1044" s="3">
        <v>14.83</v>
      </c>
      <c r="M1044" s="3">
        <v>15.57</v>
      </c>
      <c r="N1044" s="3">
        <v>31.99</v>
      </c>
      <c r="O1044" s="2" t="s">
        <v>224</v>
      </c>
      <c r="P1044" s="2" t="s">
        <v>225</v>
      </c>
      <c r="Q1044" s="2" t="s">
        <v>226</v>
      </c>
      <c r="R1044" s="2" t="s">
        <v>227</v>
      </c>
      <c r="S1044" s="2" t="s">
        <v>6073</v>
      </c>
      <c r="T1044" s="2" t="s">
        <v>876</v>
      </c>
      <c r="U1044" s="2" t="s">
        <v>227</v>
      </c>
      <c r="V1044" s="2" t="s">
        <v>1153</v>
      </c>
      <c r="W1044" s="2" t="s">
        <v>487</v>
      </c>
      <c r="X1044" s="2" t="s">
        <v>227</v>
      </c>
      <c r="Y1044" s="2" t="s">
        <v>232</v>
      </c>
      <c r="Z1044" s="4">
        <v>770</v>
      </c>
      <c r="AA1044" s="4">
        <f>=ROUNDDOWN(51.3333333333333,0)</f>
      </c>
      <c r="AB1044" s="5">
        <v>15</v>
      </c>
      <c r="AC1044" s="2" t="s">
        <v>169</v>
      </c>
      <c r="AD1044" s="4">
        <v>200</v>
      </c>
      <c r="AE1044" s="4">
        <v>300</v>
      </c>
      <c r="AF1044" s="6">
        <v>64</v>
      </c>
      <c r="AG1044" s="6"/>
      <c r="AH1044" s="7">
        <v>1</v>
      </c>
      <c r="AI1044" s="4"/>
      <c r="AJ1044" s="4">
        <f>=ROUNDDOWN({0},0)</f>
      </c>
      <c r="AK1044" s="5"/>
      <c r="AL1044" s="2" t="s">
        <v>227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227</v>
      </c>
      <c r="AW1044" s="8" t="s">
        <v>227</v>
      </c>
      <c r="AX1044" s="4" t="s">
        <v>227</v>
      </c>
      <c r="AY1044" s="8" t="s">
        <v>227</v>
      </c>
      <c r="AZ1044" s="7" t="s">
        <v>227</v>
      </c>
      <c r="BA1044" s="7" t="s">
        <v>227</v>
      </c>
      <c r="BB1044" s="7"/>
      <c r="BC1044" s="4" t="s">
        <v>227</v>
      </c>
      <c r="BD1044" s="8" t="s">
        <v>227</v>
      </c>
      <c r="BE1044" s="4" t="s">
        <v>227</v>
      </c>
      <c r="BF1044" s="8" t="s">
        <v>227</v>
      </c>
      <c r="BG1044" s="7" t="s">
        <v>227</v>
      </c>
      <c r="BH1044" s="7" t="s">
        <v>227</v>
      </c>
      <c r="BI1044" s="7"/>
      <c r="BJ1044" s="4">
        <v>43</v>
      </c>
      <c r="BK1044" s="8">
        <v>631.53</v>
      </c>
      <c r="BL1044" s="2" t="s">
        <v>6074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6075</v>
      </c>
      <c r="BV1044" s="2" t="s">
        <v>227</v>
      </c>
      <c r="BW1044" s="2" t="s">
        <v>227</v>
      </c>
      <c r="BX1044" s="2" t="s">
        <v>235</v>
      </c>
      <c r="BY1044" s="2" t="s">
        <v>236</v>
      </c>
      <c r="BZ1044" s="2" t="s">
        <v>224</v>
      </c>
      <c r="CA1044" s="2" t="s">
        <v>237</v>
      </c>
      <c r="CB1044" s="2" t="s">
        <v>6076</v>
      </c>
      <c r="CC1044" s="2" t="s">
        <v>239</v>
      </c>
      <c r="CD1044" s="2" t="s">
        <v>227</v>
      </c>
      <c r="CE1044" s="4">
        <v>770</v>
      </c>
      <c r="CF1044" s="4"/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  <c r="EK1044" s="4"/>
      <c r="EL1044" s="4"/>
      <c r="EM1044" s="4"/>
      <c r="EN1044" s="4"/>
      <c r="EO1044" s="4"/>
      <c r="EP1044" s="4"/>
      <c r="EQ1044" s="4"/>
      <c r="ER1044" s="4"/>
      <c r="ES1044" s="4"/>
      <c r="ET1044" s="4"/>
      <c r="EU1044" s="4"/>
      <c r="EV1044" s="4"/>
      <c r="EW1044" s="4"/>
      <c r="EX1044" s="4"/>
      <c r="EY1044" s="4"/>
      <c r="EZ1044" s="4"/>
      <c r="FA1044" s="4"/>
      <c r="FB1044" s="4"/>
      <c r="FC1044" s="4"/>
      <c r="FD1044" s="4"/>
      <c r="FE1044" s="4">
        <v>200</v>
      </c>
      <c r="FF1044" s="4"/>
      <c r="FG1044" s="4"/>
      <c r="FH1044" s="4"/>
      <c r="FI1044" s="4"/>
      <c r="FJ1044" s="4"/>
      <c r="FK1044" s="4"/>
      <c r="FL1044" s="4"/>
      <c r="FM1044" s="4"/>
      <c r="FN1044" s="4"/>
      <c r="FO1044" s="4"/>
      <c r="FP1044" s="4"/>
      <c r="FQ1044" s="4"/>
      <c r="FR1044" s="4"/>
      <c r="FS1044" s="4"/>
      <c r="FT1044" s="4"/>
      <c r="FU1044" s="4"/>
      <c r="FV1044" s="4"/>
      <c r="FW1044" s="4"/>
      <c r="FX1044" s="4"/>
      <c r="FY1044" s="4"/>
      <c r="FZ1044" s="4"/>
      <c r="GA1044" s="4"/>
      <c r="GB1044" s="4"/>
      <c r="GC1044" s="4"/>
      <c r="GD1044" s="4"/>
      <c r="GE1044" s="4"/>
      <c r="GF1044" s="4"/>
      <c r="GG1044" s="4"/>
      <c r="GH1044" s="4"/>
      <c r="GI1044" s="4"/>
      <c r="GJ1044" s="4"/>
      <c r="GK1044" s="4"/>
      <c r="GL1044" s="4"/>
      <c r="GM1044" s="4"/>
      <c r="GN1044" s="4"/>
      <c r="GO1044" s="4"/>
      <c r="GP1044" s="4"/>
      <c r="GQ1044" s="4"/>
      <c r="GR1044" s="4"/>
      <c r="GS1044" s="4"/>
      <c r="GT1044" s="4"/>
      <c r="GU1044" s="4"/>
      <c r="GV1044" s="4"/>
      <c r="GW1044" s="4">
        <v>100</v>
      </c>
      <c r="GX1044" s="4"/>
    </row>
    <row r="1045">
      <c r="A1045" s="2" t="s">
        <v>6077</v>
      </c>
      <c r="B1045" s="2" t="s">
        <v>697</v>
      </c>
      <c r="C1045" s="2" t="s">
        <v>360</v>
      </c>
      <c r="D1045" s="2" t="s">
        <v>868</v>
      </c>
      <c r="E1045" s="2" t="s">
        <v>1334</v>
      </c>
      <c r="F1045" s="2" t="s">
        <v>6064</v>
      </c>
      <c r="G1045" s="2" t="s">
        <v>6065</v>
      </c>
      <c r="H1045" s="2" t="s">
        <v>6065</v>
      </c>
      <c r="I1045" s="2" t="s">
        <v>6078</v>
      </c>
      <c r="J1045" s="2" t="s">
        <v>2854</v>
      </c>
      <c r="K1045" s="2" t="s">
        <v>1428</v>
      </c>
      <c r="L1045" s="3">
        <v>15.91</v>
      </c>
      <c r="M1045" s="3">
        <v>16.71</v>
      </c>
      <c r="N1045" s="3">
        <v>36.99</v>
      </c>
      <c r="O1045" s="2" t="s">
        <v>224</v>
      </c>
      <c r="P1045" s="2" t="s">
        <v>550</v>
      </c>
      <c r="Q1045" s="2" t="s">
        <v>226</v>
      </c>
      <c r="R1045" s="2" t="s">
        <v>227</v>
      </c>
      <c r="S1045" s="2" t="s">
        <v>6073</v>
      </c>
      <c r="T1045" s="2" t="s">
        <v>876</v>
      </c>
      <c r="U1045" s="2" t="s">
        <v>227</v>
      </c>
      <c r="V1045" s="2" t="s">
        <v>1153</v>
      </c>
      <c r="W1045" s="2" t="s">
        <v>487</v>
      </c>
      <c r="X1045" s="2" t="s">
        <v>227</v>
      </c>
      <c r="Y1045" s="2" t="s">
        <v>232</v>
      </c>
      <c r="Z1045" s="4">
        <v>1306</v>
      </c>
      <c r="AA1045" s="4">
        <f>=ROUNDDOWN(40.8125,0)</f>
      </c>
      <c r="AB1045" s="5">
        <v>32</v>
      </c>
      <c r="AC1045" s="2" t="s">
        <v>1224</v>
      </c>
      <c r="AD1045" s="4">
        <v>800</v>
      </c>
      <c r="AE1045" s="4">
        <v>3000</v>
      </c>
      <c r="AF1045" s="6">
        <v>64</v>
      </c>
      <c r="AG1045" s="6"/>
      <c r="AH1045" s="7">
        <v>1</v>
      </c>
      <c r="AI1045" s="4"/>
      <c r="AJ1045" s="4">
        <f>=ROUNDDOWN({0},0)</f>
      </c>
      <c r="AK1045" s="5"/>
      <c r="AL1045" s="2" t="s">
        <v>227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227</v>
      </c>
      <c r="AW1045" s="8" t="s">
        <v>227</v>
      </c>
      <c r="AX1045" s="4" t="s">
        <v>227</v>
      </c>
      <c r="AY1045" s="8" t="s">
        <v>227</v>
      </c>
      <c r="AZ1045" s="7" t="s">
        <v>227</v>
      </c>
      <c r="BA1045" s="7" t="s">
        <v>227</v>
      </c>
      <c r="BB1045" s="7"/>
      <c r="BC1045" s="4" t="s">
        <v>227</v>
      </c>
      <c r="BD1045" s="8" t="s">
        <v>227</v>
      </c>
      <c r="BE1045" s="4" t="s">
        <v>227</v>
      </c>
      <c r="BF1045" s="8" t="s">
        <v>227</v>
      </c>
      <c r="BG1045" s="7" t="s">
        <v>227</v>
      </c>
      <c r="BH1045" s="7" t="s">
        <v>227</v>
      </c>
      <c r="BI1045" s="7"/>
      <c r="BJ1045" s="4">
        <v>120</v>
      </c>
      <c r="BK1045" s="8">
        <v>2013.97</v>
      </c>
      <c r="BL1045" s="2" t="s">
        <v>6079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6080</v>
      </c>
      <c r="BV1045" s="2" t="s">
        <v>227</v>
      </c>
      <c r="BW1045" s="2" t="s">
        <v>227</v>
      </c>
      <c r="BX1045" s="2" t="s">
        <v>235</v>
      </c>
      <c r="BY1045" s="2" t="s">
        <v>236</v>
      </c>
      <c r="BZ1045" s="2" t="s">
        <v>224</v>
      </c>
      <c r="CA1045" s="2" t="s">
        <v>237</v>
      </c>
      <c r="CB1045" s="2" t="s">
        <v>6081</v>
      </c>
      <c r="CC1045" s="2" t="s">
        <v>239</v>
      </c>
      <c r="CD1045" s="2" t="s">
        <v>227</v>
      </c>
      <c r="CE1045" s="4">
        <v>1306</v>
      </c>
      <c r="CF1045" s="4"/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>
        <v>800</v>
      </c>
      <c r="EB1045" s="4"/>
      <c r="EC1045" s="4"/>
      <c r="ED1045" s="4"/>
      <c r="EE1045" s="4"/>
      <c r="EF1045" s="4"/>
      <c r="EG1045" s="4"/>
      <c r="EH1045" s="4"/>
      <c r="EI1045" s="4"/>
      <c r="EJ1045" s="4"/>
      <c r="EK1045" s="4"/>
      <c r="EL1045" s="4"/>
      <c r="EM1045" s="4"/>
      <c r="EN1045" s="4"/>
      <c r="EO1045" s="4"/>
      <c r="EP1045" s="4"/>
      <c r="EQ1045" s="4"/>
      <c r="ER1045" s="4"/>
      <c r="ES1045" s="4"/>
      <c r="ET1045" s="4"/>
      <c r="EU1045" s="4"/>
      <c r="EV1045" s="4"/>
      <c r="EW1045" s="4"/>
      <c r="EX1045" s="4"/>
      <c r="EY1045" s="4"/>
      <c r="EZ1045" s="4"/>
      <c r="FA1045" s="4"/>
      <c r="FB1045" s="4"/>
      <c r="FC1045" s="4"/>
      <c r="FD1045" s="4"/>
      <c r="FE1045" s="4">
        <v>1400</v>
      </c>
      <c r="FF1045" s="4"/>
      <c r="FG1045" s="4"/>
      <c r="FH1045" s="4"/>
      <c r="FI1045" s="4"/>
      <c r="FJ1045" s="4"/>
      <c r="FK1045" s="4"/>
      <c r="FL1045" s="4"/>
      <c r="FM1045" s="4"/>
      <c r="FN1045" s="4"/>
      <c r="FO1045" s="4"/>
      <c r="FP1045" s="4"/>
      <c r="FQ1045" s="4"/>
      <c r="FR1045" s="4"/>
      <c r="FS1045" s="4"/>
      <c r="FT1045" s="4"/>
      <c r="FU1045" s="4"/>
      <c r="FV1045" s="4"/>
      <c r="FW1045" s="4">
        <v>500</v>
      </c>
      <c r="FX1045" s="4"/>
      <c r="FY1045" s="4"/>
      <c r="FZ1045" s="4"/>
      <c r="GA1045" s="4"/>
      <c r="GB1045" s="4"/>
      <c r="GC1045" s="4"/>
      <c r="GD1045" s="4"/>
      <c r="GE1045" s="4"/>
      <c r="GF1045" s="4"/>
      <c r="GG1045" s="4"/>
      <c r="GH1045" s="4"/>
      <c r="GI1045" s="4"/>
      <c r="GJ1045" s="4"/>
      <c r="GK1045" s="4"/>
      <c r="GL1045" s="4"/>
      <c r="GM1045" s="4"/>
      <c r="GN1045" s="4"/>
      <c r="GO1045" s="4"/>
      <c r="GP1045" s="4"/>
      <c r="GQ1045" s="4"/>
      <c r="GR1045" s="4"/>
      <c r="GS1045" s="4"/>
      <c r="GT1045" s="4"/>
      <c r="GU1045" s="4"/>
      <c r="GV1045" s="4"/>
      <c r="GW1045" s="4">
        <v>300</v>
      </c>
      <c r="GX1045" s="4"/>
    </row>
    <row r="1046">
      <c r="A1046" s="2" t="s">
        <v>6082</v>
      </c>
      <c r="B1046" s="2" t="s">
        <v>697</v>
      </c>
      <c r="C1046" s="2" t="s">
        <v>360</v>
      </c>
      <c r="D1046" s="2" t="s">
        <v>1027</v>
      </c>
      <c r="E1046" s="2" t="s">
        <v>2748</v>
      </c>
      <c r="F1046" s="2" t="s">
        <v>6064</v>
      </c>
      <c r="G1046" s="2" t="s">
        <v>6065</v>
      </c>
      <c r="H1046" s="2" t="s">
        <v>6065</v>
      </c>
      <c r="I1046" s="2" t="s">
        <v>2749</v>
      </c>
      <c r="J1046" s="2" t="s">
        <v>1434</v>
      </c>
      <c r="K1046" s="2" t="s">
        <v>410</v>
      </c>
      <c r="L1046" s="3">
        <v>14.83</v>
      </c>
      <c r="M1046" s="3">
        <v>15.57</v>
      </c>
      <c r="N1046" s="3">
        <v>31.99</v>
      </c>
      <c r="O1046" s="2" t="s">
        <v>224</v>
      </c>
      <c r="P1046" s="2" t="s">
        <v>550</v>
      </c>
      <c r="Q1046" s="2" t="s">
        <v>226</v>
      </c>
      <c r="R1046" s="2" t="s">
        <v>227</v>
      </c>
      <c r="S1046" s="2" t="s">
        <v>6083</v>
      </c>
      <c r="T1046" s="2" t="s">
        <v>876</v>
      </c>
      <c r="U1046" s="2" t="s">
        <v>227</v>
      </c>
      <c r="V1046" s="2" t="s">
        <v>1153</v>
      </c>
      <c r="W1046" s="2" t="s">
        <v>487</v>
      </c>
      <c r="X1046" s="2" t="s">
        <v>227</v>
      </c>
      <c r="Y1046" s="2" t="s">
        <v>5745</v>
      </c>
      <c r="Z1046" s="4">
        <v>1065</v>
      </c>
      <c r="AA1046" s="4">
        <f>=ROUNDDOWN(40.9615384615385,0)</f>
      </c>
      <c r="AB1046" s="5">
        <v>26</v>
      </c>
      <c r="AC1046" s="2" t="s">
        <v>1072</v>
      </c>
      <c r="AD1046" s="4">
        <v>200</v>
      </c>
      <c r="AE1046" s="4">
        <v>600</v>
      </c>
      <c r="AF1046" s="6">
        <v>64</v>
      </c>
      <c r="AG1046" s="6"/>
      <c r="AH1046" s="7">
        <v>1</v>
      </c>
      <c r="AI1046" s="4"/>
      <c r="AJ1046" s="4">
        <f>=ROUNDDOWN({0},0)</f>
      </c>
      <c r="AK1046" s="5"/>
      <c r="AL1046" s="2" t="s">
        <v>227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227</v>
      </c>
      <c r="AW1046" s="8" t="s">
        <v>227</v>
      </c>
      <c r="AX1046" s="4" t="s">
        <v>227</v>
      </c>
      <c r="AY1046" s="8" t="s">
        <v>227</v>
      </c>
      <c r="AZ1046" s="7" t="s">
        <v>227</v>
      </c>
      <c r="BA1046" s="7" t="s">
        <v>227</v>
      </c>
      <c r="BB1046" s="7"/>
      <c r="BC1046" s="4" t="s">
        <v>227</v>
      </c>
      <c r="BD1046" s="8" t="s">
        <v>227</v>
      </c>
      <c r="BE1046" s="4" t="s">
        <v>227</v>
      </c>
      <c r="BF1046" s="8" t="s">
        <v>227</v>
      </c>
      <c r="BG1046" s="7" t="s">
        <v>227</v>
      </c>
      <c r="BH1046" s="7" t="s">
        <v>227</v>
      </c>
      <c r="BI1046" s="7"/>
      <c r="BJ1046" s="4">
        <v>171</v>
      </c>
      <c r="BK1046" s="8">
        <v>2380.54</v>
      </c>
      <c r="BL1046" s="2" t="s">
        <v>6084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6085</v>
      </c>
      <c r="BV1046" s="2" t="s">
        <v>227</v>
      </c>
      <c r="BW1046" s="2" t="s">
        <v>227</v>
      </c>
      <c r="BX1046" s="2" t="s">
        <v>235</v>
      </c>
      <c r="BY1046" s="2" t="s">
        <v>236</v>
      </c>
      <c r="BZ1046" s="2" t="s">
        <v>224</v>
      </c>
      <c r="CA1046" s="2" t="s">
        <v>237</v>
      </c>
      <c r="CB1046" s="2" t="s">
        <v>888</v>
      </c>
      <c r="CC1046" s="2" t="s">
        <v>239</v>
      </c>
      <c r="CD1046" s="2" t="s">
        <v>227</v>
      </c>
      <c r="CE1046" s="4">
        <v>1065</v>
      </c>
      <c r="CF1046" s="4"/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>
        <v>200</v>
      </c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  <c r="EK1046" s="4"/>
      <c r="EL1046" s="4"/>
      <c r="EM1046" s="4"/>
      <c r="EN1046" s="4"/>
      <c r="EO1046" s="4"/>
      <c r="EP1046" s="4"/>
      <c r="EQ1046" s="4"/>
      <c r="ER1046" s="4">
        <v>100</v>
      </c>
      <c r="ES1046" s="4"/>
      <c r="ET1046" s="4"/>
      <c r="EU1046" s="4"/>
      <c r="EV1046" s="4"/>
      <c r="EW1046" s="4"/>
      <c r="EX1046" s="4"/>
      <c r="EY1046" s="4"/>
      <c r="EZ1046" s="4">
        <v>300</v>
      </c>
      <c r="FA1046" s="4"/>
      <c r="FB1046" s="4"/>
      <c r="FC1046" s="4"/>
      <c r="FD1046" s="4"/>
      <c r="FE1046" s="4"/>
      <c r="FF1046" s="4"/>
      <c r="FG1046" s="4"/>
      <c r="FH1046" s="4"/>
      <c r="FI1046" s="4"/>
      <c r="FJ1046" s="4"/>
      <c r="FK1046" s="4"/>
      <c r="FL1046" s="4"/>
      <c r="FM1046" s="4"/>
      <c r="FN1046" s="4"/>
      <c r="FO1046" s="4"/>
      <c r="FP1046" s="4"/>
      <c r="FQ1046" s="4"/>
      <c r="FR1046" s="4"/>
      <c r="FS1046" s="4"/>
      <c r="FT1046" s="4"/>
      <c r="FU1046" s="4"/>
      <c r="FV1046" s="4"/>
      <c r="FW1046" s="4"/>
      <c r="FX1046" s="4"/>
      <c r="FY1046" s="4"/>
      <c r="FZ1046" s="4"/>
      <c r="GA1046" s="4"/>
      <c r="GB1046" s="4"/>
      <c r="GC1046" s="4"/>
      <c r="GD1046" s="4"/>
      <c r="GE1046" s="4"/>
      <c r="GF1046" s="4"/>
      <c r="GG1046" s="4"/>
      <c r="GH1046" s="4"/>
      <c r="GI1046" s="4"/>
      <c r="GJ1046" s="4"/>
      <c r="GK1046" s="4"/>
      <c r="GL1046" s="4"/>
      <c r="GM1046" s="4"/>
      <c r="GN1046" s="4"/>
      <c r="GO1046" s="4"/>
      <c r="GP1046" s="4"/>
      <c r="GQ1046" s="4"/>
      <c r="GR1046" s="4"/>
      <c r="GS1046" s="4"/>
      <c r="GT1046" s="4"/>
      <c r="GU1046" s="4"/>
      <c r="GV1046" s="4"/>
      <c r="GW1046" s="4"/>
      <c r="GX1046" s="4"/>
    </row>
    <row r="1047">
      <c r="A1047" s="2" t="s">
        <v>6086</v>
      </c>
      <c r="B1047" s="2" t="s">
        <v>697</v>
      </c>
      <c r="C1047" s="2" t="s">
        <v>360</v>
      </c>
      <c r="D1047" s="2" t="s">
        <v>868</v>
      </c>
      <c r="E1047" s="2" t="s">
        <v>1334</v>
      </c>
      <c r="F1047" s="2" t="s">
        <v>6064</v>
      </c>
      <c r="G1047" s="2" t="s">
        <v>6065</v>
      </c>
      <c r="H1047" s="2" t="s">
        <v>6065</v>
      </c>
      <c r="I1047" s="2" t="s">
        <v>6078</v>
      </c>
      <c r="J1047" s="2" t="s">
        <v>2854</v>
      </c>
      <c r="K1047" s="2" t="s">
        <v>410</v>
      </c>
      <c r="L1047" s="3">
        <v>15.91</v>
      </c>
      <c r="M1047" s="3">
        <v>16.71</v>
      </c>
      <c r="N1047" s="3">
        <v>36.99</v>
      </c>
      <c r="O1047" s="2" t="s">
        <v>224</v>
      </c>
      <c r="P1047" s="2" t="s">
        <v>550</v>
      </c>
      <c r="Q1047" s="2" t="s">
        <v>226</v>
      </c>
      <c r="R1047" s="2" t="s">
        <v>227</v>
      </c>
      <c r="S1047" s="2" t="s">
        <v>6083</v>
      </c>
      <c r="T1047" s="2" t="s">
        <v>876</v>
      </c>
      <c r="U1047" s="2" t="s">
        <v>227</v>
      </c>
      <c r="V1047" s="2" t="s">
        <v>288</v>
      </c>
      <c r="W1047" s="2" t="s">
        <v>487</v>
      </c>
      <c r="X1047" s="2" t="s">
        <v>227</v>
      </c>
      <c r="Y1047" s="2" t="s">
        <v>5745</v>
      </c>
      <c r="Z1047" s="4">
        <v>1023</v>
      </c>
      <c r="AA1047" s="4">
        <f>=ROUNDDOWN(18.9444444444444,0)</f>
      </c>
      <c r="AB1047" s="5">
        <v>54</v>
      </c>
      <c r="AC1047" s="2" t="s">
        <v>1266</v>
      </c>
      <c r="AD1047" s="4">
        <v>700</v>
      </c>
      <c r="AE1047" s="4">
        <v>4900</v>
      </c>
      <c r="AF1047" s="6">
        <v>64</v>
      </c>
      <c r="AG1047" s="6">
        <v>47</v>
      </c>
      <c r="AH1047" s="7">
        <v>1</v>
      </c>
      <c r="AI1047" s="4"/>
      <c r="AJ1047" s="4">
        <f>=ROUNDDOWN({0},0)</f>
      </c>
      <c r="AK1047" s="5"/>
      <c r="AL1047" s="2" t="s">
        <v>227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227</v>
      </c>
      <c r="AW1047" s="8" t="s">
        <v>227</v>
      </c>
      <c r="AX1047" s="4" t="s">
        <v>227</v>
      </c>
      <c r="AY1047" s="8" t="s">
        <v>227</v>
      </c>
      <c r="AZ1047" s="7" t="s">
        <v>227</v>
      </c>
      <c r="BA1047" s="7" t="s">
        <v>227</v>
      </c>
      <c r="BB1047" s="7"/>
      <c r="BC1047" s="4" t="s">
        <v>227</v>
      </c>
      <c r="BD1047" s="8" t="s">
        <v>227</v>
      </c>
      <c r="BE1047" s="4" t="s">
        <v>227</v>
      </c>
      <c r="BF1047" s="8" t="s">
        <v>227</v>
      </c>
      <c r="BG1047" s="7" t="s">
        <v>227</v>
      </c>
      <c r="BH1047" s="7" t="s">
        <v>227</v>
      </c>
      <c r="BI1047" s="7"/>
      <c r="BJ1047" s="4">
        <v>435</v>
      </c>
      <c r="BK1047" s="8">
        <v>7636.05</v>
      </c>
      <c r="BL1047" s="2" t="s">
        <v>6087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6088</v>
      </c>
      <c r="BV1047" s="2" t="s">
        <v>227</v>
      </c>
      <c r="BW1047" s="2" t="s">
        <v>227</v>
      </c>
      <c r="BX1047" s="2" t="s">
        <v>235</v>
      </c>
      <c r="BY1047" s="2" t="s">
        <v>236</v>
      </c>
      <c r="BZ1047" s="2" t="s">
        <v>224</v>
      </c>
      <c r="CA1047" s="2" t="s">
        <v>237</v>
      </c>
      <c r="CB1047" s="2" t="s">
        <v>679</v>
      </c>
      <c r="CC1047" s="2" t="s">
        <v>239</v>
      </c>
      <c r="CD1047" s="2" t="s">
        <v>227</v>
      </c>
      <c r="CE1047" s="4">
        <v>699</v>
      </c>
      <c r="CF1047" s="4"/>
      <c r="CG1047" s="4"/>
      <c r="CH1047" s="4">
        <v>324</v>
      </c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>
        <v>700</v>
      </c>
      <c r="DS1047" s="4"/>
      <c r="DT1047" s="4"/>
      <c r="DU1047" s="4"/>
      <c r="DV1047" s="4"/>
      <c r="DW1047" s="4"/>
      <c r="DX1047" s="4"/>
      <c r="DY1047" s="4"/>
      <c r="DZ1047" s="4"/>
      <c r="EA1047" s="4">
        <v>800</v>
      </c>
      <c r="EB1047" s="4"/>
      <c r="EC1047" s="4"/>
      <c r="ED1047" s="4"/>
      <c r="EE1047" s="4"/>
      <c r="EF1047" s="4"/>
      <c r="EG1047" s="4"/>
      <c r="EH1047" s="4"/>
      <c r="EI1047" s="4"/>
      <c r="EJ1047" s="4"/>
      <c r="EK1047" s="4"/>
      <c r="EL1047" s="4"/>
      <c r="EM1047" s="4"/>
      <c r="EN1047" s="4"/>
      <c r="EO1047" s="4"/>
      <c r="EP1047" s="4"/>
      <c r="EQ1047" s="4"/>
      <c r="ER1047" s="4">
        <v>1200</v>
      </c>
      <c r="ES1047" s="4"/>
      <c r="ET1047" s="4"/>
      <c r="EU1047" s="4"/>
      <c r="EV1047" s="4"/>
      <c r="EW1047" s="4"/>
      <c r="EX1047" s="4"/>
      <c r="EY1047" s="4"/>
      <c r="EZ1047" s="4">
        <v>600</v>
      </c>
      <c r="FA1047" s="4"/>
      <c r="FB1047" s="4"/>
      <c r="FC1047" s="4"/>
      <c r="FD1047" s="4"/>
      <c r="FE1047" s="4"/>
      <c r="FF1047" s="4"/>
      <c r="FG1047" s="4"/>
      <c r="FH1047" s="4"/>
      <c r="FI1047" s="4"/>
      <c r="FJ1047" s="4"/>
      <c r="FK1047" s="4"/>
      <c r="FL1047" s="4"/>
      <c r="FM1047" s="4"/>
      <c r="FN1047" s="4"/>
      <c r="FO1047" s="4"/>
      <c r="FP1047" s="4"/>
      <c r="FQ1047" s="4"/>
      <c r="FR1047" s="4"/>
      <c r="FS1047" s="4"/>
      <c r="FT1047" s="4"/>
      <c r="FU1047" s="4"/>
      <c r="FV1047" s="4"/>
      <c r="FW1047" s="4">
        <v>800</v>
      </c>
      <c r="FX1047" s="4"/>
      <c r="FY1047" s="4"/>
      <c r="FZ1047" s="4"/>
      <c r="GA1047" s="4"/>
      <c r="GB1047" s="4"/>
      <c r="GC1047" s="4"/>
      <c r="GD1047" s="4"/>
      <c r="GE1047" s="4"/>
      <c r="GF1047" s="4"/>
      <c r="GG1047" s="4"/>
      <c r="GH1047" s="4"/>
      <c r="GI1047" s="4"/>
      <c r="GJ1047" s="4"/>
      <c r="GK1047" s="4"/>
      <c r="GL1047" s="4"/>
      <c r="GM1047" s="4">
        <v>500</v>
      </c>
      <c r="GN1047" s="4"/>
      <c r="GO1047" s="4"/>
      <c r="GP1047" s="4"/>
      <c r="GQ1047" s="4"/>
      <c r="GR1047" s="4"/>
      <c r="GS1047" s="4"/>
      <c r="GT1047" s="4"/>
      <c r="GU1047" s="4"/>
      <c r="GV1047" s="4"/>
      <c r="GW1047" s="4"/>
      <c r="GX1047" s="4">
        <v>300</v>
      </c>
    </row>
    <row r="1048">
      <c r="A1048" s="2" t="s">
        <v>6089</v>
      </c>
      <c r="B1048" s="2" t="s">
        <v>697</v>
      </c>
      <c r="C1048" s="2" t="s">
        <v>360</v>
      </c>
      <c r="D1048" s="2" t="s">
        <v>868</v>
      </c>
      <c r="E1048" s="2" t="s">
        <v>1334</v>
      </c>
      <c r="F1048" s="2" t="s">
        <v>6064</v>
      </c>
      <c r="G1048" s="2" t="s">
        <v>6065</v>
      </c>
      <c r="H1048" s="2" t="s">
        <v>6065</v>
      </c>
      <c r="I1048" s="2" t="s">
        <v>6078</v>
      </c>
      <c r="J1048" s="2" t="s">
        <v>2854</v>
      </c>
      <c r="K1048" s="2" t="s">
        <v>6090</v>
      </c>
      <c r="L1048" s="3">
        <v>15.91</v>
      </c>
      <c r="M1048" s="3">
        <v>16.71</v>
      </c>
      <c r="N1048" s="3">
        <v>36.99</v>
      </c>
      <c r="O1048" s="2" t="s">
        <v>224</v>
      </c>
      <c r="P1048" s="2" t="s">
        <v>225</v>
      </c>
      <c r="Q1048" s="2" t="s">
        <v>226</v>
      </c>
      <c r="R1048" s="2" t="s">
        <v>227</v>
      </c>
      <c r="S1048" s="2" t="s">
        <v>6091</v>
      </c>
      <c r="T1048" s="2" t="s">
        <v>876</v>
      </c>
      <c r="U1048" s="2" t="s">
        <v>552</v>
      </c>
      <c r="V1048" s="2" t="s">
        <v>1153</v>
      </c>
      <c r="W1048" s="2" t="s">
        <v>487</v>
      </c>
      <c r="X1048" s="2" t="s">
        <v>227</v>
      </c>
      <c r="Y1048" s="2" t="s">
        <v>2945</v>
      </c>
      <c r="Z1048" s="4">
        <v>476</v>
      </c>
      <c r="AA1048" s="4">
        <f>=ROUNDDOWN(19.8333333333333,0)</f>
      </c>
      <c r="AB1048" s="5">
        <v>24</v>
      </c>
      <c r="AC1048" s="2" t="s">
        <v>1072</v>
      </c>
      <c r="AD1048" s="4">
        <v>800</v>
      </c>
      <c r="AE1048" s="4">
        <v>2400</v>
      </c>
      <c r="AF1048" s="6">
        <v>64</v>
      </c>
      <c r="AG1048" s="6"/>
      <c r="AH1048" s="7">
        <v>1</v>
      </c>
      <c r="AI1048" s="4"/>
      <c r="AJ1048" s="4">
        <f>=ROUNDDOWN({0},0)</f>
      </c>
      <c r="AK1048" s="5"/>
      <c r="AL1048" s="2" t="s">
        <v>227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/>
      <c r="AW1048" s="8"/>
      <c r="AX1048" s="4"/>
      <c r="AY1048" s="8"/>
      <c r="AZ1048" s="7"/>
      <c r="BA1048" s="7"/>
      <c r="BB1048" s="7"/>
      <c r="BC1048" s="4" t="s">
        <v>227</v>
      </c>
      <c r="BD1048" s="8" t="s">
        <v>227</v>
      </c>
      <c r="BE1048" s="4" t="s">
        <v>227</v>
      </c>
      <c r="BF1048" s="8" t="s">
        <v>227</v>
      </c>
      <c r="BG1048" s="7" t="s">
        <v>227</v>
      </c>
      <c r="BH1048" s="7" t="s">
        <v>227</v>
      </c>
      <c r="BI1048" s="7"/>
      <c r="BJ1048" s="4">
        <v>149</v>
      </c>
      <c r="BK1048" s="8">
        <v>2596.32</v>
      </c>
      <c r="BL1048" s="2" t="s">
        <v>6092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6093</v>
      </c>
      <c r="BV1048" s="2" t="s">
        <v>227</v>
      </c>
      <c r="BW1048" s="2" t="s">
        <v>227</v>
      </c>
      <c r="BX1048" s="2" t="s">
        <v>235</v>
      </c>
      <c r="BY1048" s="2" t="s">
        <v>236</v>
      </c>
      <c r="BZ1048" s="2" t="s">
        <v>224</v>
      </c>
      <c r="CA1048" s="2" t="s">
        <v>3043</v>
      </c>
      <c r="CB1048" s="2" t="s">
        <v>4079</v>
      </c>
      <c r="CC1048" s="2" t="s">
        <v>239</v>
      </c>
      <c r="CD1048" s="2" t="s">
        <v>227</v>
      </c>
      <c r="CE1048" s="4">
        <v>476</v>
      </c>
      <c r="CF1048" s="4"/>
      <c r="CG1048" s="4"/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>
        <v>800</v>
      </c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  <c r="EK1048" s="4"/>
      <c r="EL1048" s="4"/>
      <c r="EM1048" s="4"/>
      <c r="EN1048" s="4"/>
      <c r="EO1048" s="4"/>
      <c r="EP1048" s="4"/>
      <c r="EQ1048" s="4"/>
      <c r="ER1048" s="4"/>
      <c r="ES1048" s="4"/>
      <c r="ET1048" s="4"/>
      <c r="EU1048" s="4"/>
      <c r="EV1048" s="4"/>
      <c r="EW1048" s="4"/>
      <c r="EX1048" s="4"/>
      <c r="EY1048" s="4"/>
      <c r="EZ1048" s="4">
        <v>800</v>
      </c>
      <c r="FA1048" s="4"/>
      <c r="FB1048" s="4"/>
      <c r="FC1048" s="4"/>
      <c r="FD1048" s="4"/>
      <c r="FE1048" s="4"/>
      <c r="FF1048" s="4"/>
      <c r="FG1048" s="4"/>
      <c r="FH1048" s="4"/>
      <c r="FI1048" s="4"/>
      <c r="FJ1048" s="4"/>
      <c r="FK1048" s="4"/>
      <c r="FL1048" s="4"/>
      <c r="FM1048" s="4"/>
      <c r="FN1048" s="4"/>
      <c r="FO1048" s="4"/>
      <c r="FP1048" s="4"/>
      <c r="FQ1048" s="4"/>
      <c r="FR1048" s="4"/>
      <c r="FS1048" s="4"/>
      <c r="FT1048" s="4"/>
      <c r="FU1048" s="4"/>
      <c r="FV1048" s="4"/>
      <c r="FW1048" s="4">
        <v>500</v>
      </c>
      <c r="FX1048" s="4"/>
      <c r="FY1048" s="4"/>
      <c r="FZ1048" s="4"/>
      <c r="GA1048" s="4"/>
      <c r="GB1048" s="4"/>
      <c r="GC1048" s="4"/>
      <c r="GD1048" s="4"/>
      <c r="GE1048" s="4"/>
      <c r="GF1048" s="4"/>
      <c r="GG1048" s="4"/>
      <c r="GH1048" s="4"/>
      <c r="GI1048" s="4"/>
      <c r="GJ1048" s="4"/>
      <c r="GK1048" s="4"/>
      <c r="GL1048" s="4"/>
      <c r="GM1048" s="4"/>
      <c r="GN1048" s="4"/>
      <c r="GO1048" s="4"/>
      <c r="GP1048" s="4"/>
      <c r="GQ1048" s="4"/>
      <c r="GR1048" s="4"/>
      <c r="GS1048" s="4">
        <v>300</v>
      </c>
      <c r="GT1048" s="4"/>
      <c r="GU1048" s="4"/>
      <c r="GV1048" s="4"/>
      <c r="GW1048" s="4"/>
      <c r="GX1048" s="4"/>
    </row>
    <row r="1049">
      <c r="A1049" s="2" t="s">
        <v>6094</v>
      </c>
      <c r="B1049" s="2" t="s">
        <v>697</v>
      </c>
      <c r="C1049" s="2" t="s">
        <v>360</v>
      </c>
      <c r="D1049" s="2" t="s">
        <v>1027</v>
      </c>
      <c r="E1049" s="2" t="s">
        <v>2748</v>
      </c>
      <c r="F1049" s="2" t="s">
        <v>6064</v>
      </c>
      <c r="G1049" s="2" t="s">
        <v>6065</v>
      </c>
      <c r="H1049" s="2" t="s">
        <v>6065</v>
      </c>
      <c r="I1049" s="2" t="s">
        <v>2749</v>
      </c>
      <c r="J1049" s="2" t="s">
        <v>1434</v>
      </c>
      <c r="K1049" s="2" t="s">
        <v>5104</v>
      </c>
      <c r="L1049" s="3">
        <v>14.83</v>
      </c>
      <c r="M1049" s="3">
        <v>15.57</v>
      </c>
      <c r="N1049" s="3">
        <v>31.99</v>
      </c>
      <c r="O1049" s="2" t="s">
        <v>224</v>
      </c>
      <c r="P1049" s="2" t="s">
        <v>225</v>
      </c>
      <c r="Q1049" s="2" t="s">
        <v>226</v>
      </c>
      <c r="R1049" s="2" t="s">
        <v>227</v>
      </c>
      <c r="S1049" s="2" t="s">
        <v>6095</v>
      </c>
      <c r="T1049" s="2" t="s">
        <v>876</v>
      </c>
      <c r="U1049" s="2" t="s">
        <v>227</v>
      </c>
      <c r="V1049" s="2" t="s">
        <v>1153</v>
      </c>
      <c r="W1049" s="2" t="s">
        <v>487</v>
      </c>
      <c r="X1049" s="2" t="s">
        <v>227</v>
      </c>
      <c r="Y1049" s="2" t="s">
        <v>5156</v>
      </c>
      <c r="Z1049" s="4">
        <v>869</v>
      </c>
      <c r="AA1049" s="4">
        <f>=ROUNDDOWN(54.3125,0)</f>
      </c>
      <c r="AB1049" s="5">
        <v>16</v>
      </c>
      <c r="AC1049" s="2" t="s">
        <v>187</v>
      </c>
      <c r="AD1049" s="4">
        <v>100</v>
      </c>
      <c r="AE1049" s="4">
        <v>200</v>
      </c>
      <c r="AF1049" s="6">
        <v>64</v>
      </c>
      <c r="AG1049" s="6"/>
      <c r="AH1049" s="7">
        <v>1</v>
      </c>
      <c r="AI1049" s="4"/>
      <c r="AJ1049" s="4">
        <f>=ROUNDDOWN({0},0)</f>
      </c>
      <c r="AK1049" s="5"/>
      <c r="AL1049" s="2" t="s">
        <v>227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/>
      <c r="AW1049" s="8"/>
      <c r="AX1049" s="4"/>
      <c r="AY1049" s="8"/>
      <c r="AZ1049" s="7"/>
      <c r="BA1049" s="7"/>
      <c r="BB1049" s="7"/>
      <c r="BC1049" s="4" t="s">
        <v>227</v>
      </c>
      <c r="BD1049" s="8" t="s">
        <v>227</v>
      </c>
      <c r="BE1049" s="4" t="s">
        <v>227</v>
      </c>
      <c r="BF1049" s="8" t="s">
        <v>227</v>
      </c>
      <c r="BG1049" s="7" t="s">
        <v>227</v>
      </c>
      <c r="BH1049" s="7" t="s">
        <v>227</v>
      </c>
      <c r="BI1049" s="7"/>
      <c r="BJ1049" s="4">
        <v>67</v>
      </c>
      <c r="BK1049" s="8">
        <v>981.69</v>
      </c>
      <c r="BL1049" s="2" t="s">
        <v>6096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6097</v>
      </c>
      <c r="BV1049" s="2" t="s">
        <v>227</v>
      </c>
      <c r="BW1049" s="2" t="s">
        <v>227</v>
      </c>
      <c r="BX1049" s="2" t="s">
        <v>235</v>
      </c>
      <c r="BY1049" s="2" t="s">
        <v>236</v>
      </c>
      <c r="BZ1049" s="2" t="s">
        <v>224</v>
      </c>
      <c r="CA1049" s="2" t="s">
        <v>2185</v>
      </c>
      <c r="CB1049" s="2" t="s">
        <v>2619</v>
      </c>
      <c r="CC1049" s="2" t="s">
        <v>239</v>
      </c>
      <c r="CD1049" s="2" t="s">
        <v>227</v>
      </c>
      <c r="CE1049" s="4">
        <v>869</v>
      </c>
      <c r="CF1049" s="4"/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  <c r="EM1049" s="4"/>
      <c r="EN1049" s="4"/>
      <c r="EO1049" s="4"/>
      <c r="EP1049" s="4"/>
      <c r="EQ1049" s="4"/>
      <c r="ER1049" s="4"/>
      <c r="ES1049" s="4"/>
      <c r="ET1049" s="4"/>
      <c r="EU1049" s="4"/>
      <c r="EV1049" s="4"/>
      <c r="EW1049" s="4"/>
      <c r="EX1049" s="4"/>
      <c r="EY1049" s="4"/>
      <c r="EZ1049" s="4"/>
      <c r="FA1049" s="4"/>
      <c r="FB1049" s="4"/>
      <c r="FC1049" s="4"/>
      <c r="FD1049" s="4"/>
      <c r="FE1049" s="4"/>
      <c r="FF1049" s="4"/>
      <c r="FG1049" s="4"/>
      <c r="FH1049" s="4"/>
      <c r="FI1049" s="4"/>
      <c r="FJ1049" s="4"/>
      <c r="FK1049" s="4"/>
      <c r="FL1049" s="4"/>
      <c r="FM1049" s="4"/>
      <c r="FN1049" s="4"/>
      <c r="FO1049" s="4"/>
      <c r="FP1049" s="4"/>
      <c r="FQ1049" s="4"/>
      <c r="FR1049" s="4"/>
      <c r="FS1049" s="4"/>
      <c r="FT1049" s="4"/>
      <c r="FU1049" s="4"/>
      <c r="FV1049" s="4"/>
      <c r="FW1049" s="4">
        <v>100</v>
      </c>
      <c r="FX1049" s="4"/>
      <c r="FY1049" s="4"/>
      <c r="FZ1049" s="4"/>
      <c r="GA1049" s="4"/>
      <c r="GB1049" s="4"/>
      <c r="GC1049" s="4"/>
      <c r="GD1049" s="4"/>
      <c r="GE1049" s="4"/>
      <c r="GF1049" s="4"/>
      <c r="GG1049" s="4"/>
      <c r="GH1049" s="4"/>
      <c r="GI1049" s="4"/>
      <c r="GJ1049" s="4"/>
      <c r="GK1049" s="4"/>
      <c r="GL1049" s="4"/>
      <c r="GM1049" s="4"/>
      <c r="GN1049" s="4"/>
      <c r="GO1049" s="4"/>
      <c r="GP1049" s="4"/>
      <c r="GQ1049" s="4"/>
      <c r="GR1049" s="4"/>
      <c r="GS1049" s="4">
        <v>100</v>
      </c>
      <c r="GT1049" s="4"/>
      <c r="GU1049" s="4"/>
      <c r="GV1049" s="4"/>
      <c r="GW1049" s="4"/>
      <c r="GX1049" s="4"/>
    </row>
    <row r="1050">
      <c r="A1050" s="2" t="s">
        <v>6098</v>
      </c>
      <c r="B1050" s="2" t="s">
        <v>697</v>
      </c>
      <c r="C1050" s="2" t="s">
        <v>360</v>
      </c>
      <c r="D1050" s="2" t="s">
        <v>1027</v>
      </c>
      <c r="E1050" s="2" t="s">
        <v>2748</v>
      </c>
      <c r="F1050" s="2" t="s">
        <v>6064</v>
      </c>
      <c r="G1050" s="2" t="s">
        <v>6065</v>
      </c>
      <c r="H1050" s="2" t="s">
        <v>6065</v>
      </c>
      <c r="I1050" s="2" t="s">
        <v>2749</v>
      </c>
      <c r="J1050" s="2" t="s">
        <v>1434</v>
      </c>
      <c r="K1050" s="2" t="s">
        <v>6099</v>
      </c>
      <c r="L1050" s="3">
        <v>14.83</v>
      </c>
      <c r="M1050" s="3">
        <v>15.57</v>
      </c>
      <c r="N1050" s="3">
        <v>31.99</v>
      </c>
      <c r="O1050" s="2" t="s">
        <v>224</v>
      </c>
      <c r="P1050" s="2" t="s">
        <v>225</v>
      </c>
      <c r="Q1050" s="2" t="s">
        <v>226</v>
      </c>
      <c r="R1050" s="2" t="s">
        <v>227</v>
      </c>
      <c r="S1050" s="2" t="s">
        <v>6100</v>
      </c>
      <c r="T1050" s="2" t="s">
        <v>876</v>
      </c>
      <c r="U1050" s="2" t="s">
        <v>552</v>
      </c>
      <c r="V1050" s="2" t="s">
        <v>1153</v>
      </c>
      <c r="W1050" s="2" t="s">
        <v>487</v>
      </c>
      <c r="X1050" s="2" t="s">
        <v>227</v>
      </c>
      <c r="Y1050" s="2" t="s">
        <v>6101</v>
      </c>
      <c r="Z1050" s="4">
        <v>402</v>
      </c>
      <c r="AA1050" s="4">
        <f>=ROUNDDOWN(23.6470588235294,0)</f>
      </c>
      <c r="AB1050" s="5">
        <v>17</v>
      </c>
      <c r="AC1050" s="2" t="s">
        <v>1072</v>
      </c>
      <c r="AD1050" s="4">
        <v>150</v>
      </c>
      <c r="AE1050" s="4">
        <v>650</v>
      </c>
      <c r="AF1050" s="6">
        <v>64</v>
      </c>
      <c r="AG1050" s="6"/>
      <c r="AH1050" s="7">
        <v>1</v>
      </c>
      <c r="AI1050" s="4"/>
      <c r="AJ1050" s="4">
        <f>=ROUNDDOWN({0},0)</f>
      </c>
      <c r="AK1050" s="5"/>
      <c r="AL1050" s="2" t="s">
        <v>227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227</v>
      </c>
      <c r="AW1050" s="8" t="s">
        <v>227</v>
      </c>
      <c r="AX1050" s="4" t="s">
        <v>227</v>
      </c>
      <c r="AY1050" s="8" t="s">
        <v>227</v>
      </c>
      <c r="AZ1050" s="7" t="s">
        <v>227</v>
      </c>
      <c r="BA1050" s="7" t="s">
        <v>227</v>
      </c>
      <c r="BB1050" s="7"/>
      <c r="BC1050" s="4" t="s">
        <v>227</v>
      </c>
      <c r="BD1050" s="8" t="s">
        <v>227</v>
      </c>
      <c r="BE1050" s="4" t="s">
        <v>227</v>
      </c>
      <c r="BF1050" s="8" t="s">
        <v>227</v>
      </c>
      <c r="BG1050" s="7" t="s">
        <v>227</v>
      </c>
      <c r="BH1050" s="7" t="s">
        <v>227</v>
      </c>
      <c r="BI1050" s="7"/>
      <c r="BJ1050" s="4">
        <v>54</v>
      </c>
      <c r="BK1050" s="8">
        <v>809.17</v>
      </c>
      <c r="BL1050" s="2" t="s">
        <v>6102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6103</v>
      </c>
      <c r="BV1050" s="2" t="s">
        <v>227</v>
      </c>
      <c r="BW1050" s="2" t="s">
        <v>227</v>
      </c>
      <c r="BX1050" s="2" t="s">
        <v>235</v>
      </c>
      <c r="BY1050" s="2" t="s">
        <v>236</v>
      </c>
      <c r="BZ1050" s="2" t="s">
        <v>224</v>
      </c>
      <c r="CA1050" s="2" t="s">
        <v>6104</v>
      </c>
      <c r="CB1050" s="2" t="s">
        <v>6105</v>
      </c>
      <c r="CC1050" s="2" t="s">
        <v>239</v>
      </c>
      <c r="CD1050" s="2" t="s">
        <v>227</v>
      </c>
      <c r="CE1050" s="4">
        <v>402</v>
      </c>
      <c r="CF1050" s="4"/>
      <c r="CG1050" s="4"/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>
        <v>150</v>
      </c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  <c r="EK1050" s="4"/>
      <c r="EL1050" s="4"/>
      <c r="EM1050" s="4"/>
      <c r="EN1050" s="4"/>
      <c r="EO1050" s="4"/>
      <c r="EP1050" s="4"/>
      <c r="EQ1050" s="4"/>
      <c r="ER1050" s="4">
        <v>100</v>
      </c>
      <c r="ES1050" s="4"/>
      <c r="ET1050" s="4"/>
      <c r="EU1050" s="4"/>
      <c r="EV1050" s="4"/>
      <c r="EW1050" s="4"/>
      <c r="EX1050" s="4"/>
      <c r="EY1050" s="4"/>
      <c r="EZ1050" s="4"/>
      <c r="FA1050" s="4"/>
      <c r="FB1050" s="4"/>
      <c r="FC1050" s="4"/>
      <c r="FD1050" s="4"/>
      <c r="FE1050" s="4">
        <v>400</v>
      </c>
      <c r="FF1050" s="4"/>
      <c r="FG1050" s="4"/>
      <c r="FH1050" s="4"/>
      <c r="FI1050" s="4"/>
      <c r="FJ1050" s="4"/>
      <c r="FK1050" s="4"/>
      <c r="FL1050" s="4"/>
      <c r="FM1050" s="4"/>
      <c r="FN1050" s="4"/>
      <c r="FO1050" s="4"/>
      <c r="FP1050" s="4"/>
      <c r="FQ1050" s="4"/>
      <c r="FR1050" s="4"/>
      <c r="FS1050" s="4"/>
      <c r="FT1050" s="4"/>
      <c r="FU1050" s="4"/>
      <c r="FV1050" s="4"/>
      <c r="FW1050" s="4"/>
      <c r="FX1050" s="4"/>
      <c r="FY1050" s="4"/>
      <c r="FZ1050" s="4"/>
      <c r="GA1050" s="4"/>
      <c r="GB1050" s="4"/>
      <c r="GC1050" s="4"/>
      <c r="GD1050" s="4"/>
      <c r="GE1050" s="4"/>
      <c r="GF1050" s="4"/>
      <c r="GG1050" s="4"/>
      <c r="GH1050" s="4"/>
      <c r="GI1050" s="4"/>
      <c r="GJ1050" s="4"/>
      <c r="GK1050" s="4"/>
      <c r="GL1050" s="4"/>
      <c r="GM1050" s="4"/>
      <c r="GN1050" s="4"/>
      <c r="GO1050" s="4"/>
      <c r="GP1050" s="4"/>
      <c r="GQ1050" s="4"/>
      <c r="GR1050" s="4"/>
      <c r="GS1050" s="4"/>
      <c r="GT1050" s="4"/>
      <c r="GU1050" s="4"/>
      <c r="GV1050" s="4"/>
      <c r="GW1050" s="4"/>
      <c r="GX1050" s="4"/>
    </row>
    <row r="1051">
      <c r="A1051" s="2" t="s">
        <v>6106</v>
      </c>
      <c r="B1051" s="2" t="s">
        <v>697</v>
      </c>
      <c r="C1051" s="2" t="s">
        <v>360</v>
      </c>
      <c r="D1051" s="2" t="s">
        <v>868</v>
      </c>
      <c r="E1051" s="2" t="s">
        <v>1334</v>
      </c>
      <c r="F1051" s="2" t="s">
        <v>6064</v>
      </c>
      <c r="G1051" s="2" t="s">
        <v>6065</v>
      </c>
      <c r="H1051" s="2" t="s">
        <v>6065</v>
      </c>
      <c r="I1051" s="2" t="s">
        <v>6078</v>
      </c>
      <c r="J1051" s="2" t="s">
        <v>2854</v>
      </c>
      <c r="K1051" s="2" t="s">
        <v>6099</v>
      </c>
      <c r="L1051" s="3">
        <v>15.91</v>
      </c>
      <c r="M1051" s="3">
        <v>16.71</v>
      </c>
      <c r="N1051" s="3">
        <v>36.99</v>
      </c>
      <c r="O1051" s="2" t="s">
        <v>224</v>
      </c>
      <c r="P1051" s="2" t="s">
        <v>2038</v>
      </c>
      <c r="Q1051" s="2" t="s">
        <v>226</v>
      </c>
      <c r="R1051" s="2" t="s">
        <v>227</v>
      </c>
      <c r="S1051" s="2" t="s">
        <v>6100</v>
      </c>
      <c r="T1051" s="2" t="s">
        <v>876</v>
      </c>
      <c r="U1051" s="2" t="s">
        <v>552</v>
      </c>
      <c r="V1051" s="2" t="s">
        <v>1153</v>
      </c>
      <c r="W1051" s="2" t="s">
        <v>487</v>
      </c>
      <c r="X1051" s="2" t="s">
        <v>227</v>
      </c>
      <c r="Y1051" s="2" t="s">
        <v>6107</v>
      </c>
      <c r="Z1051" s="4">
        <v>1543</v>
      </c>
      <c r="AA1051" s="4">
        <f>=ROUNDDOWN(19.2875,0)</f>
      </c>
      <c r="AB1051" s="5">
        <v>80</v>
      </c>
      <c r="AC1051" s="2" t="s">
        <v>1224</v>
      </c>
      <c r="AD1051" s="4">
        <v>1500</v>
      </c>
      <c r="AE1051" s="4">
        <v>7300</v>
      </c>
      <c r="AF1051" s="6">
        <v>64</v>
      </c>
      <c r="AG1051" s="6"/>
      <c r="AH1051" s="7">
        <v>1</v>
      </c>
      <c r="AI1051" s="4"/>
      <c r="AJ1051" s="4">
        <f>=ROUNDDOWN({0},0)</f>
      </c>
      <c r="AK1051" s="5"/>
      <c r="AL1051" s="2" t="s">
        <v>227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227</v>
      </c>
      <c r="AW1051" s="8" t="s">
        <v>227</v>
      </c>
      <c r="AX1051" s="4" t="s">
        <v>227</v>
      </c>
      <c r="AY1051" s="8" t="s">
        <v>227</v>
      </c>
      <c r="AZ1051" s="7" t="s">
        <v>227</v>
      </c>
      <c r="BA1051" s="7" t="s">
        <v>227</v>
      </c>
      <c r="BB1051" s="7"/>
      <c r="BC1051" s="4" t="s">
        <v>227</v>
      </c>
      <c r="BD1051" s="8" t="s">
        <v>227</v>
      </c>
      <c r="BE1051" s="4" t="s">
        <v>227</v>
      </c>
      <c r="BF1051" s="8" t="s">
        <v>227</v>
      </c>
      <c r="BG1051" s="7" t="s">
        <v>227</v>
      </c>
      <c r="BH1051" s="7" t="s">
        <v>227</v>
      </c>
      <c r="BI1051" s="7"/>
      <c r="BJ1051" s="4">
        <v>315</v>
      </c>
      <c r="BK1051" s="8">
        <v>5495.23</v>
      </c>
      <c r="BL1051" s="2" t="s">
        <v>6108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6109</v>
      </c>
      <c r="BV1051" s="2" t="s">
        <v>227</v>
      </c>
      <c r="BW1051" s="2" t="s">
        <v>227</v>
      </c>
      <c r="BX1051" s="2" t="s">
        <v>235</v>
      </c>
      <c r="BY1051" s="2" t="s">
        <v>236</v>
      </c>
      <c r="BZ1051" s="2" t="s">
        <v>224</v>
      </c>
      <c r="CA1051" s="2" t="s">
        <v>6110</v>
      </c>
      <c r="CB1051" s="2" t="s">
        <v>6111</v>
      </c>
      <c r="CC1051" s="2" t="s">
        <v>239</v>
      </c>
      <c r="CD1051" s="2" t="s">
        <v>227</v>
      </c>
      <c r="CE1051" s="4">
        <v>1543</v>
      </c>
      <c r="CF1051" s="4"/>
      <c r="CG1051" s="4"/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>
        <v>1500</v>
      </c>
      <c r="EB1051" s="4"/>
      <c r="EC1051" s="4"/>
      <c r="ED1051" s="4"/>
      <c r="EE1051" s="4"/>
      <c r="EF1051" s="4"/>
      <c r="EG1051" s="4"/>
      <c r="EH1051" s="4"/>
      <c r="EI1051" s="4"/>
      <c r="EJ1051" s="4"/>
      <c r="EK1051" s="4"/>
      <c r="EL1051" s="4"/>
      <c r="EM1051" s="4"/>
      <c r="EN1051" s="4"/>
      <c r="EO1051" s="4"/>
      <c r="EP1051" s="4"/>
      <c r="EQ1051" s="4"/>
      <c r="ER1051" s="4">
        <v>2000</v>
      </c>
      <c r="ES1051" s="4"/>
      <c r="ET1051" s="4"/>
      <c r="EU1051" s="4"/>
      <c r="EV1051" s="4"/>
      <c r="EW1051" s="4"/>
      <c r="EX1051" s="4"/>
      <c r="EY1051" s="4"/>
      <c r="EZ1051" s="4"/>
      <c r="FA1051" s="4"/>
      <c r="FB1051" s="4"/>
      <c r="FC1051" s="4"/>
      <c r="FD1051" s="4"/>
      <c r="FE1051" s="4">
        <v>3000</v>
      </c>
      <c r="FF1051" s="4"/>
      <c r="FG1051" s="4"/>
      <c r="FH1051" s="4"/>
      <c r="FI1051" s="4"/>
      <c r="FJ1051" s="4"/>
      <c r="FK1051" s="4"/>
      <c r="FL1051" s="4"/>
      <c r="FM1051" s="4"/>
      <c r="FN1051" s="4"/>
      <c r="FO1051" s="4"/>
      <c r="FP1051" s="4"/>
      <c r="FQ1051" s="4"/>
      <c r="FR1051" s="4"/>
      <c r="FS1051" s="4"/>
      <c r="FT1051" s="4"/>
      <c r="FU1051" s="4"/>
      <c r="FV1051" s="4"/>
      <c r="FW1051" s="4">
        <v>400</v>
      </c>
      <c r="FX1051" s="4"/>
      <c r="FY1051" s="4"/>
      <c r="FZ1051" s="4"/>
      <c r="GA1051" s="4"/>
      <c r="GB1051" s="4"/>
      <c r="GC1051" s="4"/>
      <c r="GD1051" s="4"/>
      <c r="GE1051" s="4"/>
      <c r="GF1051" s="4"/>
      <c r="GG1051" s="4"/>
      <c r="GH1051" s="4"/>
      <c r="GI1051" s="4"/>
      <c r="GJ1051" s="4"/>
      <c r="GK1051" s="4"/>
      <c r="GL1051" s="4"/>
      <c r="GM1051" s="4"/>
      <c r="GN1051" s="4"/>
      <c r="GO1051" s="4"/>
      <c r="GP1051" s="4"/>
      <c r="GQ1051" s="4"/>
      <c r="GR1051" s="4"/>
      <c r="GS1051" s="4"/>
      <c r="GT1051" s="4"/>
      <c r="GU1051" s="4"/>
      <c r="GV1051" s="4"/>
      <c r="GW1051" s="4">
        <v>400</v>
      </c>
      <c r="GX1051" s="4"/>
    </row>
    <row r="1052">
      <c r="A1052" s="2" t="s">
        <v>6112</v>
      </c>
      <c r="B1052" s="2" t="s">
        <v>697</v>
      </c>
      <c r="C1052" s="2" t="s">
        <v>360</v>
      </c>
      <c r="D1052" s="2" t="s">
        <v>868</v>
      </c>
      <c r="E1052" s="2" t="s">
        <v>1334</v>
      </c>
      <c r="F1052" s="2" t="s">
        <v>6064</v>
      </c>
      <c r="G1052" s="2" t="s">
        <v>6065</v>
      </c>
      <c r="H1052" s="2" t="s">
        <v>6065</v>
      </c>
      <c r="I1052" s="2" t="s">
        <v>6078</v>
      </c>
      <c r="J1052" s="2" t="s">
        <v>2854</v>
      </c>
      <c r="K1052" s="2" t="s">
        <v>827</v>
      </c>
      <c r="L1052" s="3">
        <v>15.91</v>
      </c>
      <c r="M1052" s="3">
        <v>16.71</v>
      </c>
      <c r="N1052" s="3">
        <v>36.99</v>
      </c>
      <c r="O1052" s="2" t="s">
        <v>224</v>
      </c>
      <c r="P1052" s="2" t="s">
        <v>485</v>
      </c>
      <c r="Q1052" s="2" t="s">
        <v>226</v>
      </c>
      <c r="R1052" s="2" t="s">
        <v>227</v>
      </c>
      <c r="S1052" s="2" t="s">
        <v>6113</v>
      </c>
      <c r="T1052" s="2" t="s">
        <v>876</v>
      </c>
      <c r="U1052" s="2" t="s">
        <v>227</v>
      </c>
      <c r="V1052" s="2" t="s">
        <v>1153</v>
      </c>
      <c r="W1052" s="2" t="s">
        <v>487</v>
      </c>
      <c r="X1052" s="2" t="s">
        <v>227</v>
      </c>
      <c r="Y1052" s="2" t="s">
        <v>232</v>
      </c>
      <c r="Z1052" s="4">
        <v>650</v>
      </c>
      <c r="AA1052" s="4">
        <f>=ROUNDDOWN(18.5714285714286,0)</f>
      </c>
      <c r="AB1052" s="5">
        <v>35</v>
      </c>
      <c r="AC1052" s="2" t="s">
        <v>1224</v>
      </c>
      <c r="AD1052" s="4">
        <v>800</v>
      </c>
      <c r="AE1052" s="4">
        <v>3600</v>
      </c>
      <c r="AF1052" s="6">
        <v>64</v>
      </c>
      <c r="AG1052" s="6"/>
      <c r="AH1052" s="7">
        <v>1</v>
      </c>
      <c r="AI1052" s="4"/>
      <c r="AJ1052" s="4">
        <f>=ROUNDDOWN({0},0)</f>
      </c>
      <c r="AK1052" s="5"/>
      <c r="AL1052" s="2" t="s">
        <v>227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/>
      <c r="AW1052" s="8"/>
      <c r="AX1052" s="4"/>
      <c r="AY1052" s="8"/>
      <c r="AZ1052" s="7"/>
      <c r="BA1052" s="7"/>
      <c r="BB1052" s="7"/>
      <c r="BC1052" s="4" t="s">
        <v>227</v>
      </c>
      <c r="BD1052" s="8" t="s">
        <v>227</v>
      </c>
      <c r="BE1052" s="4" t="s">
        <v>227</v>
      </c>
      <c r="BF1052" s="8" t="s">
        <v>227</v>
      </c>
      <c r="BG1052" s="7" t="s">
        <v>227</v>
      </c>
      <c r="BH1052" s="7" t="s">
        <v>227</v>
      </c>
      <c r="BI1052" s="7"/>
      <c r="BJ1052" s="4">
        <v>149</v>
      </c>
      <c r="BK1052" s="8">
        <v>2552.41</v>
      </c>
      <c r="BL1052" s="2" t="s">
        <v>6114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6115</v>
      </c>
      <c r="BV1052" s="2" t="s">
        <v>227</v>
      </c>
      <c r="BW1052" s="2" t="s">
        <v>227</v>
      </c>
      <c r="BX1052" s="2" t="s">
        <v>235</v>
      </c>
      <c r="BY1052" s="2" t="s">
        <v>236</v>
      </c>
      <c r="BZ1052" s="2" t="s">
        <v>224</v>
      </c>
      <c r="CA1052" s="2" t="s">
        <v>237</v>
      </c>
      <c r="CB1052" s="2" t="s">
        <v>6116</v>
      </c>
      <c r="CC1052" s="2" t="s">
        <v>239</v>
      </c>
      <c r="CD1052" s="2" t="s">
        <v>227</v>
      </c>
      <c r="CE1052" s="4">
        <v>650</v>
      </c>
      <c r="CF1052" s="4"/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>
        <v>800</v>
      </c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  <c r="EM1052" s="4"/>
      <c r="EN1052" s="4"/>
      <c r="EO1052" s="4"/>
      <c r="EP1052" s="4"/>
      <c r="EQ1052" s="4"/>
      <c r="ER1052" s="4"/>
      <c r="ES1052" s="4"/>
      <c r="ET1052" s="4"/>
      <c r="EU1052" s="4"/>
      <c r="EV1052" s="4"/>
      <c r="EW1052" s="4"/>
      <c r="EX1052" s="4">
        <v>2000</v>
      </c>
      <c r="EY1052" s="4"/>
      <c r="EZ1052" s="4"/>
      <c r="FA1052" s="4"/>
      <c r="FB1052" s="4"/>
      <c r="FC1052" s="4"/>
      <c r="FD1052" s="4"/>
      <c r="FE1052" s="4"/>
      <c r="FF1052" s="4"/>
      <c r="FG1052" s="4"/>
      <c r="FH1052" s="4"/>
      <c r="FI1052" s="4"/>
      <c r="FJ1052" s="4"/>
      <c r="FK1052" s="4"/>
      <c r="FL1052" s="4"/>
      <c r="FM1052" s="4"/>
      <c r="FN1052" s="4"/>
      <c r="FO1052" s="4"/>
      <c r="FP1052" s="4"/>
      <c r="FQ1052" s="4"/>
      <c r="FR1052" s="4"/>
      <c r="FS1052" s="4"/>
      <c r="FT1052" s="4"/>
      <c r="FU1052" s="4"/>
      <c r="FV1052" s="4"/>
      <c r="FW1052" s="4">
        <v>500</v>
      </c>
      <c r="FX1052" s="4"/>
      <c r="FY1052" s="4"/>
      <c r="FZ1052" s="4"/>
      <c r="GA1052" s="4"/>
      <c r="GB1052" s="4"/>
      <c r="GC1052" s="4"/>
      <c r="GD1052" s="4"/>
      <c r="GE1052" s="4"/>
      <c r="GF1052" s="4"/>
      <c r="GG1052" s="4"/>
      <c r="GH1052" s="4"/>
      <c r="GI1052" s="4"/>
      <c r="GJ1052" s="4"/>
      <c r="GK1052" s="4"/>
      <c r="GL1052" s="4"/>
      <c r="GM1052" s="4"/>
      <c r="GN1052" s="4"/>
      <c r="GO1052" s="4"/>
      <c r="GP1052" s="4"/>
      <c r="GQ1052" s="4"/>
      <c r="GR1052" s="4"/>
      <c r="GS1052" s="4">
        <v>300</v>
      </c>
      <c r="GT1052" s="4"/>
      <c r="GU1052" s="4"/>
      <c r="GV1052" s="4"/>
      <c r="GW1052" s="4"/>
      <c r="GX1052" s="4"/>
    </row>
    <row r="1053">
      <c r="A1053" s="2" t="s">
        <v>6117</v>
      </c>
      <c r="B1053" s="2" t="s">
        <v>697</v>
      </c>
      <c r="C1053" s="2" t="s">
        <v>360</v>
      </c>
      <c r="D1053" s="2" t="s">
        <v>868</v>
      </c>
      <c r="E1053" s="2" t="s">
        <v>1334</v>
      </c>
      <c r="F1053" s="2" t="s">
        <v>6064</v>
      </c>
      <c r="G1053" s="2" t="s">
        <v>6065</v>
      </c>
      <c r="H1053" s="2" t="s">
        <v>6065</v>
      </c>
      <c r="I1053" s="2" t="s">
        <v>6078</v>
      </c>
      <c r="J1053" s="2" t="s">
        <v>2854</v>
      </c>
      <c r="K1053" s="2" t="s">
        <v>264</v>
      </c>
      <c r="L1053" s="3">
        <v>15.91</v>
      </c>
      <c r="M1053" s="3">
        <v>16.71</v>
      </c>
      <c r="N1053" s="3">
        <v>36.99</v>
      </c>
      <c r="O1053" s="2" t="s">
        <v>224</v>
      </c>
      <c r="P1053" s="2" t="s">
        <v>225</v>
      </c>
      <c r="Q1053" s="2" t="s">
        <v>226</v>
      </c>
      <c r="R1053" s="2" t="s">
        <v>227</v>
      </c>
      <c r="S1053" s="2" t="s">
        <v>6118</v>
      </c>
      <c r="T1053" s="2" t="s">
        <v>876</v>
      </c>
      <c r="U1053" s="2" t="s">
        <v>552</v>
      </c>
      <c r="V1053" s="2" t="s">
        <v>1153</v>
      </c>
      <c r="W1053" s="2" t="s">
        <v>487</v>
      </c>
      <c r="X1053" s="2" t="s">
        <v>227</v>
      </c>
      <c r="Y1053" s="2" t="s">
        <v>6119</v>
      </c>
      <c r="Z1053" s="4">
        <v>1031</v>
      </c>
      <c r="AA1053" s="4">
        <f>=ROUNDDOWN(54.2631578947368,0)</f>
      </c>
      <c r="AB1053" s="5">
        <v>19</v>
      </c>
      <c r="AC1053" s="2" t="s">
        <v>162</v>
      </c>
      <c r="AD1053" s="4">
        <v>1000</v>
      </c>
      <c r="AE1053" s="4">
        <v>1800</v>
      </c>
      <c r="AF1053" s="6">
        <v>64</v>
      </c>
      <c r="AG1053" s="6"/>
      <c r="AH1053" s="7">
        <v>1</v>
      </c>
      <c r="AI1053" s="4"/>
      <c r="AJ1053" s="4">
        <f>=ROUNDDOWN({0},0)</f>
      </c>
      <c r="AK1053" s="5"/>
      <c r="AL1053" s="2" t="s">
        <v>227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/>
      <c r="AW1053" s="8"/>
      <c r="AX1053" s="4"/>
      <c r="AY1053" s="8"/>
      <c r="AZ1053" s="7"/>
      <c r="BA1053" s="7"/>
      <c r="BB1053" s="7"/>
      <c r="BC1053" s="4" t="s">
        <v>227</v>
      </c>
      <c r="BD1053" s="8" t="s">
        <v>227</v>
      </c>
      <c r="BE1053" s="4" t="s">
        <v>227</v>
      </c>
      <c r="BF1053" s="8" t="s">
        <v>227</v>
      </c>
      <c r="BG1053" s="7" t="s">
        <v>227</v>
      </c>
      <c r="BH1053" s="7" t="s">
        <v>227</v>
      </c>
      <c r="BI1053" s="7"/>
      <c r="BJ1053" s="4">
        <v>89</v>
      </c>
      <c r="BK1053" s="8">
        <v>1465.46</v>
      </c>
      <c r="BL1053" s="2" t="s">
        <v>6120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6121</v>
      </c>
      <c r="BV1053" s="2" t="s">
        <v>227</v>
      </c>
      <c r="BW1053" s="2" t="s">
        <v>227</v>
      </c>
      <c r="BX1053" s="2" t="s">
        <v>235</v>
      </c>
      <c r="BY1053" s="2" t="s">
        <v>236</v>
      </c>
      <c r="BZ1053" s="2" t="s">
        <v>224</v>
      </c>
      <c r="CA1053" s="2" t="s">
        <v>5802</v>
      </c>
      <c r="CB1053" s="2" t="s">
        <v>6122</v>
      </c>
      <c r="CC1053" s="2" t="s">
        <v>239</v>
      </c>
      <c r="CD1053" s="2" t="s">
        <v>227</v>
      </c>
      <c r="CE1053" s="4">
        <v>1031</v>
      </c>
      <c r="CF1053" s="4"/>
      <c r="CG1053" s="4"/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  <c r="EM1053" s="4"/>
      <c r="EN1053" s="4"/>
      <c r="EO1053" s="4"/>
      <c r="EP1053" s="4"/>
      <c r="EQ1053" s="4"/>
      <c r="ER1053" s="4"/>
      <c r="ES1053" s="4"/>
      <c r="ET1053" s="4"/>
      <c r="EU1053" s="4"/>
      <c r="EV1053" s="4"/>
      <c r="EW1053" s="4"/>
      <c r="EX1053" s="4">
        <v>1000</v>
      </c>
      <c r="EY1053" s="4"/>
      <c r="EZ1053" s="4"/>
      <c r="FA1053" s="4"/>
      <c r="FB1053" s="4"/>
      <c r="FC1053" s="4"/>
      <c r="FD1053" s="4"/>
      <c r="FE1053" s="4"/>
      <c r="FF1053" s="4"/>
      <c r="FG1053" s="4"/>
      <c r="FH1053" s="4"/>
      <c r="FI1053" s="4"/>
      <c r="FJ1053" s="4"/>
      <c r="FK1053" s="4"/>
      <c r="FL1053" s="4"/>
      <c r="FM1053" s="4"/>
      <c r="FN1053" s="4"/>
      <c r="FO1053" s="4"/>
      <c r="FP1053" s="4"/>
      <c r="FQ1053" s="4"/>
      <c r="FR1053" s="4"/>
      <c r="FS1053" s="4"/>
      <c r="FT1053" s="4"/>
      <c r="FU1053" s="4"/>
      <c r="FV1053" s="4"/>
      <c r="FW1053" s="4">
        <v>400</v>
      </c>
      <c r="FX1053" s="4"/>
      <c r="FY1053" s="4"/>
      <c r="FZ1053" s="4"/>
      <c r="GA1053" s="4"/>
      <c r="GB1053" s="4"/>
      <c r="GC1053" s="4"/>
      <c r="GD1053" s="4"/>
      <c r="GE1053" s="4"/>
      <c r="GF1053" s="4"/>
      <c r="GG1053" s="4"/>
      <c r="GH1053" s="4"/>
      <c r="GI1053" s="4"/>
      <c r="GJ1053" s="4"/>
      <c r="GK1053" s="4"/>
      <c r="GL1053" s="4"/>
      <c r="GM1053" s="4"/>
      <c r="GN1053" s="4"/>
      <c r="GO1053" s="4"/>
      <c r="GP1053" s="4"/>
      <c r="GQ1053" s="4"/>
      <c r="GR1053" s="4"/>
      <c r="GS1053" s="4">
        <v>400</v>
      </c>
      <c r="GT1053" s="4"/>
      <c r="GU1053" s="4"/>
      <c r="GV1053" s="4"/>
      <c r="GW1053" s="4"/>
      <c r="GX1053" s="4"/>
    </row>
    <row r="1054">
      <c r="A1054" s="16" t="s">
        <v>6123</v>
      </c>
      <c r="B1054" s="9" t="s">
        <v>227</v>
      </c>
      <c r="C1054" s="9" t="s">
        <v>227</v>
      </c>
      <c r="D1054" s="9" t="s">
        <v>227</v>
      </c>
      <c r="E1054" s="9" t="s">
        <v>227</v>
      </c>
      <c r="F1054" s="9" t="s">
        <v>227</v>
      </c>
      <c r="G1054" s="9" t="s">
        <v>227</v>
      </c>
      <c r="H1054" s="9" t="s">
        <v>227</v>
      </c>
      <c r="I1054" s="9" t="s">
        <v>227</v>
      </c>
      <c r="J1054" s="9" t="s">
        <v>227</v>
      </c>
      <c r="K1054" s="9" t="s">
        <v>227</v>
      </c>
      <c r="L1054" s="10"/>
      <c r="M1054" s="10"/>
      <c r="N1054" s="10"/>
      <c r="O1054" s="9" t="s">
        <v>227</v>
      </c>
      <c r="P1054" s="9" t="s">
        <v>227</v>
      </c>
      <c r="Q1054" s="9" t="s">
        <v>227</v>
      </c>
      <c r="R1054" s="9" t="s">
        <v>227</v>
      </c>
      <c r="S1054" s="9" t="s">
        <v>227</v>
      </c>
      <c r="T1054" s="9" t="s">
        <v>227</v>
      </c>
      <c r="U1054" s="9" t="s">
        <v>227</v>
      </c>
      <c r="V1054" s="9" t="s">
        <v>227</v>
      </c>
      <c r="W1054" s="9" t="s">
        <v>227</v>
      </c>
      <c r="X1054" s="9" t="s">
        <v>227</v>
      </c>
      <c r="Y1054" s="9" t="s">
        <v>227</v>
      </c>
      <c r="Z1054" s="11">
        <v>280743</v>
      </c>
      <c r="AA1054" s="11">
        <f>=ROUNDDOWN({0},0)</f>
      </c>
      <c r="AB1054" s="12">
        <v>14368.4</v>
      </c>
      <c r="AC1054" s="9" t="s">
        <v>227</v>
      </c>
      <c r="AD1054" s="11"/>
      <c r="AE1054" s="11">
        <v>400620</v>
      </c>
      <c r="AF1054" s="13"/>
      <c r="AG1054" s="13"/>
      <c r="AH1054" s="14"/>
      <c r="AI1054" s="11"/>
      <c r="AJ1054" s="11">
        <f>=ROUNDDOWN({0},0)</f>
      </c>
      <c r="AK1054" s="12">
        <v>75.5</v>
      </c>
      <c r="AL1054" s="9" t="s">
        <v>227</v>
      </c>
      <c r="AM1054" s="11"/>
      <c r="AN1054" s="11"/>
      <c r="AO1054" s="14"/>
      <c r="AP1054" s="11"/>
      <c r="AQ1054" s="15"/>
      <c r="AR1054" s="11"/>
      <c r="AS1054" s="15"/>
      <c r="AT1054" s="14"/>
      <c r="AU1054" s="14"/>
      <c r="AV1054" s="11"/>
      <c r="AW1054" s="15"/>
      <c r="AX1054" s="11"/>
      <c r="AY1054" s="15"/>
      <c r="AZ1054" s="14"/>
      <c r="BA1054" s="14"/>
      <c r="BB1054" s="14"/>
      <c r="BC1054" s="11"/>
      <c r="BD1054" s="15"/>
      <c r="BE1054" s="11"/>
      <c r="BF1054" s="15"/>
      <c r="BG1054" s="14"/>
      <c r="BH1054" s="14"/>
      <c r="BI1054" s="14"/>
      <c r="BJ1054" s="11"/>
      <c r="BK1054" s="15"/>
      <c r="BL1054" s="9" t="s">
        <v>227</v>
      </c>
      <c r="BM1054" s="14"/>
      <c r="BN1054" s="14"/>
      <c r="BO1054" s="11"/>
      <c r="BP1054" s="15"/>
      <c r="BQ1054" s="11"/>
      <c r="BR1054" s="15"/>
      <c r="BS1054" s="14"/>
      <c r="BT1054" s="14"/>
      <c r="BU1054" s="9" t="s">
        <v>227</v>
      </c>
      <c r="BV1054" s="9" t="s">
        <v>227</v>
      </c>
      <c r="BW1054" s="9" t="s">
        <v>227</v>
      </c>
      <c r="BX1054" s="9" t="s">
        <v>227</v>
      </c>
      <c r="BY1054" s="9" t="s">
        <v>227</v>
      </c>
      <c r="BZ1054" s="9" t="s">
        <v>227</v>
      </c>
      <c r="CA1054" s="9" t="s">
        <v>227</v>
      </c>
      <c r="CB1054" s="9" t="s">
        <v>227</v>
      </c>
      <c r="CC1054" s="9" t="s">
        <v>227</v>
      </c>
      <c r="CD1054" s="9" t="s">
        <v>227</v>
      </c>
      <c r="CE1054" s="11">
        <v>222726</v>
      </c>
      <c r="CF1054" s="11">
        <v>26218</v>
      </c>
      <c r="CG1054" s="11"/>
      <c r="CH1054" s="11">
        <v>26882</v>
      </c>
      <c r="CI1054" s="11"/>
      <c r="CJ1054" s="11"/>
      <c r="CK1054" s="11">
        <v>4917</v>
      </c>
      <c r="CL1054" s="11"/>
      <c r="CM1054" s="11"/>
      <c r="CN1054" s="11"/>
      <c r="CO1054" s="11"/>
      <c r="CP1054" s="11"/>
      <c r="CQ1054" s="11"/>
      <c r="CR1054" s="11"/>
      <c r="CS1054" s="11">
        <v>2375</v>
      </c>
      <c r="CT1054" s="11">
        <v>90</v>
      </c>
      <c r="CU1054" s="11">
        <v>60</v>
      </c>
      <c r="CV1054" s="11">
        <v>90</v>
      </c>
      <c r="CW1054" s="11">
        <v>943</v>
      </c>
      <c r="CX1054" s="11">
        <v>500</v>
      </c>
      <c r="CY1054" s="11">
        <v>200</v>
      </c>
      <c r="CZ1054" s="11">
        <v>970</v>
      </c>
      <c r="DA1054" s="11">
        <v>3566</v>
      </c>
      <c r="DB1054" s="11">
        <v>479</v>
      </c>
      <c r="DC1054" s="11">
        <v>2240</v>
      </c>
      <c r="DD1054" s="11">
        <v>440</v>
      </c>
      <c r="DE1054" s="11">
        <v>562</v>
      </c>
      <c r="DF1054" s="11">
        <v>2203</v>
      </c>
      <c r="DG1054" s="11">
        <v>16</v>
      </c>
      <c r="DH1054" s="11">
        <v>157</v>
      </c>
      <c r="DI1054" s="11">
        <v>3</v>
      </c>
      <c r="DJ1054" s="11">
        <v>100</v>
      </c>
      <c r="DK1054" s="11">
        <v>10</v>
      </c>
      <c r="DL1054" s="11">
        <v>520</v>
      </c>
      <c r="DM1054" s="11">
        <v>3434</v>
      </c>
      <c r="DN1054" s="11">
        <v>1530</v>
      </c>
      <c r="DO1054" s="11">
        <v>41070</v>
      </c>
      <c r="DP1054" s="11">
        <v>105</v>
      </c>
      <c r="DQ1054" s="11">
        <v>687</v>
      </c>
      <c r="DR1054" s="11">
        <v>9061</v>
      </c>
      <c r="DS1054" s="11">
        <v>3539</v>
      </c>
      <c r="DT1054" s="11">
        <v>1720</v>
      </c>
      <c r="DU1054" s="11">
        <v>1613</v>
      </c>
      <c r="DV1054" s="11">
        <v>781</v>
      </c>
      <c r="DW1054" s="11">
        <v>7797</v>
      </c>
      <c r="DX1054" s="11">
        <v>442</v>
      </c>
      <c r="DY1054" s="11">
        <v>360</v>
      </c>
      <c r="DZ1054" s="11">
        <v>9120</v>
      </c>
      <c r="EA1054" s="11">
        <v>4418</v>
      </c>
      <c r="EB1054" s="11">
        <v>9699</v>
      </c>
      <c r="EC1054" s="11">
        <v>2300</v>
      </c>
      <c r="ED1054" s="11">
        <v>1165</v>
      </c>
      <c r="EE1054" s="11">
        <v>2002</v>
      </c>
      <c r="EF1054" s="11">
        <v>9938</v>
      </c>
      <c r="EG1054" s="11">
        <v>50</v>
      </c>
      <c r="EH1054" s="11">
        <v>60</v>
      </c>
      <c r="EI1054" s="11">
        <v>7730</v>
      </c>
      <c r="EJ1054" s="11">
        <v>1704</v>
      </c>
      <c r="EK1054" s="11">
        <v>310</v>
      </c>
      <c r="EL1054" s="11">
        <v>1358</v>
      </c>
      <c r="EM1054" s="11">
        <v>2100</v>
      </c>
      <c r="EN1054" s="11">
        <v>2206</v>
      </c>
      <c r="EO1054" s="11">
        <v>1290</v>
      </c>
      <c r="EP1054" s="11">
        <v>1780</v>
      </c>
      <c r="EQ1054" s="11">
        <v>7416</v>
      </c>
      <c r="ER1054" s="11">
        <v>14223</v>
      </c>
      <c r="ES1054" s="11">
        <v>485</v>
      </c>
      <c r="ET1054" s="11">
        <v>12194</v>
      </c>
      <c r="EU1054" s="11">
        <v>1910</v>
      </c>
      <c r="EV1054" s="11">
        <v>1110</v>
      </c>
      <c r="EW1054" s="11">
        <v>1130</v>
      </c>
      <c r="EX1054" s="11">
        <v>6731</v>
      </c>
      <c r="EY1054" s="11">
        <v>290</v>
      </c>
      <c r="EZ1054" s="11">
        <v>10280</v>
      </c>
      <c r="FA1054" s="11">
        <v>50</v>
      </c>
      <c r="FB1054" s="11">
        <v>2686</v>
      </c>
      <c r="FC1054" s="11">
        <v>2317</v>
      </c>
      <c r="FD1054" s="11">
        <v>800</v>
      </c>
      <c r="FE1054" s="11">
        <v>49495</v>
      </c>
      <c r="FF1054" s="11">
        <v>530</v>
      </c>
      <c r="FG1054" s="11">
        <v>3970</v>
      </c>
      <c r="FH1054" s="11">
        <v>3830</v>
      </c>
      <c r="FI1054" s="11">
        <v>1100</v>
      </c>
      <c r="FJ1054" s="11">
        <v>8930</v>
      </c>
      <c r="FK1054" s="11">
        <v>7315</v>
      </c>
      <c r="FL1054" s="11">
        <v>1190</v>
      </c>
      <c r="FM1054" s="11">
        <v>561</v>
      </c>
      <c r="FN1054" s="11">
        <v>321</v>
      </c>
      <c r="FO1054" s="11">
        <v>1740</v>
      </c>
      <c r="FP1054" s="11">
        <v>3630</v>
      </c>
      <c r="FQ1054" s="11">
        <v>20</v>
      </c>
      <c r="FR1054" s="11">
        <v>9843</v>
      </c>
      <c r="FS1054" s="11">
        <v>1512</v>
      </c>
      <c r="FT1054" s="11">
        <v>2040</v>
      </c>
      <c r="FU1054" s="11">
        <v>100</v>
      </c>
      <c r="FV1054" s="11">
        <v>610</v>
      </c>
      <c r="FW1054" s="11">
        <v>14587</v>
      </c>
      <c r="FX1054" s="11">
        <v>700</v>
      </c>
      <c r="FY1054" s="11">
        <v>540</v>
      </c>
      <c r="FZ1054" s="11">
        <v>100</v>
      </c>
      <c r="GA1054" s="11">
        <v>3058</v>
      </c>
      <c r="GB1054" s="11">
        <v>8030</v>
      </c>
      <c r="GC1054" s="11">
        <v>121</v>
      </c>
      <c r="GD1054" s="11">
        <v>30</v>
      </c>
      <c r="GE1054" s="11">
        <v>100</v>
      </c>
      <c r="GF1054" s="11">
        <v>4235</v>
      </c>
      <c r="GG1054" s="11">
        <v>230</v>
      </c>
      <c r="GH1054" s="11">
        <v>380</v>
      </c>
      <c r="GI1054" s="11">
        <v>7578</v>
      </c>
      <c r="GJ1054" s="11">
        <v>480</v>
      </c>
      <c r="GK1054" s="11">
        <v>890</v>
      </c>
      <c r="GL1054" s="11">
        <v>215</v>
      </c>
      <c r="GM1054" s="11">
        <v>11480</v>
      </c>
      <c r="GN1054" s="11">
        <v>89</v>
      </c>
      <c r="GO1054" s="11">
        <v>870</v>
      </c>
      <c r="GP1054" s="11">
        <v>126</v>
      </c>
      <c r="GQ1054" s="11">
        <v>3984</v>
      </c>
      <c r="GR1054" s="11">
        <v>2870</v>
      </c>
      <c r="GS1054" s="11">
        <v>16925</v>
      </c>
      <c r="GT1054" s="11">
        <v>100</v>
      </c>
      <c r="GU1054" s="11">
        <v>5284</v>
      </c>
      <c r="GV1054" s="11">
        <v>2822</v>
      </c>
      <c r="GW1054" s="11">
        <v>2932</v>
      </c>
      <c r="GX1054" s="11">
        <v>8612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D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3:CR4"/>
    <mergeCell ref="CS3:GX4"/>
    <mergeCell ref="BC6:BC10"/>
    <mergeCell ref="BD6:BD10"/>
    <mergeCell ref="BE6:BE10"/>
    <mergeCell ref="BF6:BF10"/>
    <mergeCell ref="BG6:BG10"/>
    <mergeCell ref="BH6:BH10"/>
    <mergeCell ref="BC11:BC13"/>
    <mergeCell ref="BD11:BD13"/>
    <mergeCell ref="BE11:BE13"/>
    <mergeCell ref="BF11:BF13"/>
    <mergeCell ref="BG11:BG13"/>
    <mergeCell ref="BH11:BH13"/>
    <mergeCell ref="BC14:BC20"/>
    <mergeCell ref="BD14:BD20"/>
    <mergeCell ref="BE14:BE20"/>
    <mergeCell ref="BF14:BF20"/>
    <mergeCell ref="BG14:BG20"/>
    <mergeCell ref="BH14:BH20"/>
    <mergeCell ref="BC21:BC23"/>
    <mergeCell ref="BD21:BD23"/>
    <mergeCell ref="BE21:BE23"/>
    <mergeCell ref="BF21:BF23"/>
    <mergeCell ref="BG21:BG23"/>
    <mergeCell ref="BH21:BH23"/>
    <mergeCell ref="BC25:BC26"/>
    <mergeCell ref="BD25:BD26"/>
    <mergeCell ref="BE25:BE26"/>
    <mergeCell ref="BF25:BF26"/>
    <mergeCell ref="BG25:BG26"/>
    <mergeCell ref="BH25:BH26"/>
    <mergeCell ref="BC28:BC52"/>
    <mergeCell ref="BD28:BD52"/>
    <mergeCell ref="BE28:BE52"/>
    <mergeCell ref="BF28:BF52"/>
    <mergeCell ref="BG28:BG52"/>
    <mergeCell ref="BH28:BH52"/>
    <mergeCell ref="BC53:BC55"/>
    <mergeCell ref="BD53:BD55"/>
    <mergeCell ref="BE53:BE55"/>
    <mergeCell ref="BF53:BF55"/>
    <mergeCell ref="BG53:BG55"/>
    <mergeCell ref="BH53:BH55"/>
    <mergeCell ref="BC57:BC59"/>
    <mergeCell ref="BD57:BD59"/>
    <mergeCell ref="BE57:BE59"/>
    <mergeCell ref="BF57:BF59"/>
    <mergeCell ref="BG57:BG59"/>
    <mergeCell ref="BH57:BH59"/>
    <mergeCell ref="BC63:BC66"/>
    <mergeCell ref="BD63:BD66"/>
    <mergeCell ref="BE63:BE66"/>
    <mergeCell ref="BF63:BF66"/>
    <mergeCell ref="BG63:BG66"/>
    <mergeCell ref="BH63:BH66"/>
    <mergeCell ref="BC68:BC73"/>
    <mergeCell ref="BD68:BD73"/>
    <mergeCell ref="BE68:BE73"/>
    <mergeCell ref="BF68:BF73"/>
    <mergeCell ref="BG68:BG73"/>
    <mergeCell ref="BH68:BH73"/>
    <mergeCell ref="BC74:BC77"/>
    <mergeCell ref="BD74:BD77"/>
    <mergeCell ref="BE74:BE77"/>
    <mergeCell ref="BF74:BF77"/>
    <mergeCell ref="BG74:BG77"/>
    <mergeCell ref="BH74:BH77"/>
    <mergeCell ref="BC79:BC85"/>
    <mergeCell ref="BD79:BD85"/>
    <mergeCell ref="BE79:BE85"/>
    <mergeCell ref="BF79:BF85"/>
    <mergeCell ref="BG79:BG85"/>
    <mergeCell ref="BH79:BH85"/>
    <mergeCell ref="BC86:BC89"/>
    <mergeCell ref="BD86:BD89"/>
    <mergeCell ref="BE86:BE89"/>
    <mergeCell ref="BF86:BF89"/>
    <mergeCell ref="BG86:BG89"/>
    <mergeCell ref="BH86:BH89"/>
    <mergeCell ref="BC90:BC92"/>
    <mergeCell ref="BD90:BD92"/>
    <mergeCell ref="BE90:BE92"/>
    <mergeCell ref="BF90:BF92"/>
    <mergeCell ref="BG90:BG92"/>
    <mergeCell ref="BH90:BH92"/>
    <mergeCell ref="BC93:BC94"/>
    <mergeCell ref="BD93:BD94"/>
    <mergeCell ref="BE93:BE94"/>
    <mergeCell ref="BF93:BF94"/>
    <mergeCell ref="BG93:BG94"/>
    <mergeCell ref="BH93:BH94"/>
    <mergeCell ref="BC96:BC98"/>
    <mergeCell ref="BD96:BD98"/>
    <mergeCell ref="BE96:BE98"/>
    <mergeCell ref="BF96:BF98"/>
    <mergeCell ref="BG96:BG98"/>
    <mergeCell ref="BH96:BH98"/>
    <mergeCell ref="BC99:BC101"/>
    <mergeCell ref="BD99:BD101"/>
    <mergeCell ref="BE99:BE101"/>
    <mergeCell ref="BF99:BF101"/>
    <mergeCell ref="BG99:BG101"/>
    <mergeCell ref="BH99:BH101"/>
    <mergeCell ref="BC107:BC109"/>
    <mergeCell ref="BD107:BD109"/>
    <mergeCell ref="BE107:BE109"/>
    <mergeCell ref="BF107:BF109"/>
    <mergeCell ref="BG107:BG109"/>
    <mergeCell ref="BH107:BH109"/>
    <mergeCell ref="BC116:BC117"/>
    <mergeCell ref="BD116:BD117"/>
    <mergeCell ref="BE116:BE117"/>
    <mergeCell ref="BF116:BF117"/>
    <mergeCell ref="BG116:BG117"/>
    <mergeCell ref="BH116:BH117"/>
    <mergeCell ref="BC118:BC122"/>
    <mergeCell ref="BD118:BD122"/>
    <mergeCell ref="BE118:BE122"/>
    <mergeCell ref="BF118:BF122"/>
    <mergeCell ref="BG118:BG122"/>
    <mergeCell ref="BH118:BH122"/>
    <mergeCell ref="BC123:BC125"/>
    <mergeCell ref="BD123:BD125"/>
    <mergeCell ref="BE123:BE125"/>
    <mergeCell ref="BF123:BF125"/>
    <mergeCell ref="BG123:BG125"/>
    <mergeCell ref="BH123:BH125"/>
    <mergeCell ref="BC127:BC129"/>
    <mergeCell ref="BD127:BD129"/>
    <mergeCell ref="BE127:BE129"/>
    <mergeCell ref="BF127:BF129"/>
    <mergeCell ref="BG127:BG129"/>
    <mergeCell ref="BH127:BH129"/>
    <mergeCell ref="BC131:BC132"/>
    <mergeCell ref="BD131:BD132"/>
    <mergeCell ref="BE131:BE132"/>
    <mergeCell ref="BF131:BF132"/>
    <mergeCell ref="BG131:BG132"/>
    <mergeCell ref="BH131:BH132"/>
    <mergeCell ref="BC134:BC135"/>
    <mergeCell ref="BD134:BD135"/>
    <mergeCell ref="BE134:BE135"/>
    <mergeCell ref="BF134:BF135"/>
    <mergeCell ref="BG134:BG135"/>
    <mergeCell ref="BH134:BH135"/>
    <mergeCell ref="BC136:BC138"/>
    <mergeCell ref="BD136:BD138"/>
    <mergeCell ref="BE136:BE138"/>
    <mergeCell ref="BF136:BF138"/>
    <mergeCell ref="BG136:BG138"/>
    <mergeCell ref="BH136:BH138"/>
    <mergeCell ref="BC139:BC141"/>
    <mergeCell ref="BD139:BD141"/>
    <mergeCell ref="BE139:BE141"/>
    <mergeCell ref="BF139:BF141"/>
    <mergeCell ref="BG139:BG141"/>
    <mergeCell ref="BH139:BH141"/>
    <mergeCell ref="BC142:BC143"/>
    <mergeCell ref="BD142:BD143"/>
    <mergeCell ref="BE142:BE143"/>
    <mergeCell ref="BF142:BF143"/>
    <mergeCell ref="BG142:BG143"/>
    <mergeCell ref="BH142:BH143"/>
    <mergeCell ref="BC144:BC145"/>
    <mergeCell ref="BD144:BD145"/>
    <mergeCell ref="BE144:BE145"/>
    <mergeCell ref="BF144:BF145"/>
    <mergeCell ref="BG144:BG145"/>
    <mergeCell ref="BH144:BH145"/>
    <mergeCell ref="BC146:BC147"/>
    <mergeCell ref="BD146:BD147"/>
    <mergeCell ref="BE146:BE147"/>
    <mergeCell ref="BF146:BF147"/>
    <mergeCell ref="BG146:BG147"/>
    <mergeCell ref="BH146:BH147"/>
    <mergeCell ref="BC148:BC149"/>
    <mergeCell ref="BD148:BD149"/>
    <mergeCell ref="BE148:BE149"/>
    <mergeCell ref="BF148:BF149"/>
    <mergeCell ref="BG148:BG149"/>
    <mergeCell ref="BH148:BH149"/>
    <mergeCell ref="BC150:BC151"/>
    <mergeCell ref="BD150:BD151"/>
    <mergeCell ref="BE150:BE151"/>
    <mergeCell ref="BF150:BF151"/>
    <mergeCell ref="BG150:BG151"/>
    <mergeCell ref="BH150:BH151"/>
    <mergeCell ref="BC160:BC174"/>
    <mergeCell ref="BD160:BD174"/>
    <mergeCell ref="BE160:BE174"/>
    <mergeCell ref="BF160:BF174"/>
    <mergeCell ref="BG160:BG174"/>
    <mergeCell ref="BH160:BH174"/>
    <mergeCell ref="BC176:BC177"/>
    <mergeCell ref="BD176:BD177"/>
    <mergeCell ref="BE176:BE177"/>
    <mergeCell ref="BF176:BF177"/>
    <mergeCell ref="BG176:BG177"/>
    <mergeCell ref="BH176:BH177"/>
    <mergeCell ref="BC179:BC180"/>
    <mergeCell ref="BD179:BD180"/>
    <mergeCell ref="BE179:BE180"/>
    <mergeCell ref="BF179:BF180"/>
    <mergeCell ref="BG179:BG180"/>
    <mergeCell ref="BH179:BH180"/>
    <mergeCell ref="BC181:BC191"/>
    <mergeCell ref="BD181:BD191"/>
    <mergeCell ref="BE181:BE191"/>
    <mergeCell ref="BF181:BF191"/>
    <mergeCell ref="BG181:BG191"/>
    <mergeCell ref="BH181:BH191"/>
    <mergeCell ref="BC192:BC198"/>
    <mergeCell ref="BD192:BD198"/>
    <mergeCell ref="BE192:BE198"/>
    <mergeCell ref="BF192:BF198"/>
    <mergeCell ref="BG192:BG198"/>
    <mergeCell ref="BH192:BH198"/>
    <mergeCell ref="BC203:BC215"/>
    <mergeCell ref="BD203:BD215"/>
    <mergeCell ref="BE203:BE215"/>
    <mergeCell ref="BF203:BF215"/>
    <mergeCell ref="BG203:BG215"/>
    <mergeCell ref="BH203:BH215"/>
    <mergeCell ref="BC216:BC218"/>
    <mergeCell ref="BD216:BD218"/>
    <mergeCell ref="BE216:BE218"/>
    <mergeCell ref="BF216:BF218"/>
    <mergeCell ref="BG216:BG218"/>
    <mergeCell ref="BH216:BH218"/>
    <mergeCell ref="BC223:BC224"/>
    <mergeCell ref="BD223:BD224"/>
    <mergeCell ref="BE223:BE224"/>
    <mergeCell ref="BF223:BF224"/>
    <mergeCell ref="BG223:BG224"/>
    <mergeCell ref="BH223:BH224"/>
    <mergeCell ref="BC225:BC227"/>
    <mergeCell ref="BD225:BD227"/>
    <mergeCell ref="BE225:BE227"/>
    <mergeCell ref="BF225:BF227"/>
    <mergeCell ref="BG225:BG227"/>
    <mergeCell ref="BH225:BH227"/>
    <mergeCell ref="BC229:BC230"/>
    <mergeCell ref="BD229:BD230"/>
    <mergeCell ref="BE229:BE230"/>
    <mergeCell ref="BF229:BF230"/>
    <mergeCell ref="BG229:BG230"/>
    <mergeCell ref="BH229:BH230"/>
    <mergeCell ref="BC232:BC233"/>
    <mergeCell ref="BD232:BD233"/>
    <mergeCell ref="BE232:BE233"/>
    <mergeCell ref="BF232:BF233"/>
    <mergeCell ref="BG232:BG233"/>
    <mergeCell ref="BH232:BH233"/>
    <mergeCell ref="BC234:BC239"/>
    <mergeCell ref="BD234:BD239"/>
    <mergeCell ref="BE234:BE239"/>
    <mergeCell ref="BF234:BF239"/>
    <mergeCell ref="BG234:BG239"/>
    <mergeCell ref="BH234:BH239"/>
    <mergeCell ref="BC240:BC243"/>
    <mergeCell ref="BD240:BD243"/>
    <mergeCell ref="BE240:BE243"/>
    <mergeCell ref="BF240:BF243"/>
    <mergeCell ref="BG240:BG243"/>
    <mergeCell ref="BH240:BH243"/>
    <mergeCell ref="BC245:BC246"/>
    <mergeCell ref="BD245:BD246"/>
    <mergeCell ref="BE245:BE246"/>
    <mergeCell ref="BF245:BF246"/>
    <mergeCell ref="BG245:BG246"/>
    <mergeCell ref="BH245:BH246"/>
    <mergeCell ref="BC248:BC257"/>
    <mergeCell ref="BD248:BD257"/>
    <mergeCell ref="BE248:BE257"/>
    <mergeCell ref="BF248:BF257"/>
    <mergeCell ref="BG248:BG257"/>
    <mergeCell ref="BH248:BH257"/>
    <mergeCell ref="BC259:BC261"/>
    <mergeCell ref="BD259:BD261"/>
    <mergeCell ref="BE259:BE261"/>
    <mergeCell ref="BF259:BF261"/>
    <mergeCell ref="BG259:BG261"/>
    <mergeCell ref="BH259:BH261"/>
    <mergeCell ref="BC262:BC272"/>
    <mergeCell ref="BD262:BD272"/>
    <mergeCell ref="BE262:BE272"/>
    <mergeCell ref="BF262:BF272"/>
    <mergeCell ref="BG262:BG272"/>
    <mergeCell ref="BH262:BH272"/>
    <mergeCell ref="BC273:BC297"/>
    <mergeCell ref="BD273:BD297"/>
    <mergeCell ref="BE273:BE297"/>
    <mergeCell ref="BF273:BF297"/>
    <mergeCell ref="BG273:BG297"/>
    <mergeCell ref="BH273:BH297"/>
    <mergeCell ref="BC299:BC361"/>
    <mergeCell ref="BD299:BD361"/>
    <mergeCell ref="BE299:BE361"/>
    <mergeCell ref="BF299:BF361"/>
    <mergeCell ref="BG299:BG361"/>
    <mergeCell ref="BH299:BH361"/>
    <mergeCell ref="BC362:BC380"/>
    <mergeCell ref="BD362:BD380"/>
    <mergeCell ref="BE362:BE380"/>
    <mergeCell ref="BF362:BF380"/>
    <mergeCell ref="BG362:BG380"/>
    <mergeCell ref="BH362:BH380"/>
    <mergeCell ref="BC393:BC400"/>
    <mergeCell ref="BD393:BD400"/>
    <mergeCell ref="BE393:BE400"/>
    <mergeCell ref="BF393:BF400"/>
    <mergeCell ref="BG393:BG400"/>
    <mergeCell ref="BH393:BH400"/>
    <mergeCell ref="BC403:BC409"/>
    <mergeCell ref="BD403:BD409"/>
    <mergeCell ref="BE403:BE409"/>
    <mergeCell ref="BF403:BF409"/>
    <mergeCell ref="BG403:BG409"/>
    <mergeCell ref="BH403:BH409"/>
    <mergeCell ref="BC413:BC417"/>
    <mergeCell ref="BD413:BD417"/>
    <mergeCell ref="BE413:BE417"/>
    <mergeCell ref="BF413:BF417"/>
    <mergeCell ref="BG413:BG417"/>
    <mergeCell ref="BH413:BH417"/>
    <mergeCell ref="BC422:BC449"/>
    <mergeCell ref="BD422:BD449"/>
    <mergeCell ref="BE422:BE449"/>
    <mergeCell ref="BF422:BF449"/>
    <mergeCell ref="BG422:BG449"/>
    <mergeCell ref="BH422:BH449"/>
    <mergeCell ref="BC452:BC453"/>
    <mergeCell ref="BD452:BD453"/>
    <mergeCell ref="BE452:BE453"/>
    <mergeCell ref="BF452:BF453"/>
    <mergeCell ref="BG452:BG453"/>
    <mergeCell ref="BH452:BH453"/>
    <mergeCell ref="BC455:BC461"/>
    <mergeCell ref="BD455:BD461"/>
    <mergeCell ref="BE455:BE461"/>
    <mergeCell ref="BF455:BF461"/>
    <mergeCell ref="BG455:BG461"/>
    <mergeCell ref="BH455:BH461"/>
    <mergeCell ref="BC463:BC464"/>
    <mergeCell ref="BD463:BD464"/>
    <mergeCell ref="BE463:BE464"/>
    <mergeCell ref="BF463:BF464"/>
    <mergeCell ref="BG463:BG464"/>
    <mergeCell ref="BH463:BH464"/>
    <mergeCell ref="BC465:BC469"/>
    <mergeCell ref="BD465:BD469"/>
    <mergeCell ref="BE465:BE469"/>
    <mergeCell ref="BF465:BF469"/>
    <mergeCell ref="BG465:BG469"/>
    <mergeCell ref="BH465:BH469"/>
    <mergeCell ref="BC470:BC471"/>
    <mergeCell ref="BD470:BD471"/>
    <mergeCell ref="BE470:BE471"/>
    <mergeCell ref="BF470:BF471"/>
    <mergeCell ref="BG470:BG471"/>
    <mergeCell ref="BH470:BH471"/>
    <mergeCell ref="BC473:BC476"/>
    <mergeCell ref="BD473:BD476"/>
    <mergeCell ref="BE473:BE476"/>
    <mergeCell ref="BF473:BF476"/>
    <mergeCell ref="BG473:BG476"/>
    <mergeCell ref="BH473:BH476"/>
    <mergeCell ref="BC478:BC491"/>
    <mergeCell ref="BD478:BD491"/>
    <mergeCell ref="BE478:BE491"/>
    <mergeCell ref="BF478:BF491"/>
    <mergeCell ref="BG478:BG491"/>
    <mergeCell ref="BH478:BH491"/>
    <mergeCell ref="BC492:BC494"/>
    <mergeCell ref="BD492:BD494"/>
    <mergeCell ref="BE492:BE494"/>
    <mergeCell ref="BF492:BF494"/>
    <mergeCell ref="BG492:BG494"/>
    <mergeCell ref="BH492:BH494"/>
    <mergeCell ref="BC502:BC503"/>
    <mergeCell ref="BD502:BD503"/>
    <mergeCell ref="BE502:BE503"/>
    <mergeCell ref="BF502:BF503"/>
    <mergeCell ref="BG502:BG503"/>
    <mergeCell ref="BH502:BH503"/>
    <mergeCell ref="BC504:BC506"/>
    <mergeCell ref="BD504:BD506"/>
    <mergeCell ref="BE504:BE506"/>
    <mergeCell ref="BF504:BF506"/>
    <mergeCell ref="BG504:BG506"/>
    <mergeCell ref="BH504:BH506"/>
    <mergeCell ref="BC510:BC514"/>
    <mergeCell ref="BD510:BD514"/>
    <mergeCell ref="BE510:BE514"/>
    <mergeCell ref="BF510:BF514"/>
    <mergeCell ref="BG510:BG514"/>
    <mergeCell ref="BH510:BH514"/>
    <mergeCell ref="BC515:BC529"/>
    <mergeCell ref="BD515:BD529"/>
    <mergeCell ref="BE515:BE529"/>
    <mergeCell ref="BF515:BF529"/>
    <mergeCell ref="BG515:BG529"/>
    <mergeCell ref="BH515:BH529"/>
    <mergeCell ref="BC530:BC531"/>
    <mergeCell ref="BD530:BD531"/>
    <mergeCell ref="BE530:BE531"/>
    <mergeCell ref="BF530:BF531"/>
    <mergeCell ref="BG530:BG531"/>
    <mergeCell ref="BH530:BH531"/>
    <mergeCell ref="BC532:BC537"/>
    <mergeCell ref="BD532:BD537"/>
    <mergeCell ref="BE532:BE537"/>
    <mergeCell ref="BF532:BF537"/>
    <mergeCell ref="BG532:BG537"/>
    <mergeCell ref="BH532:BH537"/>
    <mergeCell ref="BC538:BC541"/>
    <mergeCell ref="BD538:BD541"/>
    <mergeCell ref="BE538:BE541"/>
    <mergeCell ref="BF538:BF541"/>
    <mergeCell ref="BG538:BG541"/>
    <mergeCell ref="BH538:BH541"/>
    <mergeCell ref="BC542:BC547"/>
    <mergeCell ref="BD542:BD547"/>
    <mergeCell ref="BE542:BE547"/>
    <mergeCell ref="BF542:BF547"/>
    <mergeCell ref="BG542:BG547"/>
    <mergeCell ref="BH542:BH547"/>
    <mergeCell ref="BC550:BC551"/>
    <mergeCell ref="BD550:BD551"/>
    <mergeCell ref="BE550:BE551"/>
    <mergeCell ref="BF550:BF551"/>
    <mergeCell ref="BG550:BG551"/>
    <mergeCell ref="BH550:BH551"/>
    <mergeCell ref="BC556:BC557"/>
    <mergeCell ref="BD556:BD557"/>
    <mergeCell ref="BE556:BE557"/>
    <mergeCell ref="BF556:BF557"/>
    <mergeCell ref="BG556:BG557"/>
    <mergeCell ref="BH556:BH557"/>
    <mergeCell ref="BC558:BC562"/>
    <mergeCell ref="BD558:BD562"/>
    <mergeCell ref="BE558:BE562"/>
    <mergeCell ref="BF558:BF562"/>
    <mergeCell ref="BG558:BG562"/>
    <mergeCell ref="BH558:BH562"/>
    <mergeCell ref="BC563:BC565"/>
    <mergeCell ref="BD563:BD565"/>
    <mergeCell ref="BE563:BE565"/>
    <mergeCell ref="BF563:BF565"/>
    <mergeCell ref="BG563:BG565"/>
    <mergeCell ref="BH563:BH565"/>
    <mergeCell ref="BC566:BC578"/>
    <mergeCell ref="BD566:BD578"/>
    <mergeCell ref="BE566:BE578"/>
    <mergeCell ref="BF566:BF578"/>
    <mergeCell ref="BG566:BG578"/>
    <mergeCell ref="BH566:BH578"/>
    <mergeCell ref="BC579:BC593"/>
    <mergeCell ref="BD579:BD593"/>
    <mergeCell ref="BE579:BE593"/>
    <mergeCell ref="BF579:BF593"/>
    <mergeCell ref="BG579:BG593"/>
    <mergeCell ref="BH579:BH593"/>
    <mergeCell ref="BC594:BC595"/>
    <mergeCell ref="BD594:BD595"/>
    <mergeCell ref="BE594:BE595"/>
    <mergeCell ref="BF594:BF595"/>
    <mergeCell ref="BG594:BG595"/>
    <mergeCell ref="BH594:BH595"/>
    <mergeCell ref="BC597:BC602"/>
    <mergeCell ref="BD597:BD602"/>
    <mergeCell ref="BE597:BE602"/>
    <mergeCell ref="BF597:BF602"/>
    <mergeCell ref="BG597:BG602"/>
    <mergeCell ref="BH597:BH602"/>
    <mergeCell ref="BC614:BC618"/>
    <mergeCell ref="BD614:BD618"/>
    <mergeCell ref="BE614:BE618"/>
    <mergeCell ref="BF614:BF618"/>
    <mergeCell ref="BG614:BG618"/>
    <mergeCell ref="BH614:BH618"/>
    <mergeCell ref="BC620:BC623"/>
    <mergeCell ref="BD620:BD623"/>
    <mergeCell ref="BE620:BE623"/>
    <mergeCell ref="BF620:BF623"/>
    <mergeCell ref="BG620:BG623"/>
    <mergeCell ref="BH620:BH623"/>
    <mergeCell ref="BC625:BC627"/>
    <mergeCell ref="BD625:BD627"/>
    <mergeCell ref="BE625:BE627"/>
    <mergeCell ref="BF625:BF627"/>
    <mergeCell ref="BG625:BG627"/>
    <mergeCell ref="BH625:BH627"/>
    <mergeCell ref="BC628:BC630"/>
    <mergeCell ref="BD628:BD630"/>
    <mergeCell ref="BE628:BE630"/>
    <mergeCell ref="BF628:BF630"/>
    <mergeCell ref="BG628:BG630"/>
    <mergeCell ref="BH628:BH630"/>
    <mergeCell ref="BC634:BC636"/>
    <mergeCell ref="BD634:BD636"/>
    <mergeCell ref="BE634:BE636"/>
    <mergeCell ref="BF634:BF636"/>
    <mergeCell ref="BG634:BG636"/>
    <mergeCell ref="BH634:BH636"/>
    <mergeCell ref="BC641:BC647"/>
    <mergeCell ref="BD641:BD647"/>
    <mergeCell ref="BE641:BE647"/>
    <mergeCell ref="BF641:BF647"/>
    <mergeCell ref="BG641:BG647"/>
    <mergeCell ref="BH641:BH647"/>
    <mergeCell ref="BC648:BC649"/>
    <mergeCell ref="BD648:BD649"/>
    <mergeCell ref="BE648:BE649"/>
    <mergeCell ref="BF648:BF649"/>
    <mergeCell ref="BG648:BG649"/>
    <mergeCell ref="BH648:BH649"/>
    <mergeCell ref="BC650:BC655"/>
    <mergeCell ref="BD650:BD655"/>
    <mergeCell ref="BE650:BE655"/>
    <mergeCell ref="BF650:BF655"/>
    <mergeCell ref="BG650:BG655"/>
    <mergeCell ref="BH650:BH655"/>
    <mergeCell ref="BC658:BC669"/>
    <mergeCell ref="BD658:BD669"/>
    <mergeCell ref="BE658:BE669"/>
    <mergeCell ref="BF658:BF669"/>
    <mergeCell ref="BG658:BG669"/>
    <mergeCell ref="BH658:BH669"/>
    <mergeCell ref="BC670:BC671"/>
    <mergeCell ref="BD670:BD671"/>
    <mergeCell ref="BE670:BE671"/>
    <mergeCell ref="BF670:BF671"/>
    <mergeCell ref="BG670:BG671"/>
    <mergeCell ref="BH670:BH671"/>
    <mergeCell ref="BC673:BC679"/>
    <mergeCell ref="BD673:BD679"/>
    <mergeCell ref="BE673:BE679"/>
    <mergeCell ref="BF673:BF679"/>
    <mergeCell ref="BG673:BG679"/>
    <mergeCell ref="BH673:BH679"/>
    <mergeCell ref="BC684:BC685"/>
    <mergeCell ref="BD684:BD685"/>
    <mergeCell ref="BE684:BE685"/>
    <mergeCell ref="BF684:BF685"/>
    <mergeCell ref="BG684:BG685"/>
    <mergeCell ref="BH684:BH685"/>
    <mergeCell ref="BC686:BC687"/>
    <mergeCell ref="BD686:BD687"/>
    <mergeCell ref="BE686:BE687"/>
    <mergeCell ref="BF686:BF687"/>
    <mergeCell ref="BG686:BG687"/>
    <mergeCell ref="BH686:BH687"/>
    <mergeCell ref="BC688:BC689"/>
    <mergeCell ref="BD688:BD689"/>
    <mergeCell ref="BE688:BE689"/>
    <mergeCell ref="BF688:BF689"/>
    <mergeCell ref="BG688:BG689"/>
    <mergeCell ref="BH688:BH689"/>
    <mergeCell ref="BC690:BC693"/>
    <mergeCell ref="BD690:BD693"/>
    <mergeCell ref="BE690:BE693"/>
    <mergeCell ref="BF690:BF693"/>
    <mergeCell ref="BG690:BG693"/>
    <mergeCell ref="BH690:BH693"/>
    <mergeCell ref="BC696:BC698"/>
    <mergeCell ref="BD696:BD698"/>
    <mergeCell ref="BE696:BE698"/>
    <mergeCell ref="BF696:BF698"/>
    <mergeCell ref="BG696:BG698"/>
    <mergeCell ref="BH696:BH698"/>
    <mergeCell ref="BC699:BC702"/>
    <mergeCell ref="BD699:BD702"/>
    <mergeCell ref="BE699:BE702"/>
    <mergeCell ref="BF699:BF702"/>
    <mergeCell ref="BG699:BG702"/>
    <mergeCell ref="BH699:BH702"/>
    <mergeCell ref="BC704:BC753"/>
    <mergeCell ref="BD704:BD753"/>
    <mergeCell ref="BE704:BE753"/>
    <mergeCell ref="BF704:BF753"/>
    <mergeCell ref="BG704:BG753"/>
    <mergeCell ref="BH704:BH753"/>
    <mergeCell ref="BC754:BC778"/>
    <mergeCell ref="BD754:BD778"/>
    <mergeCell ref="BE754:BE778"/>
    <mergeCell ref="BF754:BF778"/>
    <mergeCell ref="BG754:BG778"/>
    <mergeCell ref="BH754:BH778"/>
    <mergeCell ref="BC780:BC784"/>
    <mergeCell ref="BD780:BD784"/>
    <mergeCell ref="BE780:BE784"/>
    <mergeCell ref="BF780:BF784"/>
    <mergeCell ref="BG780:BG784"/>
    <mergeCell ref="BH780:BH784"/>
    <mergeCell ref="BC786:BC792"/>
    <mergeCell ref="BD786:BD792"/>
    <mergeCell ref="BE786:BE792"/>
    <mergeCell ref="BF786:BF792"/>
    <mergeCell ref="BG786:BG792"/>
    <mergeCell ref="BH786:BH792"/>
    <mergeCell ref="BC793:BC794"/>
    <mergeCell ref="BD793:BD794"/>
    <mergeCell ref="BE793:BE794"/>
    <mergeCell ref="BF793:BF794"/>
    <mergeCell ref="BG793:BG794"/>
    <mergeCell ref="BH793:BH794"/>
    <mergeCell ref="BC798:BC799"/>
    <mergeCell ref="BD798:BD799"/>
    <mergeCell ref="BE798:BE799"/>
    <mergeCell ref="BF798:BF799"/>
    <mergeCell ref="BG798:BG799"/>
    <mergeCell ref="BH798:BH799"/>
    <mergeCell ref="BC802:BC803"/>
    <mergeCell ref="BD802:BD803"/>
    <mergeCell ref="BE802:BE803"/>
    <mergeCell ref="BF802:BF803"/>
    <mergeCell ref="BG802:BG803"/>
    <mergeCell ref="BH802:BH803"/>
    <mergeCell ref="BC804:BC805"/>
    <mergeCell ref="BD804:BD805"/>
    <mergeCell ref="BE804:BE805"/>
    <mergeCell ref="BF804:BF805"/>
    <mergeCell ref="BG804:BG805"/>
    <mergeCell ref="BH804:BH805"/>
    <mergeCell ref="BC806:BC807"/>
    <mergeCell ref="BD806:BD807"/>
    <mergeCell ref="BE806:BE807"/>
    <mergeCell ref="BF806:BF807"/>
    <mergeCell ref="BG806:BG807"/>
    <mergeCell ref="BH806:BH807"/>
    <mergeCell ref="BC809:BC817"/>
    <mergeCell ref="BD809:BD817"/>
    <mergeCell ref="BE809:BE817"/>
    <mergeCell ref="BF809:BF817"/>
    <mergeCell ref="BG809:BG817"/>
    <mergeCell ref="BH809:BH817"/>
    <mergeCell ref="BC818:BC819"/>
    <mergeCell ref="BD818:BD819"/>
    <mergeCell ref="BE818:BE819"/>
    <mergeCell ref="BF818:BF819"/>
    <mergeCell ref="BG818:BG819"/>
    <mergeCell ref="BH818:BH819"/>
    <mergeCell ref="BC820:BC824"/>
    <mergeCell ref="BD820:BD824"/>
    <mergeCell ref="BE820:BE824"/>
    <mergeCell ref="BF820:BF824"/>
    <mergeCell ref="BG820:BG824"/>
    <mergeCell ref="BH820:BH824"/>
    <mergeCell ref="BC825:BC826"/>
    <mergeCell ref="BD825:BD826"/>
    <mergeCell ref="BE825:BE826"/>
    <mergeCell ref="BF825:BF826"/>
    <mergeCell ref="BG825:BG826"/>
    <mergeCell ref="BH825:BH826"/>
    <mergeCell ref="BC828:BC830"/>
    <mergeCell ref="BD828:BD830"/>
    <mergeCell ref="BE828:BE830"/>
    <mergeCell ref="BF828:BF830"/>
    <mergeCell ref="BG828:BG830"/>
    <mergeCell ref="BH828:BH830"/>
    <mergeCell ref="BC833:BC834"/>
    <mergeCell ref="BD833:BD834"/>
    <mergeCell ref="BE833:BE834"/>
    <mergeCell ref="BF833:BF834"/>
    <mergeCell ref="BG833:BG834"/>
    <mergeCell ref="BH833:BH834"/>
    <mergeCell ref="BC836:BC838"/>
    <mergeCell ref="BD836:BD838"/>
    <mergeCell ref="BE836:BE838"/>
    <mergeCell ref="BF836:BF838"/>
    <mergeCell ref="BG836:BG838"/>
    <mergeCell ref="BH836:BH838"/>
    <mergeCell ref="BC840:BC855"/>
    <mergeCell ref="BD840:BD855"/>
    <mergeCell ref="BE840:BE855"/>
    <mergeCell ref="BF840:BF855"/>
    <mergeCell ref="BG840:BG855"/>
    <mergeCell ref="BH840:BH855"/>
    <mergeCell ref="BC856:BC858"/>
    <mergeCell ref="BD856:BD858"/>
    <mergeCell ref="BE856:BE858"/>
    <mergeCell ref="BF856:BF858"/>
    <mergeCell ref="BG856:BG858"/>
    <mergeCell ref="BH856:BH858"/>
    <mergeCell ref="BC861:BC864"/>
    <mergeCell ref="BD861:BD864"/>
    <mergeCell ref="BE861:BE864"/>
    <mergeCell ref="BF861:BF864"/>
    <mergeCell ref="BG861:BG864"/>
    <mergeCell ref="BH861:BH864"/>
    <mergeCell ref="BC865:BC867"/>
    <mergeCell ref="BD865:BD867"/>
    <mergeCell ref="BE865:BE867"/>
    <mergeCell ref="BF865:BF867"/>
    <mergeCell ref="BG865:BG867"/>
    <mergeCell ref="BH865:BH867"/>
    <mergeCell ref="BC870:BC876"/>
    <mergeCell ref="BD870:BD876"/>
    <mergeCell ref="BE870:BE876"/>
    <mergeCell ref="BF870:BF876"/>
    <mergeCell ref="BG870:BG876"/>
    <mergeCell ref="BH870:BH876"/>
    <mergeCell ref="BC878:BC883"/>
    <mergeCell ref="BD878:BD883"/>
    <mergeCell ref="BE878:BE883"/>
    <mergeCell ref="BF878:BF883"/>
    <mergeCell ref="BG878:BG883"/>
    <mergeCell ref="BH878:BH883"/>
    <mergeCell ref="BC884:BC885"/>
    <mergeCell ref="BD884:BD885"/>
    <mergeCell ref="BE884:BE885"/>
    <mergeCell ref="BF884:BF885"/>
    <mergeCell ref="BG884:BG885"/>
    <mergeCell ref="BH884:BH885"/>
    <mergeCell ref="BC886:BC888"/>
    <mergeCell ref="BD886:BD888"/>
    <mergeCell ref="BE886:BE888"/>
    <mergeCell ref="BF886:BF888"/>
    <mergeCell ref="BG886:BG888"/>
    <mergeCell ref="BH886:BH888"/>
    <mergeCell ref="BC889:BC890"/>
    <mergeCell ref="BD889:BD890"/>
    <mergeCell ref="BE889:BE890"/>
    <mergeCell ref="BF889:BF890"/>
    <mergeCell ref="BG889:BG890"/>
    <mergeCell ref="BH889:BH890"/>
    <mergeCell ref="BC891:BC895"/>
    <mergeCell ref="BD891:BD895"/>
    <mergeCell ref="BE891:BE895"/>
    <mergeCell ref="BF891:BF895"/>
    <mergeCell ref="BG891:BG895"/>
    <mergeCell ref="BH891:BH895"/>
    <mergeCell ref="BC897:BC898"/>
    <mergeCell ref="BD897:BD898"/>
    <mergeCell ref="BE897:BE898"/>
    <mergeCell ref="BF897:BF898"/>
    <mergeCell ref="BG897:BG898"/>
    <mergeCell ref="BH897:BH898"/>
    <mergeCell ref="BC899:BC900"/>
    <mergeCell ref="BD899:BD900"/>
    <mergeCell ref="BE899:BE900"/>
    <mergeCell ref="BF899:BF900"/>
    <mergeCell ref="BG899:BG900"/>
    <mergeCell ref="BH899:BH900"/>
    <mergeCell ref="BC902:BC907"/>
    <mergeCell ref="BD902:BD907"/>
    <mergeCell ref="BE902:BE907"/>
    <mergeCell ref="BF902:BF907"/>
    <mergeCell ref="BG902:BG907"/>
    <mergeCell ref="BH902:BH907"/>
    <mergeCell ref="BC908:BC916"/>
    <mergeCell ref="BD908:BD916"/>
    <mergeCell ref="BE908:BE916"/>
    <mergeCell ref="BF908:BF916"/>
    <mergeCell ref="BG908:BG916"/>
    <mergeCell ref="BH908:BH916"/>
    <mergeCell ref="BC917:BC918"/>
    <mergeCell ref="BD917:BD918"/>
    <mergeCell ref="BE917:BE918"/>
    <mergeCell ref="BF917:BF918"/>
    <mergeCell ref="BG917:BG918"/>
    <mergeCell ref="BH917:BH918"/>
    <mergeCell ref="BC920:BC922"/>
    <mergeCell ref="BD920:BD922"/>
    <mergeCell ref="BE920:BE922"/>
    <mergeCell ref="BF920:BF922"/>
    <mergeCell ref="BG920:BG922"/>
    <mergeCell ref="BH920:BH922"/>
    <mergeCell ref="BC924:BC926"/>
    <mergeCell ref="BD924:BD926"/>
    <mergeCell ref="BE924:BE926"/>
    <mergeCell ref="BF924:BF926"/>
    <mergeCell ref="BG924:BG926"/>
    <mergeCell ref="BH924:BH926"/>
    <mergeCell ref="BC928:BC929"/>
    <mergeCell ref="BD928:BD929"/>
    <mergeCell ref="BE928:BE929"/>
    <mergeCell ref="BF928:BF929"/>
    <mergeCell ref="BG928:BG929"/>
    <mergeCell ref="BH928:BH929"/>
    <mergeCell ref="BC931:BC933"/>
    <mergeCell ref="BD931:BD933"/>
    <mergeCell ref="BE931:BE933"/>
    <mergeCell ref="BF931:BF933"/>
    <mergeCell ref="BG931:BG933"/>
    <mergeCell ref="BH931:BH933"/>
    <mergeCell ref="BC934:BC937"/>
    <mergeCell ref="BD934:BD937"/>
    <mergeCell ref="BE934:BE937"/>
    <mergeCell ref="BF934:BF937"/>
    <mergeCell ref="BG934:BG937"/>
    <mergeCell ref="BH934:BH937"/>
    <mergeCell ref="BC939:BC946"/>
    <mergeCell ref="BD939:BD946"/>
    <mergeCell ref="BE939:BE946"/>
    <mergeCell ref="BF939:BF946"/>
    <mergeCell ref="BG939:BG946"/>
    <mergeCell ref="BH939:BH946"/>
    <mergeCell ref="BC948:BC949"/>
    <mergeCell ref="BD948:BD949"/>
    <mergeCell ref="BE948:BE949"/>
    <mergeCell ref="BF948:BF949"/>
    <mergeCell ref="BG948:BG949"/>
    <mergeCell ref="BH948:BH949"/>
    <mergeCell ref="BC952:BC954"/>
    <mergeCell ref="BD952:BD954"/>
    <mergeCell ref="BE952:BE954"/>
    <mergeCell ref="BF952:BF954"/>
    <mergeCell ref="BG952:BG954"/>
    <mergeCell ref="BH952:BH954"/>
    <mergeCell ref="BC957:BC967"/>
    <mergeCell ref="BD957:BD967"/>
    <mergeCell ref="BE957:BE967"/>
    <mergeCell ref="BF957:BF967"/>
    <mergeCell ref="BG957:BG967"/>
    <mergeCell ref="BH957:BH967"/>
    <mergeCell ref="BC968:BC969"/>
    <mergeCell ref="BD968:BD969"/>
    <mergeCell ref="BE968:BE969"/>
    <mergeCell ref="BF968:BF969"/>
    <mergeCell ref="BG968:BG969"/>
    <mergeCell ref="BH968:BH969"/>
    <mergeCell ref="BC972:BC978"/>
    <mergeCell ref="BD972:BD978"/>
    <mergeCell ref="BE972:BE978"/>
    <mergeCell ref="BF972:BF978"/>
    <mergeCell ref="BG972:BG978"/>
    <mergeCell ref="BH972:BH978"/>
    <mergeCell ref="BC979:BC984"/>
    <mergeCell ref="BD979:BD984"/>
    <mergeCell ref="BE979:BE984"/>
    <mergeCell ref="BF979:BF984"/>
    <mergeCell ref="BG979:BG984"/>
    <mergeCell ref="BH979:BH984"/>
    <mergeCell ref="BC986:BC988"/>
    <mergeCell ref="BD986:BD988"/>
    <mergeCell ref="BE986:BE988"/>
    <mergeCell ref="BF986:BF988"/>
    <mergeCell ref="BG986:BG988"/>
    <mergeCell ref="BH986:BH988"/>
    <mergeCell ref="BC989:BC990"/>
    <mergeCell ref="BD989:BD990"/>
    <mergeCell ref="BE989:BE990"/>
    <mergeCell ref="BF989:BF990"/>
    <mergeCell ref="BG989:BG990"/>
    <mergeCell ref="BH989:BH990"/>
    <mergeCell ref="BC992:BC996"/>
    <mergeCell ref="BD992:BD996"/>
    <mergeCell ref="BE992:BE996"/>
    <mergeCell ref="BF992:BF996"/>
    <mergeCell ref="BG992:BG996"/>
    <mergeCell ref="BH992:BH996"/>
    <mergeCell ref="BC998:BC999"/>
    <mergeCell ref="BD998:BD999"/>
    <mergeCell ref="BE998:BE999"/>
    <mergeCell ref="BF998:BF999"/>
    <mergeCell ref="BG998:BG999"/>
    <mergeCell ref="BH998:BH999"/>
    <mergeCell ref="BC1002:BC1003"/>
    <mergeCell ref="BD1002:BD1003"/>
    <mergeCell ref="BE1002:BE1003"/>
    <mergeCell ref="BF1002:BF1003"/>
    <mergeCell ref="BG1002:BG1003"/>
    <mergeCell ref="BH1002:BH1003"/>
    <mergeCell ref="BC1007:BC1008"/>
    <mergeCell ref="BD1007:BD1008"/>
    <mergeCell ref="BE1007:BE1008"/>
    <mergeCell ref="BF1007:BF1008"/>
    <mergeCell ref="BG1007:BG1008"/>
    <mergeCell ref="BH1007:BH1008"/>
    <mergeCell ref="BC1013:BC1016"/>
    <mergeCell ref="BD1013:BD1016"/>
    <mergeCell ref="BE1013:BE1016"/>
    <mergeCell ref="BF1013:BF1016"/>
    <mergeCell ref="BG1013:BG1016"/>
    <mergeCell ref="BH1013:BH1016"/>
    <mergeCell ref="BC1019:BC1025"/>
    <mergeCell ref="BD1019:BD1025"/>
    <mergeCell ref="BE1019:BE1025"/>
    <mergeCell ref="BF1019:BF1025"/>
    <mergeCell ref="BG1019:BG1025"/>
    <mergeCell ref="BH1019:BH1025"/>
    <mergeCell ref="BC1026:BC1027"/>
    <mergeCell ref="BD1026:BD1027"/>
    <mergeCell ref="BE1026:BE1027"/>
    <mergeCell ref="BF1026:BF1027"/>
    <mergeCell ref="BG1026:BG1027"/>
    <mergeCell ref="BH1026:BH1027"/>
    <mergeCell ref="BC1032:BC1033"/>
    <mergeCell ref="BD1032:BD1033"/>
    <mergeCell ref="BE1032:BE1033"/>
    <mergeCell ref="BF1032:BF1033"/>
    <mergeCell ref="BG1032:BG1033"/>
    <mergeCell ref="BH1032:BH1033"/>
    <mergeCell ref="BC1034:BC1035"/>
    <mergeCell ref="BD1034:BD1035"/>
    <mergeCell ref="BE1034:BE1035"/>
    <mergeCell ref="BF1034:BF1035"/>
    <mergeCell ref="BG1034:BG1035"/>
    <mergeCell ref="BH1034:BH1035"/>
    <mergeCell ref="BC1037:BC1039"/>
    <mergeCell ref="BD1037:BD1039"/>
    <mergeCell ref="BE1037:BE1039"/>
    <mergeCell ref="BF1037:BF1039"/>
    <mergeCell ref="BG1037:BG1039"/>
    <mergeCell ref="BH1037:BH1039"/>
    <mergeCell ref="BC1040:BC1041"/>
    <mergeCell ref="BD1040:BD1041"/>
    <mergeCell ref="BE1040:BE1041"/>
    <mergeCell ref="BF1040:BF1041"/>
    <mergeCell ref="BG1040:BG1041"/>
    <mergeCell ref="BH1040:BH1041"/>
    <mergeCell ref="BC1043:BC1053"/>
    <mergeCell ref="BD1043:BD1053"/>
    <mergeCell ref="BE1043:BE1053"/>
    <mergeCell ref="BF1043:BF1053"/>
    <mergeCell ref="BG1043:BG1053"/>
    <mergeCell ref="BH1043:BH1053"/>
    <mergeCell ref="AV6:AV10"/>
    <mergeCell ref="AW6:AW10"/>
    <mergeCell ref="AX6:AX10"/>
    <mergeCell ref="AY6:AY10"/>
    <mergeCell ref="AZ6:AZ10"/>
    <mergeCell ref="BA6:BA10"/>
    <mergeCell ref="AV11:AV13"/>
    <mergeCell ref="AW11:AW13"/>
    <mergeCell ref="AX11:AX13"/>
    <mergeCell ref="AY11:AY13"/>
    <mergeCell ref="AZ11:AZ13"/>
    <mergeCell ref="BA11:BA13"/>
    <mergeCell ref="AV14:AV15"/>
    <mergeCell ref="AW14:AW15"/>
    <mergeCell ref="AX14:AX15"/>
    <mergeCell ref="AY14:AY15"/>
    <mergeCell ref="AZ14:AZ15"/>
    <mergeCell ref="BA14:BA15"/>
    <mergeCell ref="AV17:AV18"/>
    <mergeCell ref="AW17:AW18"/>
    <mergeCell ref="AX17:AX18"/>
    <mergeCell ref="AY17:AY18"/>
    <mergeCell ref="AZ17:AZ18"/>
    <mergeCell ref="BA17:BA18"/>
    <mergeCell ref="AV19:AV20"/>
    <mergeCell ref="AW19:AW20"/>
    <mergeCell ref="AX19:AX20"/>
    <mergeCell ref="AY19:AY20"/>
    <mergeCell ref="AZ19:AZ20"/>
    <mergeCell ref="BA19:BA20"/>
    <mergeCell ref="AV21:AV23"/>
    <mergeCell ref="AW21:AW23"/>
    <mergeCell ref="AX21:AX23"/>
    <mergeCell ref="AY21:AY23"/>
    <mergeCell ref="AZ21:AZ23"/>
    <mergeCell ref="BA21:BA23"/>
    <mergeCell ref="AV25:AV26"/>
    <mergeCell ref="AW25:AW26"/>
    <mergeCell ref="AX25:AX26"/>
    <mergeCell ref="AY25:AY26"/>
    <mergeCell ref="AZ25:AZ26"/>
    <mergeCell ref="BA25:BA26"/>
    <mergeCell ref="AV28:AV30"/>
    <mergeCell ref="AW28:AW30"/>
    <mergeCell ref="AX28:AX30"/>
    <mergeCell ref="AY28:AY30"/>
    <mergeCell ref="AZ28:AZ30"/>
    <mergeCell ref="BA28:BA30"/>
    <mergeCell ref="AV31:AV34"/>
    <mergeCell ref="AW31:AW34"/>
    <mergeCell ref="AX31:AX34"/>
    <mergeCell ref="AY31:AY34"/>
    <mergeCell ref="AZ31:AZ34"/>
    <mergeCell ref="BA31:BA34"/>
    <mergeCell ref="AV35:AV37"/>
    <mergeCell ref="AW35:AW37"/>
    <mergeCell ref="AX35:AX37"/>
    <mergeCell ref="AY35:AY37"/>
    <mergeCell ref="AZ35:AZ37"/>
    <mergeCell ref="BA35:BA37"/>
    <mergeCell ref="AV38:AV39"/>
    <mergeCell ref="AW38:AW39"/>
    <mergeCell ref="AX38:AX39"/>
    <mergeCell ref="AY38:AY39"/>
    <mergeCell ref="AZ38:AZ39"/>
    <mergeCell ref="BA38:BA39"/>
    <mergeCell ref="AV40:AV43"/>
    <mergeCell ref="AW40:AW43"/>
    <mergeCell ref="AX40:AX43"/>
    <mergeCell ref="AY40:AY43"/>
    <mergeCell ref="AZ40:AZ43"/>
    <mergeCell ref="BA40:BA43"/>
    <mergeCell ref="AV44:AV49"/>
    <mergeCell ref="AW44:AW49"/>
    <mergeCell ref="AX44:AX49"/>
    <mergeCell ref="AY44:AY49"/>
    <mergeCell ref="AZ44:AZ49"/>
    <mergeCell ref="BA44:BA49"/>
    <mergeCell ref="AV50:AV52"/>
    <mergeCell ref="AW50:AW52"/>
    <mergeCell ref="AX50:AX52"/>
    <mergeCell ref="AY50:AY52"/>
    <mergeCell ref="AZ50:AZ52"/>
    <mergeCell ref="BA50:BA52"/>
    <mergeCell ref="AV53:AV54"/>
    <mergeCell ref="AW53:AW54"/>
    <mergeCell ref="AX53:AX54"/>
    <mergeCell ref="AY53:AY54"/>
    <mergeCell ref="AZ53:AZ54"/>
    <mergeCell ref="BA53:BA54"/>
    <mergeCell ref="AV68:AV70"/>
    <mergeCell ref="AW68:AW70"/>
    <mergeCell ref="AX68:AX70"/>
    <mergeCell ref="AY68:AY70"/>
    <mergeCell ref="AZ68:AZ70"/>
    <mergeCell ref="BA68:BA70"/>
    <mergeCell ref="AV71:AV73"/>
    <mergeCell ref="AW71:AW73"/>
    <mergeCell ref="AX71:AX73"/>
    <mergeCell ref="AY71:AY73"/>
    <mergeCell ref="AZ71:AZ73"/>
    <mergeCell ref="BA71:BA73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AV82:AV83"/>
    <mergeCell ref="AW82:AW83"/>
    <mergeCell ref="AX82:AX83"/>
    <mergeCell ref="AY82:AY83"/>
    <mergeCell ref="AZ82:AZ83"/>
    <mergeCell ref="BA82:BA83"/>
    <mergeCell ref="AV84:AV85"/>
    <mergeCell ref="AW84:AW85"/>
    <mergeCell ref="AX84:AX85"/>
    <mergeCell ref="AY84:AY85"/>
    <mergeCell ref="AZ84:AZ85"/>
    <mergeCell ref="BA84:BA85"/>
    <mergeCell ref="AV87:AV88"/>
    <mergeCell ref="AW87:AW88"/>
    <mergeCell ref="AX87:AX88"/>
    <mergeCell ref="AY87:AY88"/>
    <mergeCell ref="AZ87:AZ88"/>
    <mergeCell ref="BA87:BA88"/>
    <mergeCell ref="AV97:AV98"/>
    <mergeCell ref="AW97:AW98"/>
    <mergeCell ref="AX97:AX98"/>
    <mergeCell ref="AY97:AY98"/>
    <mergeCell ref="AZ97:AZ98"/>
    <mergeCell ref="BA97:BA98"/>
    <mergeCell ref="AV116:AV117"/>
    <mergeCell ref="AW116:AW117"/>
    <mergeCell ref="AX116:AX117"/>
    <mergeCell ref="AY116:AY117"/>
    <mergeCell ref="AZ116:AZ117"/>
    <mergeCell ref="BA116:BA117"/>
    <mergeCell ref="AV119:AV120"/>
    <mergeCell ref="AW119:AW120"/>
    <mergeCell ref="AX119:AX120"/>
    <mergeCell ref="AY119:AY120"/>
    <mergeCell ref="AZ119:AZ120"/>
    <mergeCell ref="BA119:BA120"/>
    <mergeCell ref="AV121:AV122"/>
    <mergeCell ref="AW121:AW122"/>
    <mergeCell ref="AX121:AX122"/>
    <mergeCell ref="AY121:AY122"/>
    <mergeCell ref="AZ121:AZ122"/>
    <mergeCell ref="BA121:BA122"/>
    <mergeCell ref="AV144:AV145"/>
    <mergeCell ref="AW144:AW145"/>
    <mergeCell ref="AX144:AX145"/>
    <mergeCell ref="AY144:AY145"/>
    <mergeCell ref="AZ144:AZ145"/>
    <mergeCell ref="BA144:BA145"/>
    <mergeCell ref="AV146:AV147"/>
    <mergeCell ref="AW146:AW147"/>
    <mergeCell ref="AX146:AX147"/>
    <mergeCell ref="AY146:AY147"/>
    <mergeCell ref="AZ146:AZ147"/>
    <mergeCell ref="BA146:BA147"/>
    <mergeCell ref="AV160:AV162"/>
    <mergeCell ref="AW160:AW162"/>
    <mergeCell ref="AX160:AX162"/>
    <mergeCell ref="AY160:AY162"/>
    <mergeCell ref="AZ160:AZ162"/>
    <mergeCell ref="BA160:BA162"/>
    <mergeCell ref="AV164:AV165"/>
    <mergeCell ref="AW164:AW165"/>
    <mergeCell ref="AX164:AX165"/>
    <mergeCell ref="AY164:AY165"/>
    <mergeCell ref="AZ164:AZ165"/>
    <mergeCell ref="BA164:BA165"/>
    <mergeCell ref="AV167:AV169"/>
    <mergeCell ref="AW167:AW169"/>
    <mergeCell ref="AX167:AX169"/>
    <mergeCell ref="AY167:AY169"/>
    <mergeCell ref="AZ167:AZ169"/>
    <mergeCell ref="BA167:BA169"/>
    <mergeCell ref="AV170:AV174"/>
    <mergeCell ref="AW170:AW174"/>
    <mergeCell ref="AX170:AX174"/>
    <mergeCell ref="AY170:AY174"/>
    <mergeCell ref="AZ170:AZ174"/>
    <mergeCell ref="BA170:BA174"/>
    <mergeCell ref="AV182:AV183"/>
    <mergeCell ref="AW182:AW183"/>
    <mergeCell ref="AX182:AX183"/>
    <mergeCell ref="AY182:AY183"/>
    <mergeCell ref="AZ182:AZ183"/>
    <mergeCell ref="BA182:BA183"/>
    <mergeCell ref="AV185:AV186"/>
    <mergeCell ref="AW185:AW186"/>
    <mergeCell ref="AX185:AX186"/>
    <mergeCell ref="AY185:AY186"/>
    <mergeCell ref="AZ185:AZ186"/>
    <mergeCell ref="BA185:BA186"/>
    <mergeCell ref="AV187:AV191"/>
    <mergeCell ref="AW187:AW191"/>
    <mergeCell ref="AX187:AX191"/>
    <mergeCell ref="AY187:AY191"/>
    <mergeCell ref="AZ187:AZ191"/>
    <mergeCell ref="BA187:BA191"/>
    <mergeCell ref="AV203:AV204"/>
    <mergeCell ref="AW203:AW204"/>
    <mergeCell ref="AX203:AX204"/>
    <mergeCell ref="AY203:AY204"/>
    <mergeCell ref="AZ203:AZ204"/>
    <mergeCell ref="BA203:BA204"/>
    <mergeCell ref="AV205:AV207"/>
    <mergeCell ref="AW205:AW207"/>
    <mergeCell ref="AX205:AX207"/>
    <mergeCell ref="AY205:AY207"/>
    <mergeCell ref="AZ205:AZ207"/>
    <mergeCell ref="BA205:BA207"/>
    <mergeCell ref="AV208:AV210"/>
    <mergeCell ref="AW208:AW210"/>
    <mergeCell ref="AX208:AX210"/>
    <mergeCell ref="AY208:AY210"/>
    <mergeCell ref="AZ208:AZ210"/>
    <mergeCell ref="BA208:BA210"/>
    <mergeCell ref="AV211:AV213"/>
    <mergeCell ref="AW211:AW213"/>
    <mergeCell ref="AX211:AX213"/>
    <mergeCell ref="AY211:AY213"/>
    <mergeCell ref="AZ211:AZ213"/>
    <mergeCell ref="BA211:BA213"/>
    <mergeCell ref="AV214:AV215"/>
    <mergeCell ref="AW214:AW215"/>
    <mergeCell ref="AX214:AX215"/>
    <mergeCell ref="AY214:AY215"/>
    <mergeCell ref="AZ214:AZ215"/>
    <mergeCell ref="BA214:BA215"/>
    <mergeCell ref="AV223:AV224"/>
    <mergeCell ref="AW223:AW224"/>
    <mergeCell ref="AX223:AX224"/>
    <mergeCell ref="AY223:AY224"/>
    <mergeCell ref="AZ223:AZ224"/>
    <mergeCell ref="BA223:BA224"/>
    <mergeCell ref="AV225:AV227"/>
    <mergeCell ref="AW225:AW227"/>
    <mergeCell ref="AX225:AX227"/>
    <mergeCell ref="AY225:AY227"/>
    <mergeCell ref="AZ225:AZ227"/>
    <mergeCell ref="BA225:BA227"/>
    <mergeCell ref="AV234:AV235"/>
    <mergeCell ref="AW234:AW235"/>
    <mergeCell ref="AX234:AX235"/>
    <mergeCell ref="AY234:AY235"/>
    <mergeCell ref="AZ234:AZ235"/>
    <mergeCell ref="BA234:BA235"/>
    <mergeCell ref="AV237:AV239"/>
    <mergeCell ref="AW237:AW239"/>
    <mergeCell ref="AX237:AX239"/>
    <mergeCell ref="AY237:AY239"/>
    <mergeCell ref="AZ237:AZ239"/>
    <mergeCell ref="BA237:BA239"/>
    <mergeCell ref="AV240:AV241"/>
    <mergeCell ref="AW240:AW241"/>
    <mergeCell ref="AX240:AX241"/>
    <mergeCell ref="AY240:AY241"/>
    <mergeCell ref="AZ240:AZ241"/>
    <mergeCell ref="BA240:BA241"/>
    <mergeCell ref="AV242:AV243"/>
    <mergeCell ref="AW242:AW243"/>
    <mergeCell ref="AX242:AX243"/>
    <mergeCell ref="AY242:AY243"/>
    <mergeCell ref="AZ242:AZ243"/>
    <mergeCell ref="BA242:BA243"/>
    <mergeCell ref="AV245:AV246"/>
    <mergeCell ref="AW245:AW246"/>
    <mergeCell ref="AX245:AX246"/>
    <mergeCell ref="AY245:AY246"/>
    <mergeCell ref="AZ245:AZ246"/>
    <mergeCell ref="BA245:BA246"/>
    <mergeCell ref="AV248:AV251"/>
    <mergeCell ref="AW248:AW251"/>
    <mergeCell ref="AX248:AX251"/>
    <mergeCell ref="AY248:AY251"/>
    <mergeCell ref="AZ248:AZ251"/>
    <mergeCell ref="BA248:BA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9:AV261"/>
    <mergeCell ref="AW259:AW261"/>
    <mergeCell ref="AX259:AX261"/>
    <mergeCell ref="AY259:AY261"/>
    <mergeCell ref="AZ259:AZ261"/>
    <mergeCell ref="BA259:BA261"/>
    <mergeCell ref="AV263:AV265"/>
    <mergeCell ref="AW263:AW265"/>
    <mergeCell ref="AX263:AX265"/>
    <mergeCell ref="AY263:AY265"/>
    <mergeCell ref="AZ263:AZ265"/>
    <mergeCell ref="BA263:BA265"/>
    <mergeCell ref="AV267:AV269"/>
    <mergeCell ref="AW267:AW269"/>
    <mergeCell ref="AX267:AX269"/>
    <mergeCell ref="AY267:AY269"/>
    <mergeCell ref="AZ267:AZ269"/>
    <mergeCell ref="BA267:BA269"/>
    <mergeCell ref="AV270:AV272"/>
    <mergeCell ref="AW270:AW272"/>
    <mergeCell ref="AX270:AX272"/>
    <mergeCell ref="AY270:AY272"/>
    <mergeCell ref="AZ270:AZ272"/>
    <mergeCell ref="BA270:BA272"/>
    <mergeCell ref="AV273:AV274"/>
    <mergeCell ref="AW273:AW274"/>
    <mergeCell ref="AX273:AX274"/>
    <mergeCell ref="AY273:AY274"/>
    <mergeCell ref="AZ273:AZ274"/>
    <mergeCell ref="BA273:BA274"/>
    <mergeCell ref="AV276:AV277"/>
    <mergeCell ref="AW276:AW277"/>
    <mergeCell ref="AX276:AX277"/>
    <mergeCell ref="AY276:AY277"/>
    <mergeCell ref="AZ276:AZ277"/>
    <mergeCell ref="BA276:BA277"/>
    <mergeCell ref="AV278:AV279"/>
    <mergeCell ref="AW278:AW279"/>
    <mergeCell ref="AX278:AX279"/>
    <mergeCell ref="AY278:AY279"/>
    <mergeCell ref="AZ278:AZ279"/>
    <mergeCell ref="BA278:BA279"/>
    <mergeCell ref="AV282:AV285"/>
    <mergeCell ref="AW282:AW285"/>
    <mergeCell ref="AX282:AX285"/>
    <mergeCell ref="AY282:AY285"/>
    <mergeCell ref="AZ282:AZ285"/>
    <mergeCell ref="BA282:BA285"/>
    <mergeCell ref="AV286:AV287"/>
    <mergeCell ref="AW286:AW287"/>
    <mergeCell ref="AX286:AX287"/>
    <mergeCell ref="AY286:AY287"/>
    <mergeCell ref="AZ286:AZ287"/>
    <mergeCell ref="BA286:BA287"/>
    <mergeCell ref="AV288:AV289"/>
    <mergeCell ref="AW288:AW289"/>
    <mergeCell ref="AX288:AX289"/>
    <mergeCell ref="AY288:AY289"/>
    <mergeCell ref="AZ288:AZ289"/>
    <mergeCell ref="BA288:BA289"/>
    <mergeCell ref="AV291:AV294"/>
    <mergeCell ref="AW291:AW294"/>
    <mergeCell ref="AX291:AX294"/>
    <mergeCell ref="AY291:AY294"/>
    <mergeCell ref="AZ291:AZ294"/>
    <mergeCell ref="BA291:BA294"/>
    <mergeCell ref="AV295:AV297"/>
    <mergeCell ref="AW295:AW297"/>
    <mergeCell ref="AX295:AX297"/>
    <mergeCell ref="AY295:AY297"/>
    <mergeCell ref="AZ295:AZ297"/>
    <mergeCell ref="BA295:BA297"/>
    <mergeCell ref="AV300:AV303"/>
    <mergeCell ref="AW300:AW303"/>
    <mergeCell ref="AX300:AX303"/>
    <mergeCell ref="AY300:AY303"/>
    <mergeCell ref="AZ300:AZ303"/>
    <mergeCell ref="BA300:BA303"/>
    <mergeCell ref="AV304:AV306"/>
    <mergeCell ref="AW304:AW306"/>
    <mergeCell ref="AX304:AX306"/>
    <mergeCell ref="AY304:AY306"/>
    <mergeCell ref="AZ304:AZ306"/>
    <mergeCell ref="BA304:BA306"/>
    <mergeCell ref="AV307:AV311"/>
    <mergeCell ref="AW307:AW311"/>
    <mergeCell ref="AX307:AX311"/>
    <mergeCell ref="AY307:AY311"/>
    <mergeCell ref="AZ307:AZ311"/>
    <mergeCell ref="BA307:BA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8:AV322"/>
    <mergeCell ref="AW318:AW322"/>
    <mergeCell ref="AX318:AX322"/>
    <mergeCell ref="AY318:AY322"/>
    <mergeCell ref="AZ318:AZ322"/>
    <mergeCell ref="BA318:BA322"/>
    <mergeCell ref="AV323:AV328"/>
    <mergeCell ref="AW323:AW328"/>
    <mergeCell ref="AX323:AX328"/>
    <mergeCell ref="AY323:AY328"/>
    <mergeCell ref="AZ323:AZ328"/>
    <mergeCell ref="BA323:BA328"/>
    <mergeCell ref="AV331:AV332"/>
    <mergeCell ref="AW331:AW332"/>
    <mergeCell ref="AX331:AX332"/>
    <mergeCell ref="AY331:AY332"/>
    <mergeCell ref="AZ331:AZ332"/>
    <mergeCell ref="BA331:BA332"/>
    <mergeCell ref="AV334:AV335"/>
    <mergeCell ref="AW334:AW335"/>
    <mergeCell ref="AX334:AX335"/>
    <mergeCell ref="AY334:AY335"/>
    <mergeCell ref="AZ334:AZ335"/>
    <mergeCell ref="BA334:BA335"/>
    <mergeCell ref="AV338:AV341"/>
    <mergeCell ref="AW338:AW341"/>
    <mergeCell ref="AX338:AX341"/>
    <mergeCell ref="AY338:AY341"/>
    <mergeCell ref="AZ338:AZ341"/>
    <mergeCell ref="BA338:BA341"/>
    <mergeCell ref="AV344:AV348"/>
    <mergeCell ref="AW344:AW348"/>
    <mergeCell ref="AX344:AX348"/>
    <mergeCell ref="AY344:AY348"/>
    <mergeCell ref="AZ344:AZ348"/>
    <mergeCell ref="BA344:BA348"/>
    <mergeCell ref="AV349:AV353"/>
    <mergeCell ref="AW349:AW353"/>
    <mergeCell ref="AX349:AX353"/>
    <mergeCell ref="AY349:AY353"/>
    <mergeCell ref="AZ349:AZ353"/>
    <mergeCell ref="BA349:BA353"/>
    <mergeCell ref="AV354:AV355"/>
    <mergeCell ref="AW354:AW355"/>
    <mergeCell ref="AX354:AX355"/>
    <mergeCell ref="AY354:AY355"/>
    <mergeCell ref="AZ354:AZ355"/>
    <mergeCell ref="BA354:BA355"/>
    <mergeCell ref="AV356:AV357"/>
    <mergeCell ref="AW356:AW357"/>
    <mergeCell ref="AX356:AX357"/>
    <mergeCell ref="AY356:AY357"/>
    <mergeCell ref="AZ356:AZ357"/>
    <mergeCell ref="BA356:BA357"/>
    <mergeCell ref="AV360:AV361"/>
    <mergeCell ref="AW360:AW361"/>
    <mergeCell ref="AX360:AX361"/>
    <mergeCell ref="AY360:AY361"/>
    <mergeCell ref="AZ360:AZ361"/>
    <mergeCell ref="BA360:BA361"/>
    <mergeCell ref="AV364:AV366"/>
    <mergeCell ref="AW364:AW366"/>
    <mergeCell ref="AX364:AX366"/>
    <mergeCell ref="AY364:AY366"/>
    <mergeCell ref="AZ364:AZ366"/>
    <mergeCell ref="BA364:BA366"/>
    <mergeCell ref="AV367:AV369"/>
    <mergeCell ref="AW367:AW369"/>
    <mergeCell ref="AX367:AX369"/>
    <mergeCell ref="AY367:AY369"/>
    <mergeCell ref="AZ367:AZ369"/>
    <mergeCell ref="BA367:BA369"/>
    <mergeCell ref="AV370:AV373"/>
    <mergeCell ref="AW370:AW373"/>
    <mergeCell ref="AX370:AX373"/>
    <mergeCell ref="AY370:AY373"/>
    <mergeCell ref="AZ370:AZ373"/>
    <mergeCell ref="BA370:BA373"/>
    <mergeCell ref="AV374:AV375"/>
    <mergeCell ref="AW374:AW375"/>
    <mergeCell ref="AX374:AX375"/>
    <mergeCell ref="AY374:AY375"/>
    <mergeCell ref="AZ374:AZ375"/>
    <mergeCell ref="BA374:BA375"/>
    <mergeCell ref="AV376:AV377"/>
    <mergeCell ref="AW376:AW377"/>
    <mergeCell ref="AX376:AX377"/>
    <mergeCell ref="AY376:AY377"/>
    <mergeCell ref="AZ376:AZ377"/>
    <mergeCell ref="BA376:BA377"/>
    <mergeCell ref="AV379:AV380"/>
    <mergeCell ref="AW379:AW380"/>
    <mergeCell ref="AX379:AX380"/>
    <mergeCell ref="AY379:AY380"/>
    <mergeCell ref="AZ379:AZ380"/>
    <mergeCell ref="BA379:BA380"/>
    <mergeCell ref="AV393:AV395"/>
    <mergeCell ref="AW393:AW395"/>
    <mergeCell ref="AX393:AX395"/>
    <mergeCell ref="AY393:AY395"/>
    <mergeCell ref="AZ393:AZ395"/>
    <mergeCell ref="BA393:BA395"/>
    <mergeCell ref="AV396:AV398"/>
    <mergeCell ref="AW396:AW398"/>
    <mergeCell ref="AX396:AX398"/>
    <mergeCell ref="AY396:AY398"/>
    <mergeCell ref="AZ396:AZ398"/>
    <mergeCell ref="BA396:BA398"/>
    <mergeCell ref="AV399:AV400"/>
    <mergeCell ref="AW399:AW400"/>
    <mergeCell ref="AX399:AX400"/>
    <mergeCell ref="AY399:AY400"/>
    <mergeCell ref="AZ399:AZ400"/>
    <mergeCell ref="BA399:BA400"/>
    <mergeCell ref="AV405:AV406"/>
    <mergeCell ref="AW405:AW406"/>
    <mergeCell ref="AX405:AX406"/>
    <mergeCell ref="AY405:AY406"/>
    <mergeCell ref="AZ405:AZ406"/>
    <mergeCell ref="BA405:BA406"/>
    <mergeCell ref="AV407:AV408"/>
    <mergeCell ref="AW407:AW408"/>
    <mergeCell ref="AX407:AX408"/>
    <mergeCell ref="AY407:AY408"/>
    <mergeCell ref="AZ407:AZ408"/>
    <mergeCell ref="BA407:BA408"/>
    <mergeCell ref="AV415:AV416"/>
    <mergeCell ref="AW415:AW416"/>
    <mergeCell ref="AX415:AX416"/>
    <mergeCell ref="AY415:AY416"/>
    <mergeCell ref="AZ415:AZ416"/>
    <mergeCell ref="BA415:BA416"/>
    <mergeCell ref="AV422:AV426"/>
    <mergeCell ref="AW422:AW426"/>
    <mergeCell ref="AX422:AX426"/>
    <mergeCell ref="AY422:AY426"/>
    <mergeCell ref="AZ422:AZ426"/>
    <mergeCell ref="BA422:BA426"/>
    <mergeCell ref="AV427:AV429"/>
    <mergeCell ref="AW427:AW429"/>
    <mergeCell ref="AX427:AX429"/>
    <mergeCell ref="AY427:AY429"/>
    <mergeCell ref="AZ427:AZ429"/>
    <mergeCell ref="BA427:BA429"/>
    <mergeCell ref="AV430:AV431"/>
    <mergeCell ref="AW430:AW431"/>
    <mergeCell ref="AX430:AX431"/>
    <mergeCell ref="AY430:AY431"/>
    <mergeCell ref="AZ430:AZ431"/>
    <mergeCell ref="BA430:BA431"/>
    <mergeCell ref="AV432:AV434"/>
    <mergeCell ref="AW432:AW434"/>
    <mergeCell ref="AX432:AX434"/>
    <mergeCell ref="AY432:AY434"/>
    <mergeCell ref="AZ432:AZ434"/>
    <mergeCell ref="BA432:BA434"/>
    <mergeCell ref="AV435:AV439"/>
    <mergeCell ref="AW435:AW439"/>
    <mergeCell ref="AX435:AX439"/>
    <mergeCell ref="AY435:AY439"/>
    <mergeCell ref="AZ435:AZ439"/>
    <mergeCell ref="BA435:BA439"/>
    <mergeCell ref="AV440:AV441"/>
    <mergeCell ref="AW440:AW441"/>
    <mergeCell ref="AX440:AX441"/>
    <mergeCell ref="AY440:AY441"/>
    <mergeCell ref="AZ440:AZ441"/>
    <mergeCell ref="BA440:BA441"/>
    <mergeCell ref="AV442:AV444"/>
    <mergeCell ref="AW442:AW444"/>
    <mergeCell ref="AX442:AX444"/>
    <mergeCell ref="AY442:AY444"/>
    <mergeCell ref="AZ442:AZ444"/>
    <mergeCell ref="BA442:BA444"/>
    <mergeCell ref="AV445:AV447"/>
    <mergeCell ref="AW445:AW447"/>
    <mergeCell ref="AX445:AX447"/>
    <mergeCell ref="AY445:AY447"/>
    <mergeCell ref="AZ445:AZ447"/>
    <mergeCell ref="BA445:BA447"/>
    <mergeCell ref="AV448:AV449"/>
    <mergeCell ref="AW448:AW449"/>
    <mergeCell ref="AX448:AX449"/>
    <mergeCell ref="AY448:AY449"/>
    <mergeCell ref="AZ448:AZ449"/>
    <mergeCell ref="BA448:BA449"/>
    <mergeCell ref="AV455:AV456"/>
    <mergeCell ref="AW455:AW456"/>
    <mergeCell ref="AX455:AX456"/>
    <mergeCell ref="AY455:AY456"/>
    <mergeCell ref="AZ455:AZ456"/>
    <mergeCell ref="BA455:BA456"/>
    <mergeCell ref="AV458:AV459"/>
    <mergeCell ref="AW458:AW459"/>
    <mergeCell ref="AX458:AX459"/>
    <mergeCell ref="AY458:AY459"/>
    <mergeCell ref="AZ458:AZ459"/>
    <mergeCell ref="BA458:BA459"/>
    <mergeCell ref="AV460:AV461"/>
    <mergeCell ref="AW460:AW461"/>
    <mergeCell ref="AX460:AX461"/>
    <mergeCell ref="AY460:AY461"/>
    <mergeCell ref="AZ460:AZ461"/>
    <mergeCell ref="BA460:BA461"/>
    <mergeCell ref="AV466:AV468"/>
    <mergeCell ref="AW466:AW468"/>
    <mergeCell ref="AX466:AX468"/>
    <mergeCell ref="AY466:AY468"/>
    <mergeCell ref="AZ466:AZ468"/>
    <mergeCell ref="BA466:BA468"/>
    <mergeCell ref="AV473:AV474"/>
    <mergeCell ref="AW473:AW474"/>
    <mergeCell ref="AX473:AX474"/>
    <mergeCell ref="AY473:AY474"/>
    <mergeCell ref="AZ473:AZ474"/>
    <mergeCell ref="BA473:BA474"/>
    <mergeCell ref="AV475:AV476"/>
    <mergeCell ref="AW475:AW476"/>
    <mergeCell ref="AX475:AX476"/>
    <mergeCell ref="AY475:AY476"/>
    <mergeCell ref="AZ475:AZ476"/>
    <mergeCell ref="BA475:BA476"/>
    <mergeCell ref="AV478:AV481"/>
    <mergeCell ref="AW478:AW481"/>
    <mergeCell ref="AX478:AX481"/>
    <mergeCell ref="AY478:AY481"/>
    <mergeCell ref="AZ478:AZ481"/>
    <mergeCell ref="BA478:BA481"/>
    <mergeCell ref="AV482:AV484"/>
    <mergeCell ref="AW482:AW484"/>
    <mergeCell ref="AX482:AX484"/>
    <mergeCell ref="AY482:AY484"/>
    <mergeCell ref="AZ482:AZ484"/>
    <mergeCell ref="BA482:BA484"/>
    <mergeCell ref="AV485:AV486"/>
    <mergeCell ref="AW485:AW486"/>
    <mergeCell ref="AX485:AX486"/>
    <mergeCell ref="AY485:AY486"/>
    <mergeCell ref="AZ485:AZ486"/>
    <mergeCell ref="BA485:BA486"/>
    <mergeCell ref="AV487:AV489"/>
    <mergeCell ref="AW487:AW489"/>
    <mergeCell ref="AX487:AX489"/>
    <mergeCell ref="AY487:AY489"/>
    <mergeCell ref="AZ487:AZ489"/>
    <mergeCell ref="BA487:BA489"/>
    <mergeCell ref="AV490:AV491"/>
    <mergeCell ref="AW490:AW491"/>
    <mergeCell ref="AX490:AX491"/>
    <mergeCell ref="AY490:AY491"/>
    <mergeCell ref="AZ490:AZ491"/>
    <mergeCell ref="BA490:BA491"/>
    <mergeCell ref="AV502:AV503"/>
    <mergeCell ref="AW502:AW503"/>
    <mergeCell ref="AX502:AX503"/>
    <mergeCell ref="AY502:AY503"/>
    <mergeCell ref="AZ502:AZ503"/>
    <mergeCell ref="BA502:BA503"/>
    <mergeCell ref="AV512:AV513"/>
    <mergeCell ref="AW512:AW513"/>
    <mergeCell ref="AX512:AX513"/>
    <mergeCell ref="AY512:AY513"/>
    <mergeCell ref="AZ512:AZ513"/>
    <mergeCell ref="BA512:BA513"/>
    <mergeCell ref="AV515:AV517"/>
    <mergeCell ref="AW515:AW517"/>
    <mergeCell ref="AX515:AX517"/>
    <mergeCell ref="AY515:AY517"/>
    <mergeCell ref="AZ515:AZ517"/>
    <mergeCell ref="BA515:BA517"/>
    <mergeCell ref="AV519:AV520"/>
    <mergeCell ref="AW519:AW520"/>
    <mergeCell ref="AX519:AX520"/>
    <mergeCell ref="AY519:AY520"/>
    <mergeCell ref="AZ519:AZ520"/>
    <mergeCell ref="BA519:BA520"/>
    <mergeCell ref="AV522:AV523"/>
    <mergeCell ref="AW522:AW523"/>
    <mergeCell ref="AX522:AX523"/>
    <mergeCell ref="AY522:AY523"/>
    <mergeCell ref="AZ522:AZ523"/>
    <mergeCell ref="BA522:BA523"/>
    <mergeCell ref="AV524:AV525"/>
    <mergeCell ref="AW524:AW525"/>
    <mergeCell ref="AX524:AX525"/>
    <mergeCell ref="AY524:AY525"/>
    <mergeCell ref="AZ524:AZ525"/>
    <mergeCell ref="BA524:BA525"/>
    <mergeCell ref="AV526:AV527"/>
    <mergeCell ref="AW526:AW527"/>
    <mergeCell ref="AX526:AX527"/>
    <mergeCell ref="AY526:AY527"/>
    <mergeCell ref="AZ526:AZ527"/>
    <mergeCell ref="BA526:BA527"/>
    <mergeCell ref="AV534:AV536"/>
    <mergeCell ref="AW534:AW536"/>
    <mergeCell ref="AX534:AX536"/>
    <mergeCell ref="AY534:AY536"/>
    <mergeCell ref="AZ534:AZ536"/>
    <mergeCell ref="BA534:BA536"/>
    <mergeCell ref="AV540:AV541"/>
    <mergeCell ref="AW540:AW541"/>
    <mergeCell ref="AX540:AX541"/>
    <mergeCell ref="AY540:AY541"/>
    <mergeCell ref="AZ540:AZ541"/>
    <mergeCell ref="BA540:BA541"/>
    <mergeCell ref="AV542:AV544"/>
    <mergeCell ref="AW542:AW544"/>
    <mergeCell ref="AX542:AX544"/>
    <mergeCell ref="AY542:AY544"/>
    <mergeCell ref="AZ542:AZ544"/>
    <mergeCell ref="BA542:BA544"/>
    <mergeCell ref="AV545:AV546"/>
    <mergeCell ref="AW545:AW546"/>
    <mergeCell ref="AX545:AX546"/>
    <mergeCell ref="AY545:AY546"/>
    <mergeCell ref="AZ545:AZ546"/>
    <mergeCell ref="BA545:BA546"/>
    <mergeCell ref="AV556:AV557"/>
    <mergeCell ref="AW556:AW557"/>
    <mergeCell ref="AX556:AX557"/>
    <mergeCell ref="AY556:AY557"/>
    <mergeCell ref="AZ556:AZ557"/>
    <mergeCell ref="BA556:BA557"/>
    <mergeCell ref="AV559:AV560"/>
    <mergeCell ref="AW559:AW560"/>
    <mergeCell ref="AX559:AX560"/>
    <mergeCell ref="AY559:AY560"/>
    <mergeCell ref="AZ559:AZ560"/>
    <mergeCell ref="BA559:BA560"/>
    <mergeCell ref="AV561:AV562"/>
    <mergeCell ref="AW561:AW562"/>
    <mergeCell ref="AX561:AX562"/>
    <mergeCell ref="AY561:AY562"/>
    <mergeCell ref="AZ561:AZ562"/>
    <mergeCell ref="BA561:BA562"/>
    <mergeCell ref="AV563:AV564"/>
    <mergeCell ref="AW563:AW564"/>
    <mergeCell ref="AX563:AX564"/>
    <mergeCell ref="AY563:AY564"/>
    <mergeCell ref="AZ563:AZ564"/>
    <mergeCell ref="BA563:BA564"/>
    <mergeCell ref="AV566:AV569"/>
    <mergeCell ref="AW566:AW569"/>
    <mergeCell ref="AX566:AX569"/>
    <mergeCell ref="AY566:AY569"/>
    <mergeCell ref="AZ566:AZ569"/>
    <mergeCell ref="BA566:BA569"/>
    <mergeCell ref="AV570:AV573"/>
    <mergeCell ref="AW570:AW573"/>
    <mergeCell ref="AX570:AX573"/>
    <mergeCell ref="AY570:AY573"/>
    <mergeCell ref="AZ570:AZ573"/>
    <mergeCell ref="BA570:BA573"/>
    <mergeCell ref="AV574:AV578"/>
    <mergeCell ref="AW574:AW578"/>
    <mergeCell ref="AX574:AX578"/>
    <mergeCell ref="AY574:AY578"/>
    <mergeCell ref="AZ574:AZ578"/>
    <mergeCell ref="BA574:BA578"/>
    <mergeCell ref="AV579:AV581"/>
    <mergeCell ref="AW579:AW581"/>
    <mergeCell ref="AX579:AX581"/>
    <mergeCell ref="AY579:AY581"/>
    <mergeCell ref="AZ579:AZ581"/>
    <mergeCell ref="BA579:BA581"/>
    <mergeCell ref="AV582:AV584"/>
    <mergeCell ref="AW582:AW584"/>
    <mergeCell ref="AX582:AX584"/>
    <mergeCell ref="AY582:AY584"/>
    <mergeCell ref="AZ582:AZ584"/>
    <mergeCell ref="BA582:BA584"/>
    <mergeCell ref="AV585:AV586"/>
    <mergeCell ref="AW585:AW586"/>
    <mergeCell ref="AX585:AX586"/>
    <mergeCell ref="AY585:AY586"/>
    <mergeCell ref="AZ585:AZ586"/>
    <mergeCell ref="BA585:BA586"/>
    <mergeCell ref="AV587:AV589"/>
    <mergeCell ref="AW587:AW589"/>
    <mergeCell ref="AX587:AX589"/>
    <mergeCell ref="AY587:AY589"/>
    <mergeCell ref="AZ587:AZ589"/>
    <mergeCell ref="BA587:BA589"/>
    <mergeCell ref="AV590:AV592"/>
    <mergeCell ref="AW590:AW592"/>
    <mergeCell ref="AX590:AX592"/>
    <mergeCell ref="AY590:AY592"/>
    <mergeCell ref="AZ590:AZ592"/>
    <mergeCell ref="BA590:BA592"/>
    <mergeCell ref="AV594:AV595"/>
    <mergeCell ref="AW594:AW595"/>
    <mergeCell ref="AX594:AX595"/>
    <mergeCell ref="AY594:AY595"/>
    <mergeCell ref="AZ594:AZ595"/>
    <mergeCell ref="BA594:BA595"/>
    <mergeCell ref="AV598:AV600"/>
    <mergeCell ref="AW598:AW600"/>
    <mergeCell ref="AX598:AX600"/>
    <mergeCell ref="AY598:AY600"/>
    <mergeCell ref="AZ598:AZ600"/>
    <mergeCell ref="BA598:BA600"/>
    <mergeCell ref="AV601:AV602"/>
    <mergeCell ref="AW601:AW602"/>
    <mergeCell ref="AX601:AX602"/>
    <mergeCell ref="AY601:AY602"/>
    <mergeCell ref="AZ601:AZ602"/>
    <mergeCell ref="BA601:BA602"/>
    <mergeCell ref="AV614:AV618"/>
    <mergeCell ref="AW614:AW618"/>
    <mergeCell ref="AX614:AX618"/>
    <mergeCell ref="AY614:AY618"/>
    <mergeCell ref="AZ614:AZ618"/>
    <mergeCell ref="BA614:BA618"/>
    <mergeCell ref="AV620:AV622"/>
    <mergeCell ref="AW620:AW622"/>
    <mergeCell ref="AX620:AX622"/>
    <mergeCell ref="AY620:AY622"/>
    <mergeCell ref="AZ620:AZ622"/>
    <mergeCell ref="BA620:BA622"/>
    <mergeCell ref="AV625:AV627"/>
    <mergeCell ref="AW625:AW627"/>
    <mergeCell ref="AX625:AX627"/>
    <mergeCell ref="AY625:AY627"/>
    <mergeCell ref="AZ625:AZ627"/>
    <mergeCell ref="BA625:BA627"/>
    <mergeCell ref="AV634:AV635"/>
    <mergeCell ref="AW634:AW635"/>
    <mergeCell ref="AX634:AX635"/>
    <mergeCell ref="AY634:AY635"/>
    <mergeCell ref="AZ634:AZ635"/>
    <mergeCell ref="BA634:BA635"/>
    <mergeCell ref="AV650:AV652"/>
    <mergeCell ref="AW650:AW652"/>
    <mergeCell ref="AX650:AX652"/>
    <mergeCell ref="AY650:AY652"/>
    <mergeCell ref="AZ650:AZ652"/>
    <mergeCell ref="BA650:BA652"/>
    <mergeCell ref="AV654:AV655"/>
    <mergeCell ref="AW654:AW655"/>
    <mergeCell ref="AX654:AX655"/>
    <mergeCell ref="AY654:AY655"/>
    <mergeCell ref="AZ654:AZ655"/>
    <mergeCell ref="BA654:BA655"/>
    <mergeCell ref="AV658:AV659"/>
    <mergeCell ref="AW658:AW659"/>
    <mergeCell ref="AX658:AX659"/>
    <mergeCell ref="AY658:AY659"/>
    <mergeCell ref="AZ658:AZ659"/>
    <mergeCell ref="BA658:BA659"/>
    <mergeCell ref="AV661:AV663"/>
    <mergeCell ref="AW661:AW663"/>
    <mergeCell ref="AX661:AX663"/>
    <mergeCell ref="AY661:AY663"/>
    <mergeCell ref="AZ661:AZ663"/>
    <mergeCell ref="BA661:BA663"/>
    <mergeCell ref="AV664:AV666"/>
    <mergeCell ref="AW664:AW666"/>
    <mergeCell ref="AX664:AX666"/>
    <mergeCell ref="AY664:AY666"/>
    <mergeCell ref="AZ664:AZ666"/>
    <mergeCell ref="BA664:BA666"/>
    <mergeCell ref="AV668:AV669"/>
    <mergeCell ref="AW668:AW669"/>
    <mergeCell ref="AX668:AX669"/>
    <mergeCell ref="AY668:AY669"/>
    <mergeCell ref="AZ668:AZ669"/>
    <mergeCell ref="BA668:BA669"/>
    <mergeCell ref="AV673:AV675"/>
    <mergeCell ref="AW673:AW675"/>
    <mergeCell ref="AX673:AX675"/>
    <mergeCell ref="AY673:AY675"/>
    <mergeCell ref="AZ673:AZ675"/>
    <mergeCell ref="BA673:BA675"/>
    <mergeCell ref="AV676:AV677"/>
    <mergeCell ref="AW676:AW677"/>
    <mergeCell ref="AX676:AX677"/>
    <mergeCell ref="AY676:AY677"/>
    <mergeCell ref="AZ676:AZ677"/>
    <mergeCell ref="BA676:BA677"/>
    <mergeCell ref="AV678:AV679"/>
    <mergeCell ref="AW678:AW679"/>
    <mergeCell ref="AX678:AX679"/>
    <mergeCell ref="AY678:AY679"/>
    <mergeCell ref="AZ678:AZ679"/>
    <mergeCell ref="BA678:BA679"/>
    <mergeCell ref="AV688:AV689"/>
    <mergeCell ref="AW688:AW689"/>
    <mergeCell ref="AX688:AX689"/>
    <mergeCell ref="AY688:AY689"/>
    <mergeCell ref="AZ688:AZ689"/>
    <mergeCell ref="BA688:BA689"/>
    <mergeCell ref="AV690:AV692"/>
    <mergeCell ref="AW690:AW692"/>
    <mergeCell ref="AX690:AX692"/>
    <mergeCell ref="AY690:AY692"/>
    <mergeCell ref="AZ690:AZ692"/>
    <mergeCell ref="BA690:BA692"/>
    <mergeCell ref="AV701:AV702"/>
    <mergeCell ref="AW701:AW702"/>
    <mergeCell ref="AX701:AX702"/>
    <mergeCell ref="AY701:AY702"/>
    <mergeCell ref="AZ701:AZ702"/>
    <mergeCell ref="BA701:BA702"/>
    <mergeCell ref="AV704:AV707"/>
    <mergeCell ref="AW704:AW707"/>
    <mergeCell ref="AX704:AX707"/>
    <mergeCell ref="AY704:AY707"/>
    <mergeCell ref="AZ704:AZ707"/>
    <mergeCell ref="BA704:BA707"/>
    <mergeCell ref="AV708:AV709"/>
    <mergeCell ref="AW708:AW709"/>
    <mergeCell ref="AX708:AX709"/>
    <mergeCell ref="AY708:AY709"/>
    <mergeCell ref="AZ708:AZ709"/>
    <mergeCell ref="BA708:BA709"/>
    <mergeCell ref="AV710:AV714"/>
    <mergeCell ref="AW710:AW714"/>
    <mergeCell ref="AX710:AX714"/>
    <mergeCell ref="AY710:AY714"/>
    <mergeCell ref="AZ710:AZ714"/>
    <mergeCell ref="BA710:BA714"/>
    <mergeCell ref="AV715:AV718"/>
    <mergeCell ref="AW715:AW718"/>
    <mergeCell ref="AX715:AX718"/>
    <mergeCell ref="AY715:AY718"/>
    <mergeCell ref="AZ715:AZ718"/>
    <mergeCell ref="BA715:BA718"/>
    <mergeCell ref="AV719:AV722"/>
    <mergeCell ref="AW719:AW722"/>
    <mergeCell ref="AX719:AX722"/>
    <mergeCell ref="AY719:AY722"/>
    <mergeCell ref="AZ719:AZ722"/>
    <mergeCell ref="BA719:BA722"/>
    <mergeCell ref="AV723:AV725"/>
    <mergeCell ref="AW723:AW725"/>
    <mergeCell ref="AX723:AX725"/>
    <mergeCell ref="AY723:AY725"/>
    <mergeCell ref="AZ723:AZ725"/>
    <mergeCell ref="BA723:BA725"/>
    <mergeCell ref="AV726:AV729"/>
    <mergeCell ref="AW726:AW729"/>
    <mergeCell ref="AX726:AX729"/>
    <mergeCell ref="AY726:AY729"/>
    <mergeCell ref="AZ726:AZ729"/>
    <mergeCell ref="BA726:BA729"/>
    <mergeCell ref="AV730:AV732"/>
    <mergeCell ref="AW730:AW732"/>
    <mergeCell ref="AX730:AX732"/>
    <mergeCell ref="AY730:AY732"/>
    <mergeCell ref="AZ730:AZ732"/>
    <mergeCell ref="BA730:BA732"/>
    <mergeCell ref="AV733:AV736"/>
    <mergeCell ref="AW733:AW736"/>
    <mergeCell ref="AX733:AX736"/>
    <mergeCell ref="AY733:AY736"/>
    <mergeCell ref="AZ733:AZ736"/>
    <mergeCell ref="BA733:BA736"/>
    <mergeCell ref="AV737:AV739"/>
    <mergeCell ref="AW737:AW739"/>
    <mergeCell ref="AX737:AX739"/>
    <mergeCell ref="AY737:AY739"/>
    <mergeCell ref="AZ737:AZ739"/>
    <mergeCell ref="BA737:BA739"/>
    <mergeCell ref="AV740:AV744"/>
    <mergeCell ref="AW740:AW744"/>
    <mergeCell ref="AX740:AX744"/>
    <mergeCell ref="AY740:AY744"/>
    <mergeCell ref="AZ740:AZ744"/>
    <mergeCell ref="BA740:BA744"/>
    <mergeCell ref="AV745:AV748"/>
    <mergeCell ref="AW745:AW748"/>
    <mergeCell ref="AX745:AX748"/>
    <mergeCell ref="AY745:AY748"/>
    <mergeCell ref="AZ745:AZ748"/>
    <mergeCell ref="BA745:BA748"/>
    <mergeCell ref="AV749:AV753"/>
    <mergeCell ref="AW749:AW753"/>
    <mergeCell ref="AX749:AX753"/>
    <mergeCell ref="AY749:AY753"/>
    <mergeCell ref="AZ749:AZ753"/>
    <mergeCell ref="BA749:BA753"/>
    <mergeCell ref="AV754:AV755"/>
    <mergeCell ref="AW754:AW755"/>
    <mergeCell ref="AX754:AX755"/>
    <mergeCell ref="AY754:AY755"/>
    <mergeCell ref="AZ754:AZ755"/>
    <mergeCell ref="BA754:BA755"/>
    <mergeCell ref="AV756:AV757"/>
    <mergeCell ref="AW756:AW757"/>
    <mergeCell ref="AX756:AX757"/>
    <mergeCell ref="AY756:AY757"/>
    <mergeCell ref="AZ756:AZ757"/>
    <mergeCell ref="BA756:BA757"/>
    <mergeCell ref="AV758:AV762"/>
    <mergeCell ref="AW758:AW762"/>
    <mergeCell ref="AX758:AX762"/>
    <mergeCell ref="AY758:AY762"/>
    <mergeCell ref="AZ758:AZ762"/>
    <mergeCell ref="BA758:BA762"/>
    <mergeCell ref="AV763:AV766"/>
    <mergeCell ref="AW763:AW766"/>
    <mergeCell ref="AX763:AX766"/>
    <mergeCell ref="AY763:AY766"/>
    <mergeCell ref="AZ763:AZ766"/>
    <mergeCell ref="BA763:BA766"/>
    <mergeCell ref="AV767:AV769"/>
    <mergeCell ref="AW767:AW769"/>
    <mergeCell ref="AX767:AX769"/>
    <mergeCell ref="AY767:AY769"/>
    <mergeCell ref="AZ767:AZ769"/>
    <mergeCell ref="BA767:BA769"/>
    <mergeCell ref="AV771:AV772"/>
    <mergeCell ref="AW771:AW772"/>
    <mergeCell ref="AX771:AX772"/>
    <mergeCell ref="AY771:AY772"/>
    <mergeCell ref="AZ771:AZ772"/>
    <mergeCell ref="BA771:BA772"/>
    <mergeCell ref="AV773:AV778"/>
    <mergeCell ref="AW773:AW778"/>
    <mergeCell ref="AX773:AX778"/>
    <mergeCell ref="AY773:AY778"/>
    <mergeCell ref="AZ773:AZ778"/>
    <mergeCell ref="BA773:BA778"/>
    <mergeCell ref="AV780:AV781"/>
    <mergeCell ref="AW780:AW781"/>
    <mergeCell ref="AX780:AX781"/>
    <mergeCell ref="AY780:AY781"/>
    <mergeCell ref="AZ780:AZ781"/>
    <mergeCell ref="BA780:BA781"/>
    <mergeCell ref="AV783:AV784"/>
    <mergeCell ref="AW783:AW784"/>
    <mergeCell ref="AX783:AX784"/>
    <mergeCell ref="AY783:AY784"/>
    <mergeCell ref="AZ783:AZ784"/>
    <mergeCell ref="BA783:BA784"/>
    <mergeCell ref="AV786:AV787"/>
    <mergeCell ref="AW786:AW787"/>
    <mergeCell ref="AX786:AX787"/>
    <mergeCell ref="AY786:AY787"/>
    <mergeCell ref="AZ786:AZ787"/>
    <mergeCell ref="BA786:BA787"/>
    <mergeCell ref="AV788:AV790"/>
    <mergeCell ref="AW788:AW790"/>
    <mergeCell ref="AX788:AX790"/>
    <mergeCell ref="AY788:AY790"/>
    <mergeCell ref="AZ788:AZ790"/>
    <mergeCell ref="BA788:BA790"/>
    <mergeCell ref="AV791:AV792"/>
    <mergeCell ref="AW791:AW792"/>
    <mergeCell ref="AX791:AX792"/>
    <mergeCell ref="AY791:AY792"/>
    <mergeCell ref="AZ791:AZ792"/>
    <mergeCell ref="BA791:BA792"/>
    <mergeCell ref="AV798:AV799"/>
    <mergeCell ref="AW798:AW799"/>
    <mergeCell ref="AX798:AX799"/>
    <mergeCell ref="AY798:AY799"/>
    <mergeCell ref="AZ798:AZ799"/>
    <mergeCell ref="BA798:BA799"/>
    <mergeCell ref="AV809:AV812"/>
    <mergeCell ref="AW809:AW812"/>
    <mergeCell ref="AX809:AX812"/>
    <mergeCell ref="AY809:AY812"/>
    <mergeCell ref="AZ809:AZ812"/>
    <mergeCell ref="BA809:BA812"/>
    <mergeCell ref="AV814:AV817"/>
    <mergeCell ref="AW814:AW817"/>
    <mergeCell ref="AX814:AX817"/>
    <mergeCell ref="AY814:AY817"/>
    <mergeCell ref="AZ814:AZ817"/>
    <mergeCell ref="BA814:BA817"/>
    <mergeCell ref="AV820:AV821"/>
    <mergeCell ref="AW820:AW821"/>
    <mergeCell ref="AX820:AX821"/>
    <mergeCell ref="AY820:AY821"/>
    <mergeCell ref="AZ820:AZ821"/>
    <mergeCell ref="BA820:BA821"/>
    <mergeCell ref="AV822:AV823"/>
    <mergeCell ref="AW822:AW823"/>
    <mergeCell ref="AX822:AX823"/>
    <mergeCell ref="AY822:AY823"/>
    <mergeCell ref="AZ822:AZ823"/>
    <mergeCell ref="BA822:BA823"/>
    <mergeCell ref="AV829:AV830"/>
    <mergeCell ref="AW829:AW830"/>
    <mergeCell ref="AX829:AX830"/>
    <mergeCell ref="AY829:AY830"/>
    <mergeCell ref="AZ829:AZ830"/>
    <mergeCell ref="BA829:BA830"/>
    <mergeCell ref="AV841:AV844"/>
    <mergeCell ref="AW841:AW844"/>
    <mergeCell ref="AX841:AX844"/>
    <mergeCell ref="AY841:AY844"/>
    <mergeCell ref="AZ841:AZ844"/>
    <mergeCell ref="BA841:BA844"/>
    <mergeCell ref="AV846:AV848"/>
    <mergeCell ref="AW846:AW848"/>
    <mergeCell ref="AX846:AX848"/>
    <mergeCell ref="AY846:AY848"/>
    <mergeCell ref="AZ846:AZ848"/>
    <mergeCell ref="BA846:BA848"/>
    <mergeCell ref="AV850:AV851"/>
    <mergeCell ref="AW850:AW851"/>
    <mergeCell ref="AX850:AX851"/>
    <mergeCell ref="AY850:AY851"/>
    <mergeCell ref="AZ850:AZ851"/>
    <mergeCell ref="BA850:BA851"/>
    <mergeCell ref="AV852:AV855"/>
    <mergeCell ref="AW852:AW855"/>
    <mergeCell ref="AX852:AX855"/>
    <mergeCell ref="AY852:AY855"/>
    <mergeCell ref="AZ852:AZ855"/>
    <mergeCell ref="BA852:BA855"/>
    <mergeCell ref="AV866:AV867"/>
    <mergeCell ref="AW866:AW867"/>
    <mergeCell ref="AX866:AX867"/>
    <mergeCell ref="AY866:AY867"/>
    <mergeCell ref="AZ866:AZ867"/>
    <mergeCell ref="BA866:BA867"/>
    <mergeCell ref="AV873:AV874"/>
    <mergeCell ref="AW873:AW874"/>
    <mergeCell ref="AX873:AX874"/>
    <mergeCell ref="AY873:AY874"/>
    <mergeCell ref="AZ873:AZ874"/>
    <mergeCell ref="BA873:BA874"/>
    <mergeCell ref="AV875:AV876"/>
    <mergeCell ref="AW875:AW876"/>
    <mergeCell ref="AX875:AX876"/>
    <mergeCell ref="AY875:AY876"/>
    <mergeCell ref="AZ875:AZ876"/>
    <mergeCell ref="BA875:BA876"/>
    <mergeCell ref="AV884:AV885"/>
    <mergeCell ref="AW884:AW885"/>
    <mergeCell ref="AX884:AX885"/>
    <mergeCell ref="AY884:AY885"/>
    <mergeCell ref="AZ884:AZ885"/>
    <mergeCell ref="BA884:BA885"/>
    <mergeCell ref="AV893:AV895"/>
    <mergeCell ref="AW893:AW895"/>
    <mergeCell ref="AX893:AX895"/>
    <mergeCell ref="AY893:AY895"/>
    <mergeCell ref="AZ893:AZ895"/>
    <mergeCell ref="BA893:BA895"/>
    <mergeCell ref="AV897:AV898"/>
    <mergeCell ref="AW897:AW898"/>
    <mergeCell ref="AX897:AX898"/>
    <mergeCell ref="AY897:AY898"/>
    <mergeCell ref="AZ897:AZ898"/>
    <mergeCell ref="BA897:BA898"/>
    <mergeCell ref="AV899:AV900"/>
    <mergeCell ref="AW899:AW900"/>
    <mergeCell ref="AX899:AX900"/>
    <mergeCell ref="AY899:AY900"/>
    <mergeCell ref="AZ899:AZ900"/>
    <mergeCell ref="BA899:BA900"/>
    <mergeCell ref="AV902:AV903"/>
    <mergeCell ref="AW902:AW903"/>
    <mergeCell ref="AX902:AX903"/>
    <mergeCell ref="AY902:AY903"/>
    <mergeCell ref="AZ902:AZ903"/>
    <mergeCell ref="BA902:BA903"/>
    <mergeCell ref="AV904:AV907"/>
    <mergeCell ref="AW904:AW907"/>
    <mergeCell ref="AX904:AX907"/>
    <mergeCell ref="AY904:AY907"/>
    <mergeCell ref="AZ904:AZ907"/>
    <mergeCell ref="BA904:BA907"/>
    <mergeCell ref="AV908:AV910"/>
    <mergeCell ref="AW908:AW910"/>
    <mergeCell ref="AX908:AX910"/>
    <mergeCell ref="AY908:AY910"/>
    <mergeCell ref="AZ908:AZ910"/>
    <mergeCell ref="BA908:BA910"/>
    <mergeCell ref="AV911:AV913"/>
    <mergeCell ref="AW911:AW913"/>
    <mergeCell ref="AX911:AX913"/>
    <mergeCell ref="AY911:AY913"/>
    <mergeCell ref="AZ911:AZ913"/>
    <mergeCell ref="BA911:BA913"/>
    <mergeCell ref="AV914:AV916"/>
    <mergeCell ref="AW914:AW916"/>
    <mergeCell ref="AX914:AX916"/>
    <mergeCell ref="AY914:AY916"/>
    <mergeCell ref="AZ914:AZ916"/>
    <mergeCell ref="BA914:BA916"/>
    <mergeCell ref="AV924:AV926"/>
    <mergeCell ref="AW924:AW926"/>
    <mergeCell ref="AX924:AX926"/>
    <mergeCell ref="AY924:AY926"/>
    <mergeCell ref="AZ924:AZ926"/>
    <mergeCell ref="BA924:BA926"/>
    <mergeCell ref="AV928:AV929"/>
    <mergeCell ref="AW928:AW929"/>
    <mergeCell ref="AX928:AX929"/>
    <mergeCell ref="AY928:AY929"/>
    <mergeCell ref="AZ928:AZ929"/>
    <mergeCell ref="BA928:BA929"/>
    <mergeCell ref="AV932:AV933"/>
    <mergeCell ref="AW932:AW933"/>
    <mergeCell ref="AX932:AX933"/>
    <mergeCell ref="AY932:AY933"/>
    <mergeCell ref="AZ932:AZ933"/>
    <mergeCell ref="BA932:BA933"/>
    <mergeCell ref="AV939:AV941"/>
    <mergeCell ref="AW939:AW941"/>
    <mergeCell ref="AX939:AX941"/>
    <mergeCell ref="AY939:AY941"/>
    <mergeCell ref="AZ939:AZ941"/>
    <mergeCell ref="BA939:BA941"/>
    <mergeCell ref="AV943:AV945"/>
    <mergeCell ref="AW943:AW945"/>
    <mergeCell ref="AX943:AX945"/>
    <mergeCell ref="AY943:AY945"/>
    <mergeCell ref="AZ943:AZ945"/>
    <mergeCell ref="BA943:BA945"/>
    <mergeCell ref="AV957:AV958"/>
    <mergeCell ref="AW957:AW958"/>
    <mergeCell ref="AX957:AX958"/>
    <mergeCell ref="AY957:AY958"/>
    <mergeCell ref="AZ957:AZ958"/>
    <mergeCell ref="BA957:BA958"/>
    <mergeCell ref="AV959:AV962"/>
    <mergeCell ref="AW959:AW962"/>
    <mergeCell ref="AX959:AX962"/>
    <mergeCell ref="AY959:AY962"/>
    <mergeCell ref="AZ959:AZ962"/>
    <mergeCell ref="BA959:BA962"/>
    <mergeCell ref="AV963:AV964"/>
    <mergeCell ref="AW963:AW964"/>
    <mergeCell ref="AX963:AX964"/>
    <mergeCell ref="AY963:AY964"/>
    <mergeCell ref="AZ963:AZ964"/>
    <mergeCell ref="BA963:BA964"/>
    <mergeCell ref="AV965:AV967"/>
    <mergeCell ref="AW965:AW967"/>
    <mergeCell ref="AX965:AX967"/>
    <mergeCell ref="AY965:AY967"/>
    <mergeCell ref="AZ965:AZ967"/>
    <mergeCell ref="BA965:BA967"/>
    <mergeCell ref="AV968:AV969"/>
    <mergeCell ref="AW968:AW969"/>
    <mergeCell ref="AX968:AX969"/>
    <mergeCell ref="AY968:AY969"/>
    <mergeCell ref="AZ968:AZ969"/>
    <mergeCell ref="BA968:BA969"/>
    <mergeCell ref="AV972:AV973"/>
    <mergeCell ref="AW972:AW973"/>
    <mergeCell ref="AX972:AX973"/>
    <mergeCell ref="AY972:AY973"/>
    <mergeCell ref="AZ972:AZ973"/>
    <mergeCell ref="BA972:BA973"/>
    <mergeCell ref="AV974:AV976"/>
    <mergeCell ref="AW974:AW976"/>
    <mergeCell ref="AX974:AX976"/>
    <mergeCell ref="AY974:AY976"/>
    <mergeCell ref="AZ974:AZ976"/>
    <mergeCell ref="BA974:BA976"/>
    <mergeCell ref="AV980:AV981"/>
    <mergeCell ref="AW980:AW981"/>
    <mergeCell ref="AX980:AX981"/>
    <mergeCell ref="AY980:AY981"/>
    <mergeCell ref="AZ980:AZ981"/>
    <mergeCell ref="BA980:BA981"/>
    <mergeCell ref="AV987:AV988"/>
    <mergeCell ref="AW987:AW988"/>
    <mergeCell ref="AX987:AX988"/>
    <mergeCell ref="AY987:AY988"/>
    <mergeCell ref="AZ987:AZ988"/>
    <mergeCell ref="BA987:BA988"/>
    <mergeCell ref="AV989:AV990"/>
    <mergeCell ref="AW989:AW990"/>
    <mergeCell ref="AX989:AX990"/>
    <mergeCell ref="AY989:AY990"/>
    <mergeCell ref="AZ989:AZ990"/>
    <mergeCell ref="BA989:BA990"/>
    <mergeCell ref="AV998:AV999"/>
    <mergeCell ref="AW998:AW999"/>
    <mergeCell ref="AX998:AX999"/>
    <mergeCell ref="AY998:AY999"/>
    <mergeCell ref="AZ998:AZ999"/>
    <mergeCell ref="BA998:BA999"/>
    <mergeCell ref="AV1013:AV1016"/>
    <mergeCell ref="AW1013:AW1016"/>
    <mergeCell ref="AX1013:AX1016"/>
    <mergeCell ref="AY1013:AY1016"/>
    <mergeCell ref="AZ1013:AZ1016"/>
    <mergeCell ref="BA1013:BA1016"/>
    <mergeCell ref="AV1019:AV1021"/>
    <mergeCell ref="AW1019:AW1021"/>
    <mergeCell ref="AX1019:AX1021"/>
    <mergeCell ref="AY1019:AY1021"/>
    <mergeCell ref="AZ1019:AZ1021"/>
    <mergeCell ref="BA1019:BA1021"/>
    <mergeCell ref="AV1022:AV1023"/>
    <mergeCell ref="AW1022:AW1023"/>
    <mergeCell ref="AX1022:AX1023"/>
    <mergeCell ref="AY1022:AY1023"/>
    <mergeCell ref="AZ1022:AZ1023"/>
    <mergeCell ref="BA1022:BA1023"/>
    <mergeCell ref="AV1024:AV1025"/>
    <mergeCell ref="AW1024:AW1025"/>
    <mergeCell ref="AX1024:AX1025"/>
    <mergeCell ref="AY1024:AY1025"/>
    <mergeCell ref="AZ1024:AZ1025"/>
    <mergeCell ref="BA1024:BA1025"/>
    <mergeCell ref="AV1026:AV1027"/>
    <mergeCell ref="AW1026:AW1027"/>
    <mergeCell ref="AX1026:AX1027"/>
    <mergeCell ref="AY1026:AY1027"/>
    <mergeCell ref="AZ1026:AZ1027"/>
    <mergeCell ref="BA1026:BA1027"/>
    <mergeCell ref="AV1032:AV1033"/>
    <mergeCell ref="AW1032:AW1033"/>
    <mergeCell ref="AX1032:AX1033"/>
    <mergeCell ref="AY1032:AY1033"/>
    <mergeCell ref="AZ1032:AZ1033"/>
    <mergeCell ref="BA1032:BA1033"/>
    <mergeCell ref="AV1038:AV1039"/>
    <mergeCell ref="AW1038:AW1039"/>
    <mergeCell ref="AX1038:AX1039"/>
    <mergeCell ref="AY1038:AY1039"/>
    <mergeCell ref="AZ1038:AZ1039"/>
    <mergeCell ref="BA1038:BA1039"/>
    <mergeCell ref="AV1040:AV1041"/>
    <mergeCell ref="AW1040:AW1041"/>
    <mergeCell ref="AX1040:AX1041"/>
    <mergeCell ref="AY1040:AY1041"/>
    <mergeCell ref="AZ1040:AZ1041"/>
    <mergeCell ref="BA1040:BA1041"/>
    <mergeCell ref="AV1043:AV1045"/>
    <mergeCell ref="AW1043:AW1045"/>
    <mergeCell ref="AX1043:AX1045"/>
    <mergeCell ref="AY1043:AY1045"/>
    <mergeCell ref="AZ1043:AZ1045"/>
    <mergeCell ref="BA1043:BA1045"/>
    <mergeCell ref="AV1046:AV1047"/>
    <mergeCell ref="AW1046:AW1047"/>
    <mergeCell ref="AX1046:AX1047"/>
    <mergeCell ref="AY1046:AY1047"/>
    <mergeCell ref="AZ1046:AZ1047"/>
    <mergeCell ref="BA1046:BA1047"/>
    <mergeCell ref="AV1050:AV1051"/>
    <mergeCell ref="AW1050:AW1051"/>
    <mergeCell ref="AX1050:AX1051"/>
    <mergeCell ref="AY1050:AY1051"/>
    <mergeCell ref="AZ1050:AZ1051"/>
    <mergeCell ref="BA1050:BA1051"/>
    <mergeCell ref="BB76:BB77"/>
    <mergeCell ref="BB87:BB88"/>
    <mergeCell ref="BB146:BB147"/>
    <mergeCell ref="BB187:BB188"/>
    <mergeCell ref="BB190:BB191"/>
    <mergeCell ref="BB225:BB226"/>
    <mergeCell ref="BB654:BB655"/>
    <mergeCell ref="BB661:BB662"/>
    <mergeCell ref="BB664:BB665"/>
    <mergeCell ref="BB688:BB689"/>
    <mergeCell ref="BB701:BB702"/>
    <mergeCell ref="BB760:BB761"/>
    <mergeCell ref="BB764:BB765"/>
    <mergeCell ref="BB773:BB774"/>
    <mergeCell ref="BB775:BB776"/>
    <mergeCell ref="BB925:BB926"/>
    <mergeCell ref="BB987:BB98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8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6124</v>
      </c>
      <c r="C2" s="0" t="s">
        <v>6125</v>
      </c>
      <c r="D2" s="0" t="s">
        <v>6126</v>
      </c>
      <c r="E2" s="0" t="s">
        <v>58</v>
      </c>
    </row>
    <row r="3">
      <c r="A3" s="1" t="s">
        <v>58</v>
      </c>
      <c r="B3" s="1" t="s">
        <v>59</v>
      </c>
      <c r="C3" s="1" t="s">
        <v>60</v>
      </c>
      <c r="D3" s="1" t="s">
        <v>61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58</v>
      </c>
      <c r="B4" s="1" t="s">
        <v>59</v>
      </c>
      <c r="C4" s="1" t="s">
        <v>60</v>
      </c>
      <c r="D4" s="1" t="s">
        <v>61</v>
      </c>
      <c r="E4" s="1" t="s">
        <v>35</v>
      </c>
      <c r="F4" s="1" t="s">
        <v>35</v>
      </c>
      <c r="G4" s="1" t="s">
        <v>36</v>
      </c>
      <c r="H4" s="1" t="s">
        <v>36</v>
      </c>
      <c r="I4" s="1" t="s">
        <v>6127</v>
      </c>
      <c r="J4" s="1" t="s">
        <v>6128</v>
      </c>
      <c r="K4" s="1" t="s">
        <v>35</v>
      </c>
      <c r="L4" s="1" t="s">
        <v>35</v>
      </c>
      <c r="M4" s="1" t="s">
        <v>36</v>
      </c>
      <c r="N4" s="1" t="s">
        <v>36</v>
      </c>
      <c r="O4" s="1" t="s">
        <v>6129</v>
      </c>
      <c r="P4" s="1" t="s">
        <v>6130</v>
      </c>
    </row>
    <row r="5">
      <c r="A5" s="1" t="s">
        <v>58</v>
      </c>
      <c r="B5" s="1" t="s">
        <v>59</v>
      </c>
      <c r="C5" s="1" t="s">
        <v>60</v>
      </c>
      <c r="D5" s="1" t="s">
        <v>61</v>
      </c>
      <c r="E5" s="1" t="s">
        <v>6131</v>
      </c>
      <c r="F5" s="1" t="s">
        <v>6132</v>
      </c>
      <c r="G5" s="1" t="s">
        <v>6131</v>
      </c>
      <c r="H5" s="1" t="s">
        <v>6132</v>
      </c>
      <c r="I5" s="1" t="s">
        <v>6127</v>
      </c>
      <c r="J5" s="1" t="s">
        <v>6128</v>
      </c>
      <c r="K5" s="1" t="s">
        <v>6133</v>
      </c>
      <c r="L5" s="1" t="s">
        <v>6134</v>
      </c>
      <c r="M5" s="1" t="s">
        <v>6133</v>
      </c>
      <c r="N5" s="1" t="s">
        <v>6134</v>
      </c>
      <c r="O5" s="1" t="s">
        <v>6129</v>
      </c>
      <c r="P5" s="1" t="s">
        <v>6130</v>
      </c>
    </row>
    <row r="6">
      <c r="A6" s="2" t="s">
        <v>667</v>
      </c>
      <c r="B6" s="2" t="s">
        <v>1139</v>
      </c>
      <c r="C6" s="2" t="s">
        <v>687</v>
      </c>
      <c r="D6" s="2" t="s">
        <v>699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667</v>
      </c>
      <c r="B7" s="2" t="s">
        <v>1139</v>
      </c>
      <c r="C7" s="2" t="s">
        <v>1652</v>
      </c>
      <c r="D7" s="2" t="s">
        <v>4950</v>
      </c>
      <c r="E7" s="4" t="s">
        <v>227</v>
      </c>
      <c r="F7" s="8" t="s">
        <v>227</v>
      </c>
      <c r="G7" s="4" t="s">
        <v>227</v>
      </c>
      <c r="H7" s="8" t="s">
        <v>227</v>
      </c>
      <c r="I7" s="7" t="s">
        <v>227</v>
      </c>
      <c r="J7" s="7" t="s">
        <v>227</v>
      </c>
      <c r="K7" s="4"/>
      <c r="L7" s="8"/>
      <c r="M7" s="4"/>
      <c r="N7" s="8"/>
      <c r="O7" s="7"/>
      <c r="P7" s="7"/>
    </row>
    <row r="8">
      <c r="A8" s="2" t="s">
        <v>667</v>
      </c>
      <c r="B8" s="2" t="s">
        <v>1139</v>
      </c>
      <c r="C8" s="2" t="s">
        <v>1652</v>
      </c>
      <c r="D8" s="2" t="s">
        <v>1653</v>
      </c>
      <c r="E8" s="4" t="s">
        <v>227</v>
      </c>
      <c r="F8" s="8" t="s">
        <v>227</v>
      </c>
      <c r="G8" s="4" t="s">
        <v>227</v>
      </c>
      <c r="H8" s="8" t="s">
        <v>227</v>
      </c>
      <c r="I8" s="7" t="s">
        <v>227</v>
      </c>
      <c r="J8" s="7" t="s">
        <v>227</v>
      </c>
      <c r="K8" s="4"/>
      <c r="L8" s="8"/>
      <c r="M8" s="4"/>
      <c r="N8" s="8"/>
      <c r="O8" s="7"/>
      <c r="P8" s="7"/>
    </row>
    <row r="9">
      <c r="A9" s="2" t="s">
        <v>667</v>
      </c>
      <c r="B9" s="2" t="s">
        <v>2678</v>
      </c>
      <c r="C9" s="2" t="s">
        <v>620</v>
      </c>
      <c r="D9" s="2" t="s">
        <v>669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667</v>
      </c>
      <c r="B10" s="2" t="s">
        <v>1026</v>
      </c>
      <c r="C10" s="2" t="s">
        <v>1796</v>
      </c>
      <c r="D10" s="2" t="s">
        <v>1797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667</v>
      </c>
      <c r="B11" s="2" t="s">
        <v>1026</v>
      </c>
      <c r="C11" s="2" t="s">
        <v>687</v>
      </c>
      <c r="D11" s="2" t="s">
        <v>699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667</v>
      </c>
      <c r="B12" s="2" t="s">
        <v>1026</v>
      </c>
      <c r="C12" s="2" t="s">
        <v>1027</v>
      </c>
      <c r="D12" s="2" t="s">
        <v>1028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667</v>
      </c>
      <c r="B13" s="2" t="s">
        <v>1803</v>
      </c>
      <c r="C13" s="2" t="s">
        <v>687</v>
      </c>
      <c r="D13" s="2" t="s">
        <v>699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667</v>
      </c>
      <c r="B14" s="2" t="s">
        <v>1803</v>
      </c>
      <c r="C14" s="2" t="s">
        <v>620</v>
      </c>
      <c r="D14" s="2" t="s">
        <v>621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667</v>
      </c>
      <c r="B15" s="2" t="s">
        <v>668</v>
      </c>
      <c r="C15" s="2" t="s">
        <v>687</v>
      </c>
      <c r="D15" s="2" t="s">
        <v>688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667</v>
      </c>
      <c r="B16" s="2" t="s">
        <v>668</v>
      </c>
      <c r="C16" s="2" t="s">
        <v>620</v>
      </c>
      <c r="D16" s="2" t="s">
        <v>669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667</v>
      </c>
      <c r="B17" s="2" t="s">
        <v>360</v>
      </c>
      <c r="C17" s="2" t="s">
        <v>687</v>
      </c>
      <c r="D17" s="2" t="s">
        <v>990</v>
      </c>
      <c r="E17" s="4" t="s">
        <v>227</v>
      </c>
      <c r="F17" s="8" t="s">
        <v>227</v>
      </c>
      <c r="G17" s="4" t="s">
        <v>227</v>
      </c>
      <c r="H17" s="8" t="s">
        <v>227</v>
      </c>
      <c r="I17" s="7" t="s">
        <v>227</v>
      </c>
      <c r="J17" s="7" t="s">
        <v>227</v>
      </c>
      <c r="K17" s="4"/>
      <c r="L17" s="8"/>
      <c r="M17" s="4"/>
      <c r="N17" s="8"/>
      <c r="O17" s="7"/>
      <c r="P17" s="7"/>
    </row>
    <row r="18">
      <c r="A18" s="2" t="s">
        <v>667</v>
      </c>
      <c r="B18" s="2" t="s">
        <v>360</v>
      </c>
      <c r="C18" s="2" t="s">
        <v>687</v>
      </c>
      <c r="D18" s="2" t="s">
        <v>699</v>
      </c>
      <c r="E18" s="4" t="s">
        <v>227</v>
      </c>
      <c r="F18" s="8" t="s">
        <v>227</v>
      </c>
      <c r="G18" s="4" t="s">
        <v>227</v>
      </c>
      <c r="H18" s="8" t="s">
        <v>227</v>
      </c>
      <c r="I18" s="7" t="s">
        <v>227</v>
      </c>
      <c r="J18" s="7" t="s">
        <v>227</v>
      </c>
      <c r="K18" s="4"/>
      <c r="L18" s="8"/>
      <c r="M18" s="4"/>
      <c r="N18" s="8"/>
      <c r="O18" s="7"/>
      <c r="P18" s="7"/>
    </row>
    <row r="19">
      <c r="A19" s="2" t="s">
        <v>667</v>
      </c>
      <c r="B19" s="2" t="s">
        <v>360</v>
      </c>
      <c r="C19" s="2" t="s">
        <v>1652</v>
      </c>
      <c r="D19" s="2" t="s">
        <v>4950</v>
      </c>
      <c r="E19" s="4" t="s">
        <v>227</v>
      </c>
      <c r="F19" s="8" t="s">
        <v>227</v>
      </c>
      <c r="G19" s="4" t="s">
        <v>227</v>
      </c>
      <c r="H19" s="8" t="s">
        <v>227</v>
      </c>
      <c r="I19" s="7" t="s">
        <v>227</v>
      </c>
      <c r="J19" s="7" t="s">
        <v>227</v>
      </c>
      <c r="K19" s="4"/>
      <c r="L19" s="8"/>
      <c r="M19" s="4"/>
      <c r="N19" s="8"/>
      <c r="O19" s="7"/>
      <c r="P19" s="7"/>
    </row>
    <row r="20">
      <c r="A20" s="2" t="s">
        <v>667</v>
      </c>
      <c r="B20" s="2" t="s">
        <v>360</v>
      </c>
      <c r="C20" s="2" t="s">
        <v>1652</v>
      </c>
      <c r="D20" s="2" t="s">
        <v>1653</v>
      </c>
      <c r="E20" s="4" t="s">
        <v>227</v>
      </c>
      <c r="F20" s="8" t="s">
        <v>227</v>
      </c>
      <c r="G20" s="4" t="s">
        <v>227</v>
      </c>
      <c r="H20" s="8" t="s">
        <v>227</v>
      </c>
      <c r="I20" s="7" t="s">
        <v>227</v>
      </c>
      <c r="J20" s="7" t="s">
        <v>227</v>
      </c>
      <c r="K20" s="4"/>
      <c r="L20" s="8"/>
      <c r="M20" s="4"/>
      <c r="N20" s="8"/>
      <c r="O20" s="7"/>
      <c r="P20" s="7"/>
    </row>
    <row r="21">
      <c r="A21" s="2" t="s">
        <v>667</v>
      </c>
      <c r="B21" s="2" t="s">
        <v>360</v>
      </c>
      <c r="C21" s="2" t="s">
        <v>1652</v>
      </c>
      <c r="D21" s="2" t="s">
        <v>3952</v>
      </c>
      <c r="E21" s="4" t="s">
        <v>227</v>
      </c>
      <c r="F21" s="8" t="s">
        <v>227</v>
      </c>
      <c r="G21" s="4" t="s">
        <v>227</v>
      </c>
      <c r="H21" s="8" t="s">
        <v>227</v>
      </c>
      <c r="I21" s="7" t="s">
        <v>227</v>
      </c>
      <c r="J21" s="7" t="s">
        <v>227</v>
      </c>
      <c r="K21" s="4"/>
      <c r="L21" s="8"/>
      <c r="M21" s="4"/>
      <c r="N21" s="8"/>
      <c r="O21" s="7"/>
      <c r="P21" s="7"/>
    </row>
    <row r="22">
      <c r="A22" s="2" t="s">
        <v>667</v>
      </c>
      <c r="B22" s="2" t="s">
        <v>360</v>
      </c>
      <c r="C22" s="2" t="s">
        <v>620</v>
      </c>
      <c r="D22" s="2" t="s">
        <v>669</v>
      </c>
      <c r="E22" s="4" t="s">
        <v>227</v>
      </c>
      <c r="F22" s="8" t="s">
        <v>227</v>
      </c>
      <c r="G22" s="4" t="s">
        <v>227</v>
      </c>
      <c r="H22" s="8" t="s">
        <v>227</v>
      </c>
      <c r="I22" s="7" t="s">
        <v>227</v>
      </c>
      <c r="J22" s="7" t="s">
        <v>227</v>
      </c>
      <c r="K22" s="4"/>
      <c r="L22" s="8"/>
      <c r="M22" s="4"/>
      <c r="N22" s="8"/>
      <c r="O22" s="7"/>
      <c r="P22" s="7"/>
    </row>
    <row r="23">
      <c r="A23" s="2" t="s">
        <v>667</v>
      </c>
      <c r="B23" s="2" t="s">
        <v>360</v>
      </c>
      <c r="C23" s="2" t="s">
        <v>620</v>
      </c>
      <c r="D23" s="2" t="s">
        <v>621</v>
      </c>
      <c r="E23" s="4" t="s">
        <v>227</v>
      </c>
      <c r="F23" s="8" t="s">
        <v>227</v>
      </c>
      <c r="G23" s="4" t="s">
        <v>227</v>
      </c>
      <c r="H23" s="8" t="s">
        <v>227</v>
      </c>
      <c r="I23" s="7" t="s">
        <v>227</v>
      </c>
      <c r="J23" s="7" t="s">
        <v>227</v>
      </c>
      <c r="K23" s="4"/>
      <c r="L23" s="8"/>
      <c r="M23" s="4"/>
      <c r="N23" s="8"/>
      <c r="O23" s="7"/>
      <c r="P23" s="7"/>
    </row>
    <row r="24">
      <c r="A24" s="2" t="s">
        <v>667</v>
      </c>
      <c r="B24" s="2" t="s">
        <v>360</v>
      </c>
      <c r="C24" s="2" t="s">
        <v>868</v>
      </c>
      <c r="D24" s="2" t="s">
        <v>869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667</v>
      </c>
      <c r="B25" s="2" t="s">
        <v>279</v>
      </c>
      <c r="C25" s="2" t="s">
        <v>687</v>
      </c>
      <c r="D25" s="2" t="s">
        <v>990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667</v>
      </c>
      <c r="B26" s="2" t="s">
        <v>1816</v>
      </c>
      <c r="C26" s="2" t="s">
        <v>1796</v>
      </c>
      <c r="D26" s="2" t="s">
        <v>1797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667</v>
      </c>
      <c r="B27" s="2" t="s">
        <v>1816</v>
      </c>
      <c r="C27" s="2" t="s">
        <v>687</v>
      </c>
      <c r="D27" s="2" t="s">
        <v>688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667</v>
      </c>
      <c r="B28" s="2" t="s">
        <v>1816</v>
      </c>
      <c r="C28" s="2" t="s">
        <v>620</v>
      </c>
      <c r="D28" s="2" t="s">
        <v>669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667</v>
      </c>
      <c r="B29" s="2" t="s">
        <v>1816</v>
      </c>
      <c r="C29" s="2" t="s">
        <v>1027</v>
      </c>
      <c r="D29" s="2" t="s">
        <v>2748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3640</v>
      </c>
      <c r="B30" s="2" t="s">
        <v>668</v>
      </c>
      <c r="C30" s="2" t="s">
        <v>3641</v>
      </c>
      <c r="D30" s="2" t="s">
        <v>3642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542</v>
      </c>
      <c r="B31" s="2" t="s">
        <v>668</v>
      </c>
      <c r="C31" s="2" t="s">
        <v>1039</v>
      </c>
      <c r="D31" s="2" t="s">
        <v>1377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542</v>
      </c>
      <c r="B32" s="2" t="s">
        <v>668</v>
      </c>
      <c r="C32" s="2" t="s">
        <v>1052</v>
      </c>
      <c r="D32" s="2" t="s">
        <v>1053</v>
      </c>
      <c r="E32" s="4" t="s">
        <v>227</v>
      </c>
      <c r="F32" s="8" t="s">
        <v>227</v>
      </c>
      <c r="G32" s="4" t="s">
        <v>227</v>
      </c>
      <c r="H32" s="8" t="s">
        <v>227</v>
      </c>
      <c r="I32" s="7" t="s">
        <v>227</v>
      </c>
      <c r="J32" s="7" t="s">
        <v>227</v>
      </c>
      <c r="K32" s="4"/>
      <c r="L32" s="8"/>
      <c r="M32" s="4"/>
      <c r="N32" s="8"/>
      <c r="O32" s="7"/>
      <c r="P32" s="7"/>
    </row>
    <row r="33">
      <c r="A33" s="2" t="s">
        <v>542</v>
      </c>
      <c r="B33" s="2" t="s">
        <v>668</v>
      </c>
      <c r="C33" s="2" t="s">
        <v>1052</v>
      </c>
      <c r="D33" s="2" t="s">
        <v>545</v>
      </c>
      <c r="E33" s="4" t="s">
        <v>227</v>
      </c>
      <c r="F33" s="8" t="s">
        <v>227</v>
      </c>
      <c r="G33" s="4" t="s">
        <v>227</v>
      </c>
      <c r="H33" s="8" t="s">
        <v>227</v>
      </c>
      <c r="I33" s="7" t="s">
        <v>227</v>
      </c>
      <c r="J33" s="7" t="s">
        <v>227</v>
      </c>
      <c r="K33" s="4"/>
      <c r="L33" s="8"/>
      <c r="M33" s="4"/>
      <c r="N33" s="8"/>
      <c r="O33" s="7"/>
      <c r="P33" s="7"/>
    </row>
    <row r="34">
      <c r="A34" s="2" t="s">
        <v>542</v>
      </c>
      <c r="B34" s="2" t="s">
        <v>668</v>
      </c>
      <c r="C34" s="2" t="s">
        <v>561</v>
      </c>
      <c r="D34" s="2" t="s">
        <v>562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542</v>
      </c>
      <c r="B35" s="2" t="s">
        <v>668</v>
      </c>
      <c r="C35" s="2" t="s">
        <v>544</v>
      </c>
      <c r="D35" s="2" t="s">
        <v>545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542</v>
      </c>
      <c r="B36" s="2" t="s">
        <v>360</v>
      </c>
      <c r="C36" s="2" t="s">
        <v>1039</v>
      </c>
      <c r="D36" s="2" t="s">
        <v>545</v>
      </c>
      <c r="E36" s="4" t="s">
        <v>227</v>
      </c>
      <c r="F36" s="8" t="s">
        <v>227</v>
      </c>
      <c r="G36" s="4" t="s">
        <v>227</v>
      </c>
      <c r="H36" s="8" t="s">
        <v>227</v>
      </c>
      <c r="I36" s="7" t="s">
        <v>227</v>
      </c>
      <c r="J36" s="7" t="s">
        <v>227</v>
      </c>
      <c r="K36" s="4"/>
      <c r="L36" s="8"/>
      <c r="M36" s="4"/>
      <c r="N36" s="8"/>
      <c r="O36" s="7"/>
      <c r="P36" s="7"/>
    </row>
    <row r="37">
      <c r="A37" s="2" t="s">
        <v>542</v>
      </c>
      <c r="B37" s="2" t="s">
        <v>360</v>
      </c>
      <c r="C37" s="2" t="s">
        <v>1039</v>
      </c>
      <c r="D37" s="2" t="s">
        <v>1377</v>
      </c>
      <c r="E37" s="4" t="s">
        <v>227</v>
      </c>
      <c r="F37" s="8" t="s">
        <v>227</v>
      </c>
      <c r="G37" s="4" t="s">
        <v>227</v>
      </c>
      <c r="H37" s="8" t="s">
        <v>227</v>
      </c>
      <c r="I37" s="7" t="s">
        <v>227</v>
      </c>
      <c r="J37" s="7" t="s">
        <v>227</v>
      </c>
      <c r="K37" s="4"/>
      <c r="L37" s="8"/>
      <c r="M37" s="4"/>
      <c r="N37" s="8"/>
      <c r="O37" s="7"/>
      <c r="P37" s="7"/>
    </row>
    <row r="38">
      <c r="A38" s="2" t="s">
        <v>542</v>
      </c>
      <c r="B38" s="2" t="s">
        <v>360</v>
      </c>
      <c r="C38" s="2" t="s">
        <v>1052</v>
      </c>
      <c r="D38" s="2" t="s">
        <v>1053</v>
      </c>
      <c r="E38" s="4" t="s">
        <v>227</v>
      </c>
      <c r="F38" s="8" t="s">
        <v>227</v>
      </c>
      <c r="G38" s="4" t="s">
        <v>227</v>
      </c>
      <c r="H38" s="8" t="s">
        <v>227</v>
      </c>
      <c r="I38" s="7" t="s">
        <v>227</v>
      </c>
      <c r="J38" s="7" t="s">
        <v>227</v>
      </c>
      <c r="K38" s="4"/>
      <c r="L38" s="8"/>
      <c r="M38" s="4"/>
      <c r="N38" s="8"/>
      <c r="O38" s="7"/>
      <c r="P38" s="7"/>
    </row>
    <row r="39">
      <c r="A39" s="2" t="s">
        <v>542</v>
      </c>
      <c r="B39" s="2" t="s">
        <v>360</v>
      </c>
      <c r="C39" s="2" t="s">
        <v>1052</v>
      </c>
      <c r="D39" s="2" t="s">
        <v>545</v>
      </c>
      <c r="E39" s="4" t="s">
        <v>227</v>
      </c>
      <c r="F39" s="8" t="s">
        <v>227</v>
      </c>
      <c r="G39" s="4" t="s">
        <v>227</v>
      </c>
      <c r="H39" s="8" t="s">
        <v>227</v>
      </c>
      <c r="I39" s="7" t="s">
        <v>227</v>
      </c>
      <c r="J39" s="7" t="s">
        <v>227</v>
      </c>
      <c r="K39" s="4"/>
      <c r="L39" s="8"/>
      <c r="M39" s="4"/>
      <c r="N39" s="8"/>
      <c r="O39" s="7"/>
      <c r="P39" s="7"/>
    </row>
    <row r="40">
      <c r="A40" s="2" t="s">
        <v>542</v>
      </c>
      <c r="B40" s="2" t="s">
        <v>360</v>
      </c>
      <c r="C40" s="2" t="s">
        <v>4378</v>
      </c>
      <c r="D40" s="2" t="s">
        <v>4379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542</v>
      </c>
      <c r="B41" s="2" t="s">
        <v>360</v>
      </c>
      <c r="C41" s="2" t="s">
        <v>561</v>
      </c>
      <c r="D41" s="2" t="s">
        <v>562</v>
      </c>
      <c r="E41" s="4" t="s">
        <v>227</v>
      </c>
      <c r="F41" s="8" t="s">
        <v>227</v>
      </c>
      <c r="G41" s="4" t="s">
        <v>227</v>
      </c>
      <c r="H41" s="8" t="s">
        <v>227</v>
      </c>
      <c r="I41" s="7" t="s">
        <v>227</v>
      </c>
      <c r="J41" s="7" t="s">
        <v>227</v>
      </c>
      <c r="K41" s="4"/>
      <c r="L41" s="8"/>
      <c r="M41" s="4"/>
      <c r="N41" s="8"/>
      <c r="O41" s="7"/>
      <c r="P41" s="7"/>
    </row>
    <row r="42">
      <c r="A42" s="2" t="s">
        <v>542</v>
      </c>
      <c r="B42" s="2" t="s">
        <v>360</v>
      </c>
      <c r="C42" s="2" t="s">
        <v>561</v>
      </c>
      <c r="D42" s="2" t="s">
        <v>2785</v>
      </c>
      <c r="E42" s="4" t="s">
        <v>227</v>
      </c>
      <c r="F42" s="8" t="s">
        <v>227</v>
      </c>
      <c r="G42" s="4" t="s">
        <v>227</v>
      </c>
      <c r="H42" s="8" t="s">
        <v>227</v>
      </c>
      <c r="I42" s="7" t="s">
        <v>227</v>
      </c>
      <c r="J42" s="7" t="s">
        <v>227</v>
      </c>
      <c r="K42" s="4"/>
      <c r="L42" s="8"/>
      <c r="M42" s="4"/>
      <c r="N42" s="8"/>
      <c r="O42" s="7"/>
      <c r="P42" s="7"/>
    </row>
    <row r="43">
      <c r="A43" s="2" t="s">
        <v>542</v>
      </c>
      <c r="B43" s="2" t="s">
        <v>360</v>
      </c>
      <c r="C43" s="2" t="s">
        <v>544</v>
      </c>
      <c r="D43" s="2" t="s">
        <v>545</v>
      </c>
      <c r="E43" s="4" t="s">
        <v>227</v>
      </c>
      <c r="F43" s="8" t="s">
        <v>227</v>
      </c>
      <c r="G43" s="4" t="s">
        <v>227</v>
      </c>
      <c r="H43" s="8" t="s">
        <v>227</v>
      </c>
      <c r="I43" s="7" t="s">
        <v>227</v>
      </c>
      <c r="J43" s="7" t="s">
        <v>227</v>
      </c>
      <c r="K43" s="4"/>
      <c r="L43" s="8"/>
      <c r="M43" s="4"/>
      <c r="N43" s="8"/>
      <c r="O43" s="7"/>
      <c r="P43" s="7"/>
    </row>
    <row r="44">
      <c r="A44" s="2" t="s">
        <v>542</v>
      </c>
      <c r="B44" s="2" t="s">
        <v>360</v>
      </c>
      <c r="C44" s="2" t="s">
        <v>544</v>
      </c>
      <c r="D44" s="2" t="s">
        <v>1377</v>
      </c>
      <c r="E44" s="4" t="s">
        <v>227</v>
      </c>
      <c r="F44" s="8" t="s">
        <v>227</v>
      </c>
      <c r="G44" s="4" t="s">
        <v>227</v>
      </c>
      <c r="H44" s="8" t="s">
        <v>227</v>
      </c>
      <c r="I44" s="7" t="s">
        <v>227</v>
      </c>
      <c r="J44" s="7" t="s">
        <v>227</v>
      </c>
      <c r="K44" s="4"/>
      <c r="L44" s="8"/>
      <c r="M44" s="4"/>
      <c r="N44" s="8"/>
      <c r="O44" s="7"/>
      <c r="P44" s="7"/>
    </row>
    <row r="45">
      <c r="A45" s="2" t="s">
        <v>542</v>
      </c>
      <c r="B45" s="2" t="s">
        <v>515</v>
      </c>
      <c r="C45" s="2" t="s">
        <v>1039</v>
      </c>
      <c r="D45" s="2" t="s">
        <v>5847</v>
      </c>
      <c r="E45" s="4" t="s">
        <v>227</v>
      </c>
      <c r="F45" s="8" t="s">
        <v>227</v>
      </c>
      <c r="G45" s="4" t="s">
        <v>227</v>
      </c>
      <c r="H45" s="8" t="s">
        <v>227</v>
      </c>
      <c r="I45" s="7" t="s">
        <v>227</v>
      </c>
      <c r="J45" s="7" t="s">
        <v>227</v>
      </c>
      <c r="K45" s="4"/>
      <c r="L45" s="8"/>
      <c r="M45" s="4"/>
      <c r="N45" s="8"/>
      <c r="O45" s="7"/>
      <c r="P45" s="7"/>
    </row>
    <row r="46">
      <c r="A46" s="2" t="s">
        <v>542</v>
      </c>
      <c r="B46" s="2" t="s">
        <v>515</v>
      </c>
      <c r="C46" s="2" t="s">
        <v>1039</v>
      </c>
      <c r="D46" s="2" t="s">
        <v>4061</v>
      </c>
      <c r="E46" s="4" t="s">
        <v>227</v>
      </c>
      <c r="F46" s="8" t="s">
        <v>227</v>
      </c>
      <c r="G46" s="4" t="s">
        <v>227</v>
      </c>
      <c r="H46" s="8" t="s">
        <v>227</v>
      </c>
      <c r="I46" s="7" t="s">
        <v>227</v>
      </c>
      <c r="J46" s="7" t="s">
        <v>227</v>
      </c>
      <c r="K46" s="4"/>
      <c r="L46" s="8"/>
      <c r="M46" s="4"/>
      <c r="N46" s="8"/>
      <c r="O46" s="7"/>
      <c r="P46" s="7"/>
    </row>
    <row r="47">
      <c r="A47" s="2" t="s">
        <v>542</v>
      </c>
      <c r="B47" s="2" t="s">
        <v>515</v>
      </c>
      <c r="C47" s="2" t="s">
        <v>561</v>
      </c>
      <c r="D47" s="2" t="s">
        <v>562</v>
      </c>
      <c r="E47" s="4" t="s">
        <v>227</v>
      </c>
      <c r="F47" s="8" t="s">
        <v>227</v>
      </c>
      <c r="G47" s="4" t="s">
        <v>227</v>
      </c>
      <c r="H47" s="8" t="s">
        <v>227</v>
      </c>
      <c r="I47" s="7" t="s">
        <v>227</v>
      </c>
      <c r="J47" s="7" t="s">
        <v>227</v>
      </c>
      <c r="K47" s="4"/>
      <c r="L47" s="8"/>
      <c r="M47" s="4"/>
      <c r="N47" s="8"/>
      <c r="O47" s="7"/>
      <c r="P47" s="7"/>
    </row>
    <row r="48">
      <c r="A48" s="2" t="s">
        <v>542</v>
      </c>
      <c r="B48" s="2" t="s">
        <v>515</v>
      </c>
      <c r="C48" s="2" t="s">
        <v>561</v>
      </c>
      <c r="D48" s="2" t="s">
        <v>2785</v>
      </c>
      <c r="E48" s="4" t="s">
        <v>227</v>
      </c>
      <c r="F48" s="8" t="s">
        <v>227</v>
      </c>
      <c r="G48" s="4" t="s">
        <v>227</v>
      </c>
      <c r="H48" s="8" t="s">
        <v>227</v>
      </c>
      <c r="I48" s="7" t="s">
        <v>227</v>
      </c>
      <c r="J48" s="7" t="s">
        <v>227</v>
      </c>
      <c r="K48" s="4"/>
      <c r="L48" s="8"/>
      <c r="M48" s="4"/>
      <c r="N48" s="8"/>
      <c r="O48" s="7"/>
      <c r="P48" s="7"/>
    </row>
    <row r="49">
      <c r="A49" s="2" t="s">
        <v>542</v>
      </c>
      <c r="B49" s="2" t="s">
        <v>543</v>
      </c>
      <c r="C49" s="2" t="s">
        <v>1039</v>
      </c>
      <c r="D49" s="2" t="s">
        <v>4061</v>
      </c>
      <c r="E49" s="4" t="s">
        <v>227</v>
      </c>
      <c r="F49" s="8" t="s">
        <v>227</v>
      </c>
      <c r="G49" s="4" t="s">
        <v>227</v>
      </c>
      <c r="H49" s="8" t="s">
        <v>227</v>
      </c>
      <c r="I49" s="7" t="s">
        <v>227</v>
      </c>
      <c r="J49" s="7" t="s">
        <v>227</v>
      </c>
      <c r="K49" s="4"/>
      <c r="L49" s="8"/>
      <c r="M49" s="4"/>
      <c r="N49" s="8"/>
      <c r="O49" s="7"/>
      <c r="P49" s="7"/>
    </row>
    <row r="50">
      <c r="A50" s="2" t="s">
        <v>542</v>
      </c>
      <c r="B50" s="2" t="s">
        <v>543</v>
      </c>
      <c r="C50" s="2" t="s">
        <v>1039</v>
      </c>
      <c r="D50" s="2" t="s">
        <v>545</v>
      </c>
      <c r="E50" s="4" t="s">
        <v>227</v>
      </c>
      <c r="F50" s="8" t="s">
        <v>227</v>
      </c>
      <c r="G50" s="4" t="s">
        <v>227</v>
      </c>
      <c r="H50" s="8" t="s">
        <v>227</v>
      </c>
      <c r="I50" s="7" t="s">
        <v>227</v>
      </c>
      <c r="J50" s="7" t="s">
        <v>227</v>
      </c>
      <c r="K50" s="4"/>
      <c r="L50" s="8"/>
      <c r="M50" s="4"/>
      <c r="N50" s="8"/>
      <c r="O50" s="7"/>
      <c r="P50" s="7"/>
    </row>
    <row r="51">
      <c r="A51" s="2" t="s">
        <v>542</v>
      </c>
      <c r="B51" s="2" t="s">
        <v>543</v>
      </c>
      <c r="C51" s="2" t="s">
        <v>1052</v>
      </c>
      <c r="D51" s="2" t="s">
        <v>545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542</v>
      </c>
      <c r="B52" s="2" t="s">
        <v>543</v>
      </c>
      <c r="C52" s="2" t="s">
        <v>544</v>
      </c>
      <c r="D52" s="2" t="s">
        <v>545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542</v>
      </c>
      <c r="B53" s="2" t="s">
        <v>1546</v>
      </c>
      <c r="C53" s="2" t="s">
        <v>1052</v>
      </c>
      <c r="D53" s="2" t="s">
        <v>545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216</v>
      </c>
      <c r="B54" s="2" t="s">
        <v>4256</v>
      </c>
      <c r="C54" s="2" t="s">
        <v>687</v>
      </c>
      <c r="D54" s="2" t="s">
        <v>1903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216</v>
      </c>
      <c r="B55" s="2" t="s">
        <v>360</v>
      </c>
      <c r="C55" s="2" t="s">
        <v>1448</v>
      </c>
      <c r="D55" s="2" t="s">
        <v>1836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216</v>
      </c>
      <c r="B56" s="2" t="s">
        <v>360</v>
      </c>
      <c r="C56" s="2" t="s">
        <v>687</v>
      </c>
      <c r="D56" s="2" t="s">
        <v>1903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216</v>
      </c>
      <c r="B57" s="2" t="s">
        <v>360</v>
      </c>
      <c r="C57" s="2" t="s">
        <v>1423</v>
      </c>
      <c r="D57" s="2" t="s">
        <v>5440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216</v>
      </c>
      <c r="B58" s="2" t="s">
        <v>217</v>
      </c>
      <c r="C58" s="2" t="s">
        <v>687</v>
      </c>
      <c r="D58" s="2" t="s">
        <v>1903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216</v>
      </c>
      <c r="B59" s="2" t="s">
        <v>217</v>
      </c>
      <c r="C59" s="2" t="s">
        <v>218</v>
      </c>
      <c r="D59" s="2" t="s">
        <v>219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216</v>
      </c>
      <c r="B60" s="2" t="s">
        <v>217</v>
      </c>
      <c r="C60" s="2" t="s">
        <v>1027</v>
      </c>
      <c r="D60" s="2" t="s">
        <v>5440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216</v>
      </c>
      <c r="B61" s="2" t="s">
        <v>2227</v>
      </c>
      <c r="C61" s="2" t="s">
        <v>687</v>
      </c>
      <c r="D61" s="2" t="s">
        <v>3536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216</v>
      </c>
      <c r="B62" s="2" t="s">
        <v>2227</v>
      </c>
      <c r="C62" s="2" t="s">
        <v>868</v>
      </c>
      <c r="D62" s="2" t="s">
        <v>1836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216</v>
      </c>
      <c r="B63" s="2" t="s">
        <v>1546</v>
      </c>
      <c r="C63" s="2" t="s">
        <v>687</v>
      </c>
      <c r="D63" s="2" t="s">
        <v>1903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744</v>
      </c>
      <c r="B64" s="2" t="s">
        <v>1299</v>
      </c>
      <c r="C64" s="2" t="s">
        <v>4110</v>
      </c>
      <c r="D64" s="2" t="s">
        <v>517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744</v>
      </c>
      <c r="B65" s="2" t="s">
        <v>1299</v>
      </c>
      <c r="C65" s="2" t="s">
        <v>768</v>
      </c>
      <c r="D65" s="2" t="s">
        <v>769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744</v>
      </c>
      <c r="B66" s="2" t="s">
        <v>360</v>
      </c>
      <c r="C66" s="2" t="s">
        <v>745</v>
      </c>
      <c r="D66" s="2" t="s">
        <v>746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744</v>
      </c>
      <c r="B67" s="2" t="s">
        <v>360</v>
      </c>
      <c r="C67" s="2" t="s">
        <v>768</v>
      </c>
      <c r="D67" s="2" t="s">
        <v>769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744</v>
      </c>
      <c r="B68" s="2" t="s">
        <v>1546</v>
      </c>
      <c r="C68" s="2" t="s">
        <v>768</v>
      </c>
      <c r="D68" s="2" t="s">
        <v>769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697</v>
      </c>
      <c r="B69" s="2" t="s">
        <v>1962</v>
      </c>
      <c r="C69" s="2" t="s">
        <v>1448</v>
      </c>
      <c r="D69" s="2" t="s">
        <v>1449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697</v>
      </c>
      <c r="B70" s="2" t="s">
        <v>1962</v>
      </c>
      <c r="C70" s="2" t="s">
        <v>1963</v>
      </c>
      <c r="D70" s="2" t="s">
        <v>1964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697</v>
      </c>
      <c r="B71" s="2" t="s">
        <v>1962</v>
      </c>
      <c r="C71" s="2" t="s">
        <v>1982</v>
      </c>
      <c r="D71" s="2" t="s">
        <v>1983</v>
      </c>
      <c r="E71" s="4" t="s">
        <v>227</v>
      </c>
      <c r="F71" s="8" t="s">
        <v>227</v>
      </c>
      <c r="G71" s="4" t="s">
        <v>227</v>
      </c>
      <c r="H71" s="8" t="s">
        <v>227</v>
      </c>
      <c r="I71" s="7" t="s">
        <v>227</v>
      </c>
      <c r="J71" s="7" t="s">
        <v>227</v>
      </c>
      <c r="K71" s="4"/>
      <c r="L71" s="8"/>
      <c r="M71" s="4"/>
      <c r="N71" s="8"/>
      <c r="O71" s="7"/>
      <c r="P71" s="7"/>
    </row>
    <row r="72">
      <c r="A72" s="2" t="s">
        <v>697</v>
      </c>
      <c r="B72" s="2" t="s">
        <v>1962</v>
      </c>
      <c r="C72" s="2" t="s">
        <v>1982</v>
      </c>
      <c r="D72" s="2" t="s">
        <v>3093</v>
      </c>
      <c r="E72" s="4" t="s">
        <v>227</v>
      </c>
      <c r="F72" s="8" t="s">
        <v>227</v>
      </c>
      <c r="G72" s="4" t="s">
        <v>227</v>
      </c>
      <c r="H72" s="8" t="s">
        <v>227</v>
      </c>
      <c r="I72" s="7" t="s">
        <v>227</v>
      </c>
      <c r="J72" s="7" t="s">
        <v>227</v>
      </c>
      <c r="K72" s="4"/>
      <c r="L72" s="8"/>
      <c r="M72" s="4"/>
      <c r="N72" s="8"/>
      <c r="O72" s="7"/>
      <c r="P72" s="7"/>
    </row>
    <row r="73">
      <c r="A73" s="2" t="s">
        <v>697</v>
      </c>
      <c r="B73" s="2" t="s">
        <v>668</v>
      </c>
      <c r="C73" s="2" t="s">
        <v>1448</v>
      </c>
      <c r="D73" s="2" t="s">
        <v>1449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697</v>
      </c>
      <c r="B74" s="2" t="s">
        <v>668</v>
      </c>
      <c r="C74" s="2" t="s">
        <v>1423</v>
      </c>
      <c r="D74" s="2" t="s">
        <v>1424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697</v>
      </c>
      <c r="B75" s="2" t="s">
        <v>668</v>
      </c>
      <c r="C75" s="2" t="s">
        <v>868</v>
      </c>
      <c r="D75" s="2" t="s">
        <v>1334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697</v>
      </c>
      <c r="B76" s="2" t="s">
        <v>1299</v>
      </c>
      <c r="C76" s="2" t="s">
        <v>687</v>
      </c>
      <c r="D76" s="2" t="s">
        <v>688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697</v>
      </c>
      <c r="B77" s="2" t="s">
        <v>360</v>
      </c>
      <c r="C77" s="2" t="s">
        <v>1448</v>
      </c>
      <c r="D77" s="2" t="s">
        <v>1449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697</v>
      </c>
      <c r="B78" s="2" t="s">
        <v>360</v>
      </c>
      <c r="C78" s="2" t="s">
        <v>687</v>
      </c>
      <c r="D78" s="2" t="s">
        <v>688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697</v>
      </c>
      <c r="B79" s="2" t="s">
        <v>360</v>
      </c>
      <c r="C79" s="2" t="s">
        <v>1027</v>
      </c>
      <c r="D79" s="2" t="s">
        <v>2748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697</v>
      </c>
      <c r="B80" s="2" t="s">
        <v>360</v>
      </c>
      <c r="C80" s="2" t="s">
        <v>868</v>
      </c>
      <c r="D80" s="2" t="s">
        <v>869</v>
      </c>
      <c r="E80" s="4" t="s">
        <v>227</v>
      </c>
      <c r="F80" s="8" t="s">
        <v>227</v>
      </c>
      <c r="G80" s="4" t="s">
        <v>227</v>
      </c>
      <c r="H80" s="8" t="s">
        <v>227</v>
      </c>
      <c r="I80" s="7" t="s">
        <v>227</v>
      </c>
      <c r="J80" s="7" t="s">
        <v>227</v>
      </c>
      <c r="K80" s="4"/>
      <c r="L80" s="8"/>
      <c r="M80" s="4"/>
      <c r="N80" s="8"/>
      <c r="O80" s="7"/>
      <c r="P80" s="7"/>
    </row>
    <row r="81">
      <c r="A81" s="2" t="s">
        <v>697</v>
      </c>
      <c r="B81" s="2" t="s">
        <v>360</v>
      </c>
      <c r="C81" s="2" t="s">
        <v>868</v>
      </c>
      <c r="D81" s="2" t="s">
        <v>1334</v>
      </c>
      <c r="E81" s="4" t="s">
        <v>227</v>
      </c>
      <c r="F81" s="8" t="s">
        <v>227</v>
      </c>
      <c r="G81" s="4" t="s">
        <v>227</v>
      </c>
      <c r="H81" s="8" t="s">
        <v>227</v>
      </c>
      <c r="I81" s="7" t="s">
        <v>227</v>
      </c>
      <c r="J81" s="7" t="s">
        <v>227</v>
      </c>
      <c r="K81" s="4"/>
      <c r="L81" s="8"/>
      <c r="M81" s="4"/>
      <c r="N81" s="8"/>
      <c r="O81" s="7"/>
      <c r="P81" s="7"/>
    </row>
    <row r="82">
      <c r="A82" s="2" t="s">
        <v>697</v>
      </c>
      <c r="B82" s="2" t="s">
        <v>279</v>
      </c>
      <c r="C82" s="2" t="s">
        <v>687</v>
      </c>
      <c r="D82" s="2" t="s">
        <v>688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697</v>
      </c>
      <c r="B83" s="2" t="s">
        <v>1981</v>
      </c>
      <c r="C83" s="2" t="s">
        <v>1963</v>
      </c>
      <c r="D83" s="2" t="s">
        <v>1964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697</v>
      </c>
      <c r="B84" s="2" t="s">
        <v>1981</v>
      </c>
      <c r="C84" s="2" t="s">
        <v>1982</v>
      </c>
      <c r="D84" s="2" t="s">
        <v>1983</v>
      </c>
      <c r="E84" s="4" t="s">
        <v>227</v>
      </c>
      <c r="F84" s="8" t="s">
        <v>227</v>
      </c>
      <c r="G84" s="4" t="s">
        <v>227</v>
      </c>
      <c r="H84" s="8" t="s">
        <v>227</v>
      </c>
      <c r="I84" s="7" t="s">
        <v>227</v>
      </c>
      <c r="J84" s="7" t="s">
        <v>227</v>
      </c>
      <c r="K84" s="4"/>
      <c r="L84" s="8"/>
      <c r="M84" s="4"/>
      <c r="N84" s="8"/>
      <c r="O84" s="7"/>
      <c r="P84" s="7"/>
    </row>
    <row r="85">
      <c r="A85" s="2" t="s">
        <v>697</v>
      </c>
      <c r="B85" s="2" t="s">
        <v>1981</v>
      </c>
      <c r="C85" s="2" t="s">
        <v>1982</v>
      </c>
      <c r="D85" s="2" t="s">
        <v>3093</v>
      </c>
      <c r="E85" s="4" t="s">
        <v>227</v>
      </c>
      <c r="F85" s="8" t="s">
        <v>227</v>
      </c>
      <c r="G85" s="4" t="s">
        <v>227</v>
      </c>
      <c r="H85" s="8" t="s">
        <v>227</v>
      </c>
      <c r="I85" s="7" t="s">
        <v>227</v>
      </c>
      <c r="J85" s="7" t="s">
        <v>227</v>
      </c>
      <c r="K85" s="4"/>
      <c r="L85" s="8"/>
      <c r="M85" s="4"/>
      <c r="N85" s="8"/>
      <c r="O85" s="7"/>
      <c r="P85" s="7"/>
    </row>
    <row r="86">
      <c r="A86" s="2" t="s">
        <v>697</v>
      </c>
      <c r="B86" s="2" t="s">
        <v>2227</v>
      </c>
      <c r="C86" s="2" t="s">
        <v>1982</v>
      </c>
      <c r="D86" s="2" t="s">
        <v>1983</v>
      </c>
      <c r="E86" s="4" t="s">
        <v>227</v>
      </c>
      <c r="F86" s="8" t="s">
        <v>227</v>
      </c>
      <c r="G86" s="4" t="s">
        <v>227</v>
      </c>
      <c r="H86" s="8" t="s">
        <v>227</v>
      </c>
      <c r="I86" s="7" t="s">
        <v>227</v>
      </c>
      <c r="J86" s="7" t="s">
        <v>227</v>
      </c>
      <c r="K86" s="4"/>
      <c r="L86" s="8"/>
      <c r="M86" s="4"/>
      <c r="N86" s="8"/>
      <c r="O86" s="7"/>
      <c r="P86" s="7"/>
    </row>
    <row r="87">
      <c r="A87" s="2" t="s">
        <v>697</v>
      </c>
      <c r="B87" s="2" t="s">
        <v>2227</v>
      </c>
      <c r="C87" s="2" t="s">
        <v>1982</v>
      </c>
      <c r="D87" s="2" t="s">
        <v>3093</v>
      </c>
      <c r="E87" s="4" t="s">
        <v>227</v>
      </c>
      <c r="F87" s="8" t="s">
        <v>227</v>
      </c>
      <c r="G87" s="4" t="s">
        <v>227</v>
      </c>
      <c r="H87" s="8" t="s">
        <v>227</v>
      </c>
      <c r="I87" s="7" t="s">
        <v>227</v>
      </c>
      <c r="J87" s="7" t="s">
        <v>227</v>
      </c>
      <c r="K87" s="4"/>
      <c r="L87" s="8"/>
      <c r="M87" s="4"/>
      <c r="N87" s="8"/>
      <c r="O87" s="7"/>
      <c r="P87" s="7"/>
    </row>
    <row r="88">
      <c r="A88" s="2" t="s">
        <v>697</v>
      </c>
      <c r="B88" s="2" t="s">
        <v>698</v>
      </c>
      <c r="C88" s="2" t="s">
        <v>687</v>
      </c>
      <c r="D88" s="2" t="s">
        <v>699</v>
      </c>
      <c r="E88" s="4" t="s">
        <v>227</v>
      </c>
      <c r="F88" s="8" t="s">
        <v>227</v>
      </c>
      <c r="G88" s="4" t="s">
        <v>227</v>
      </c>
      <c r="H88" s="8" t="s">
        <v>227</v>
      </c>
      <c r="I88" s="7" t="s">
        <v>227</v>
      </c>
      <c r="J88" s="7" t="s">
        <v>227</v>
      </c>
      <c r="K88" s="4"/>
      <c r="L88" s="8"/>
      <c r="M88" s="4"/>
      <c r="N88" s="8"/>
      <c r="O88" s="7"/>
      <c r="P88" s="7"/>
    </row>
    <row r="89">
      <c r="A89" s="2" t="s">
        <v>697</v>
      </c>
      <c r="B89" s="2" t="s">
        <v>698</v>
      </c>
      <c r="C89" s="2" t="s">
        <v>687</v>
      </c>
      <c r="D89" s="2" t="s">
        <v>688</v>
      </c>
      <c r="E89" s="4" t="s">
        <v>227</v>
      </c>
      <c r="F89" s="8" t="s">
        <v>227</v>
      </c>
      <c r="G89" s="4" t="s">
        <v>227</v>
      </c>
      <c r="H89" s="8" t="s">
        <v>227</v>
      </c>
      <c r="I89" s="7" t="s">
        <v>227</v>
      </c>
      <c r="J89" s="7" t="s">
        <v>227</v>
      </c>
      <c r="K89" s="4"/>
      <c r="L89" s="8"/>
      <c r="M89" s="4"/>
      <c r="N89" s="8"/>
      <c r="O89" s="7"/>
      <c r="P89" s="7"/>
    </row>
    <row r="90">
      <c r="A90" s="2" t="s">
        <v>697</v>
      </c>
      <c r="B90" s="2" t="s">
        <v>698</v>
      </c>
      <c r="C90" s="2" t="s">
        <v>1982</v>
      </c>
      <c r="D90" s="2" t="s">
        <v>1983</v>
      </c>
      <c r="E90" s="4" t="s">
        <v>227</v>
      </c>
      <c r="F90" s="8" t="s">
        <v>227</v>
      </c>
      <c r="G90" s="4" t="s">
        <v>227</v>
      </c>
      <c r="H90" s="8" t="s">
        <v>227</v>
      </c>
      <c r="I90" s="7" t="s">
        <v>227</v>
      </c>
      <c r="J90" s="7" t="s">
        <v>227</v>
      </c>
      <c r="K90" s="4"/>
      <c r="L90" s="8"/>
      <c r="M90" s="4"/>
      <c r="N90" s="8"/>
      <c r="O90" s="7"/>
      <c r="P90" s="7"/>
    </row>
    <row r="91">
      <c r="A91" s="2" t="s">
        <v>697</v>
      </c>
      <c r="B91" s="2" t="s">
        <v>698</v>
      </c>
      <c r="C91" s="2" t="s">
        <v>1982</v>
      </c>
      <c r="D91" s="2" t="s">
        <v>3093</v>
      </c>
      <c r="E91" s="4" t="s">
        <v>227</v>
      </c>
      <c r="F91" s="8" t="s">
        <v>227</v>
      </c>
      <c r="G91" s="4" t="s">
        <v>227</v>
      </c>
      <c r="H91" s="8" t="s">
        <v>227</v>
      </c>
      <c r="I91" s="7" t="s">
        <v>227</v>
      </c>
      <c r="J91" s="7" t="s">
        <v>227</v>
      </c>
      <c r="K91" s="4"/>
      <c r="L91" s="8"/>
      <c r="M91" s="4"/>
      <c r="N91" s="8"/>
      <c r="O91" s="7"/>
      <c r="P91" s="7"/>
    </row>
    <row r="92">
      <c r="A92" s="2" t="s">
        <v>697</v>
      </c>
      <c r="B92" s="2" t="s">
        <v>698</v>
      </c>
      <c r="C92" s="2" t="s">
        <v>868</v>
      </c>
      <c r="D92" s="2" t="s">
        <v>1334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573</v>
      </c>
      <c r="B93" s="2" t="s">
        <v>1139</v>
      </c>
      <c r="C93" s="2" t="s">
        <v>832</v>
      </c>
      <c r="D93" s="2" t="s">
        <v>5167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573</v>
      </c>
      <c r="B94" s="2" t="s">
        <v>1139</v>
      </c>
      <c r="C94" s="2" t="s">
        <v>1230</v>
      </c>
      <c r="D94" s="2" t="s">
        <v>1231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573</v>
      </c>
      <c r="B95" s="2" t="s">
        <v>668</v>
      </c>
      <c r="C95" s="2" t="s">
        <v>856</v>
      </c>
      <c r="D95" s="2" t="s">
        <v>857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573</v>
      </c>
      <c r="B96" s="2" t="s">
        <v>668</v>
      </c>
      <c r="C96" s="2" t="s">
        <v>832</v>
      </c>
      <c r="D96" s="2" t="s">
        <v>833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573</v>
      </c>
      <c r="B97" s="2" t="s">
        <v>668</v>
      </c>
      <c r="C97" s="2" t="s">
        <v>4427</v>
      </c>
      <c r="D97" s="2" t="s">
        <v>4428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573</v>
      </c>
      <c r="B98" s="2" t="s">
        <v>668</v>
      </c>
      <c r="C98" s="2" t="s">
        <v>1515</v>
      </c>
      <c r="D98" s="2" t="s">
        <v>4964</v>
      </c>
      <c r="E98" s="4" t="s">
        <v>227</v>
      </c>
      <c r="F98" s="8" t="s">
        <v>227</v>
      </c>
      <c r="G98" s="4" t="s">
        <v>227</v>
      </c>
      <c r="H98" s="8" t="s">
        <v>227</v>
      </c>
      <c r="I98" s="7" t="s">
        <v>227</v>
      </c>
      <c r="J98" s="7" t="s">
        <v>227</v>
      </c>
      <c r="K98" s="4"/>
      <c r="L98" s="8"/>
      <c r="M98" s="4"/>
      <c r="N98" s="8"/>
      <c r="O98" s="7"/>
      <c r="P98" s="7"/>
    </row>
    <row r="99">
      <c r="A99" s="2" t="s">
        <v>573</v>
      </c>
      <c r="B99" s="2" t="s">
        <v>668</v>
      </c>
      <c r="C99" s="2" t="s">
        <v>1515</v>
      </c>
      <c r="D99" s="2" t="s">
        <v>1516</v>
      </c>
      <c r="E99" s="4" t="s">
        <v>227</v>
      </c>
      <c r="F99" s="8" t="s">
        <v>227</v>
      </c>
      <c r="G99" s="4" t="s">
        <v>227</v>
      </c>
      <c r="H99" s="8" t="s">
        <v>227</v>
      </c>
      <c r="I99" s="7" t="s">
        <v>227</v>
      </c>
      <c r="J99" s="7" t="s">
        <v>227</v>
      </c>
      <c r="K99" s="4"/>
      <c r="L99" s="8"/>
      <c r="M99" s="4"/>
      <c r="N99" s="8"/>
      <c r="O99" s="7"/>
      <c r="P99" s="7"/>
    </row>
    <row r="100">
      <c r="A100" s="2" t="s">
        <v>573</v>
      </c>
      <c r="B100" s="2" t="s">
        <v>668</v>
      </c>
      <c r="C100" s="2" t="s">
        <v>1182</v>
      </c>
      <c r="D100" s="2" t="s">
        <v>1183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573</v>
      </c>
      <c r="B101" s="2" t="s">
        <v>668</v>
      </c>
      <c r="C101" s="2" t="s">
        <v>3118</v>
      </c>
      <c r="D101" s="2" t="s">
        <v>3119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573</v>
      </c>
      <c r="B102" s="2" t="s">
        <v>668</v>
      </c>
      <c r="C102" s="2" t="s">
        <v>1230</v>
      </c>
      <c r="D102" s="2" t="s">
        <v>1231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573</v>
      </c>
      <c r="B103" s="2" t="s">
        <v>668</v>
      </c>
      <c r="C103" s="2" t="s">
        <v>4418</v>
      </c>
      <c r="D103" s="2" t="s">
        <v>4419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573</v>
      </c>
      <c r="B104" s="2" t="s">
        <v>668</v>
      </c>
      <c r="C104" s="2" t="s">
        <v>574</v>
      </c>
      <c r="D104" s="2" t="s">
        <v>575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573</v>
      </c>
      <c r="B105" s="2" t="s">
        <v>668</v>
      </c>
      <c r="C105" s="2" t="s">
        <v>3832</v>
      </c>
      <c r="D105" s="2" t="s">
        <v>3833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573</v>
      </c>
      <c r="B106" s="2" t="s">
        <v>668</v>
      </c>
      <c r="C106" s="2" t="s">
        <v>3621</v>
      </c>
      <c r="D106" s="2" t="s">
        <v>3622</v>
      </c>
      <c r="E106" s="4" t="s">
        <v>227</v>
      </c>
      <c r="F106" s="8" t="s">
        <v>227</v>
      </c>
      <c r="G106" s="4" t="s">
        <v>227</v>
      </c>
      <c r="H106" s="8" t="s">
        <v>227</v>
      </c>
      <c r="I106" s="7" t="s">
        <v>227</v>
      </c>
      <c r="J106" s="7" t="s">
        <v>227</v>
      </c>
      <c r="K106" s="4"/>
      <c r="L106" s="8"/>
      <c r="M106" s="4"/>
      <c r="N106" s="8"/>
      <c r="O106" s="7"/>
      <c r="P106" s="7"/>
    </row>
    <row r="107">
      <c r="A107" s="2" t="s">
        <v>573</v>
      </c>
      <c r="B107" s="2" t="s">
        <v>668</v>
      </c>
      <c r="C107" s="2" t="s">
        <v>3621</v>
      </c>
      <c r="D107" s="2" t="s">
        <v>3894</v>
      </c>
      <c r="E107" s="4" t="s">
        <v>227</v>
      </c>
      <c r="F107" s="8" t="s">
        <v>227</v>
      </c>
      <c r="G107" s="4" t="s">
        <v>227</v>
      </c>
      <c r="H107" s="8" t="s">
        <v>227</v>
      </c>
      <c r="I107" s="7" t="s">
        <v>227</v>
      </c>
      <c r="J107" s="7" t="s">
        <v>227</v>
      </c>
      <c r="K107" s="4"/>
      <c r="L107" s="8"/>
      <c r="M107" s="4"/>
      <c r="N107" s="8"/>
      <c r="O107" s="7"/>
      <c r="P107" s="7"/>
    </row>
    <row r="108">
      <c r="A108" s="2" t="s">
        <v>573</v>
      </c>
      <c r="B108" s="2" t="s">
        <v>668</v>
      </c>
      <c r="C108" s="2" t="s">
        <v>4783</v>
      </c>
      <c r="D108" s="2" t="s">
        <v>2842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573</v>
      </c>
      <c r="B109" s="2" t="s">
        <v>360</v>
      </c>
      <c r="C109" s="2" t="s">
        <v>856</v>
      </c>
      <c r="D109" s="2" t="s">
        <v>933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573</v>
      </c>
      <c r="B110" s="2" t="s">
        <v>360</v>
      </c>
      <c r="C110" s="2" t="s">
        <v>832</v>
      </c>
      <c r="D110" s="2" t="s">
        <v>833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573</v>
      </c>
      <c r="B111" s="2" t="s">
        <v>360</v>
      </c>
      <c r="C111" s="2" t="s">
        <v>2722</v>
      </c>
      <c r="D111" s="2" t="s">
        <v>2723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573</v>
      </c>
      <c r="B112" s="2" t="s">
        <v>360</v>
      </c>
      <c r="C112" s="2" t="s">
        <v>1515</v>
      </c>
      <c r="D112" s="2" t="s">
        <v>1516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573</v>
      </c>
      <c r="B113" s="2" t="s">
        <v>360</v>
      </c>
      <c r="C113" s="2" t="s">
        <v>1230</v>
      </c>
      <c r="D113" s="2" t="s">
        <v>1231</v>
      </c>
      <c r="E113" s="4"/>
      <c r="F113" s="8"/>
      <c r="G113" s="4"/>
      <c r="H113" s="8"/>
      <c r="I113" s="7"/>
      <c r="J113" s="7"/>
      <c r="K113" s="4"/>
      <c r="L113" s="8"/>
      <c r="M113" s="4"/>
      <c r="N113" s="8"/>
      <c r="O113" s="7"/>
      <c r="P113" s="7"/>
    </row>
    <row r="114">
      <c r="A114" s="2" t="s">
        <v>573</v>
      </c>
      <c r="B114" s="2" t="s">
        <v>360</v>
      </c>
      <c r="C114" s="2" t="s">
        <v>574</v>
      </c>
      <c r="D114" s="2" t="s">
        <v>961</v>
      </c>
      <c r="E114" s="4" t="s">
        <v>227</v>
      </c>
      <c r="F114" s="8" t="s">
        <v>227</v>
      </c>
      <c r="G114" s="4" t="s">
        <v>227</v>
      </c>
      <c r="H114" s="8" t="s">
        <v>227</v>
      </c>
      <c r="I114" s="7" t="s">
        <v>227</v>
      </c>
      <c r="J114" s="7" t="s">
        <v>227</v>
      </c>
      <c r="K114" s="4"/>
      <c r="L114" s="8"/>
      <c r="M114" s="4"/>
      <c r="N114" s="8"/>
      <c r="O114" s="7"/>
      <c r="P114" s="7"/>
    </row>
    <row r="115">
      <c r="A115" s="2" t="s">
        <v>573</v>
      </c>
      <c r="B115" s="2" t="s">
        <v>360</v>
      </c>
      <c r="C115" s="2" t="s">
        <v>574</v>
      </c>
      <c r="D115" s="2" t="s">
        <v>575</v>
      </c>
      <c r="E115" s="4" t="s">
        <v>227</v>
      </c>
      <c r="F115" s="8" t="s">
        <v>227</v>
      </c>
      <c r="G115" s="4" t="s">
        <v>227</v>
      </c>
      <c r="H115" s="8" t="s">
        <v>227</v>
      </c>
      <c r="I115" s="7" t="s">
        <v>227</v>
      </c>
      <c r="J115" s="7" t="s">
        <v>227</v>
      </c>
      <c r="K115" s="4"/>
      <c r="L115" s="8"/>
      <c r="M115" s="4"/>
      <c r="N115" s="8"/>
      <c r="O115" s="7"/>
      <c r="P115" s="7"/>
    </row>
    <row r="116">
      <c r="A116" s="2" t="s">
        <v>573</v>
      </c>
      <c r="B116" s="2" t="s">
        <v>360</v>
      </c>
      <c r="C116" s="2" t="s">
        <v>574</v>
      </c>
      <c r="D116" s="2" t="s">
        <v>1014</v>
      </c>
      <c r="E116" s="4" t="s">
        <v>227</v>
      </c>
      <c r="F116" s="8" t="s">
        <v>227</v>
      </c>
      <c r="G116" s="4" t="s">
        <v>227</v>
      </c>
      <c r="H116" s="8" t="s">
        <v>227</v>
      </c>
      <c r="I116" s="7" t="s">
        <v>227</v>
      </c>
      <c r="J116" s="7" t="s">
        <v>227</v>
      </c>
      <c r="K116" s="4"/>
      <c r="L116" s="8"/>
      <c r="M116" s="4"/>
      <c r="N116" s="8"/>
      <c r="O116" s="7"/>
      <c r="P116" s="7"/>
    </row>
    <row r="117">
      <c r="A117" s="2" t="s">
        <v>573</v>
      </c>
      <c r="B117" s="2" t="s">
        <v>360</v>
      </c>
      <c r="C117" s="2" t="s">
        <v>3621</v>
      </c>
      <c r="D117" s="2" t="s">
        <v>5139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573</v>
      </c>
      <c r="B118" s="2" t="s">
        <v>515</v>
      </c>
      <c r="C118" s="2" t="s">
        <v>832</v>
      </c>
      <c r="D118" s="2" t="s">
        <v>833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573</v>
      </c>
      <c r="B119" s="2" t="s">
        <v>515</v>
      </c>
      <c r="C119" s="2" t="s">
        <v>4004</v>
      </c>
      <c r="D119" s="2" t="s">
        <v>4005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573</v>
      </c>
      <c r="B120" s="2" t="s">
        <v>515</v>
      </c>
      <c r="C120" s="2" t="s">
        <v>1182</v>
      </c>
      <c r="D120" s="2" t="s">
        <v>1183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573</v>
      </c>
      <c r="B121" s="2" t="s">
        <v>543</v>
      </c>
      <c r="C121" s="2" t="s">
        <v>832</v>
      </c>
      <c r="D121" s="2" t="s">
        <v>833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573</v>
      </c>
      <c r="B122" s="2" t="s">
        <v>543</v>
      </c>
      <c r="C122" s="2" t="s">
        <v>4004</v>
      </c>
      <c r="D122" s="2" t="s">
        <v>4005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573</v>
      </c>
      <c r="B123" s="2" t="s">
        <v>543</v>
      </c>
      <c r="C123" s="2" t="s">
        <v>1230</v>
      </c>
      <c r="D123" s="2" t="s">
        <v>1231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573</v>
      </c>
      <c r="B124" s="2" t="s">
        <v>543</v>
      </c>
      <c r="C124" s="2" t="s">
        <v>3621</v>
      </c>
      <c r="D124" s="2" t="s">
        <v>3894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573</v>
      </c>
      <c r="B125" s="2" t="s">
        <v>543</v>
      </c>
      <c r="C125" s="2" t="s">
        <v>2841</v>
      </c>
      <c r="D125" s="2" t="s">
        <v>2842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1001</v>
      </c>
      <c r="B126" s="2" t="s">
        <v>1139</v>
      </c>
      <c r="C126" s="2" t="s">
        <v>1952</v>
      </c>
      <c r="D126" s="2" t="s">
        <v>1953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1001</v>
      </c>
      <c r="B127" s="2" t="s">
        <v>1139</v>
      </c>
      <c r="C127" s="2" t="s">
        <v>1140</v>
      </c>
      <c r="D127" s="2" t="s">
        <v>1141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1001</v>
      </c>
      <c r="B128" s="2" t="s">
        <v>668</v>
      </c>
      <c r="C128" s="2" t="s">
        <v>2594</v>
      </c>
      <c r="D128" s="2" t="s">
        <v>2595</v>
      </c>
      <c r="E128" s="4"/>
      <c r="F128" s="8"/>
      <c r="G128" s="4"/>
      <c r="H128" s="8"/>
      <c r="I128" s="7"/>
      <c r="J128" s="7"/>
      <c r="K128" s="4"/>
      <c r="L128" s="8"/>
      <c r="M128" s="4"/>
      <c r="N128" s="8"/>
      <c r="O128" s="7"/>
      <c r="P128" s="7"/>
    </row>
    <row r="129">
      <c r="A129" s="2" t="s">
        <v>1001</v>
      </c>
      <c r="B129" s="2" t="s">
        <v>668</v>
      </c>
      <c r="C129" s="2" t="s">
        <v>3884</v>
      </c>
      <c r="D129" s="2" t="s">
        <v>3885</v>
      </c>
      <c r="E129" s="4"/>
      <c r="F129" s="8"/>
      <c r="G129" s="4"/>
      <c r="H129" s="8"/>
      <c r="I129" s="7"/>
      <c r="J129" s="7"/>
      <c r="K129" s="4"/>
      <c r="L129" s="8"/>
      <c r="M129" s="4"/>
      <c r="N129" s="8"/>
      <c r="O129" s="7"/>
      <c r="P129" s="7"/>
    </row>
    <row r="130">
      <c r="A130" s="2" t="s">
        <v>1001</v>
      </c>
      <c r="B130" s="2" t="s">
        <v>668</v>
      </c>
      <c r="C130" s="2" t="s">
        <v>4736</v>
      </c>
      <c r="D130" s="2" t="s">
        <v>4737</v>
      </c>
      <c r="E130" s="4"/>
      <c r="F130" s="8"/>
      <c r="G130" s="4"/>
      <c r="H130" s="8"/>
      <c r="I130" s="7"/>
      <c r="J130" s="7"/>
      <c r="K130" s="4"/>
      <c r="L130" s="8"/>
      <c r="M130" s="4"/>
      <c r="N130" s="8"/>
      <c r="O130" s="7"/>
      <c r="P130" s="7"/>
    </row>
    <row r="131">
      <c r="A131" s="2" t="s">
        <v>1001</v>
      </c>
      <c r="B131" s="2" t="s">
        <v>668</v>
      </c>
      <c r="C131" s="2" t="s">
        <v>1002</v>
      </c>
      <c r="D131" s="2" t="s">
        <v>1003</v>
      </c>
      <c r="E131" s="4"/>
      <c r="F131" s="8"/>
      <c r="G131" s="4"/>
      <c r="H131" s="8"/>
      <c r="I131" s="7"/>
      <c r="J131" s="7"/>
      <c r="K131" s="4"/>
      <c r="L131" s="8"/>
      <c r="M131" s="4"/>
      <c r="N131" s="8"/>
      <c r="O131" s="7"/>
      <c r="P131" s="7"/>
    </row>
    <row r="132">
      <c r="A132" s="2" t="s">
        <v>1001</v>
      </c>
      <c r="B132" s="2" t="s">
        <v>668</v>
      </c>
      <c r="C132" s="2" t="s">
        <v>1952</v>
      </c>
      <c r="D132" s="2" t="s">
        <v>1953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1001</v>
      </c>
      <c r="B133" s="2" t="s">
        <v>668</v>
      </c>
      <c r="C133" s="2" t="s">
        <v>1140</v>
      </c>
      <c r="D133" s="2" t="s">
        <v>1141</v>
      </c>
      <c r="E133" s="4"/>
      <c r="F133" s="8"/>
      <c r="G133" s="4"/>
      <c r="H133" s="8"/>
      <c r="I133" s="7"/>
      <c r="J133" s="7"/>
      <c r="K133" s="4"/>
      <c r="L133" s="8"/>
      <c r="M133" s="4"/>
      <c r="N133" s="8"/>
      <c r="O133" s="7"/>
      <c r="P133" s="7"/>
    </row>
    <row r="134">
      <c r="A134" s="2" t="s">
        <v>1616</v>
      </c>
      <c r="B134" s="2" t="s">
        <v>636</v>
      </c>
      <c r="C134" s="2" t="s">
        <v>1617</v>
      </c>
      <c r="D134" s="2" t="s">
        <v>1618</v>
      </c>
      <c r="E134" s="4"/>
      <c r="F134" s="8"/>
      <c r="G134" s="4"/>
      <c r="H134" s="8"/>
      <c r="I134" s="7"/>
      <c r="J134" s="7"/>
      <c r="K134" s="4"/>
      <c r="L134" s="8"/>
      <c r="M134" s="4"/>
      <c r="N134" s="8"/>
      <c r="O134" s="7"/>
      <c r="P134" s="7"/>
    </row>
    <row r="135">
      <c r="A135" s="2" t="s">
        <v>635</v>
      </c>
      <c r="B135" s="2" t="s">
        <v>636</v>
      </c>
      <c r="C135" s="2" t="s">
        <v>637</v>
      </c>
      <c r="D135" s="2" t="s">
        <v>638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278</v>
      </c>
      <c r="B136" s="2" t="s">
        <v>1962</v>
      </c>
      <c r="C136" s="2" t="s">
        <v>280</v>
      </c>
      <c r="D136" s="2" t="s">
        <v>281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278</v>
      </c>
      <c r="B137" s="2" t="s">
        <v>4256</v>
      </c>
      <c r="C137" s="2" t="s">
        <v>280</v>
      </c>
      <c r="D137" s="2" t="s">
        <v>281</v>
      </c>
      <c r="E137" s="4"/>
      <c r="F137" s="8"/>
      <c r="G137" s="4"/>
      <c r="H137" s="8"/>
      <c r="I137" s="7"/>
      <c r="J137" s="7"/>
      <c r="K137" s="4"/>
      <c r="L137" s="8"/>
      <c r="M137" s="4"/>
      <c r="N137" s="8"/>
      <c r="O137" s="7"/>
      <c r="P137" s="7"/>
    </row>
    <row r="138">
      <c r="A138" s="2" t="s">
        <v>278</v>
      </c>
      <c r="B138" s="2" t="s">
        <v>1299</v>
      </c>
      <c r="C138" s="2" t="s">
        <v>280</v>
      </c>
      <c r="D138" s="2" t="s">
        <v>281</v>
      </c>
      <c r="E138" s="4"/>
      <c r="F138" s="8"/>
      <c r="G138" s="4"/>
      <c r="H138" s="8"/>
      <c r="I138" s="7"/>
      <c r="J138" s="7"/>
      <c r="K138" s="4"/>
      <c r="L138" s="8"/>
      <c r="M138" s="4"/>
      <c r="N138" s="8"/>
      <c r="O138" s="7"/>
      <c r="P138" s="7"/>
    </row>
    <row r="139">
      <c r="A139" s="2" t="s">
        <v>278</v>
      </c>
      <c r="B139" s="2" t="s">
        <v>360</v>
      </c>
      <c r="C139" s="2" t="s">
        <v>1423</v>
      </c>
      <c r="D139" s="2" t="s">
        <v>1424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278</v>
      </c>
      <c r="B140" s="2" t="s">
        <v>360</v>
      </c>
      <c r="C140" s="2" t="s">
        <v>280</v>
      </c>
      <c r="D140" s="2" t="s">
        <v>281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  <row r="141">
      <c r="A141" s="2" t="s">
        <v>278</v>
      </c>
      <c r="B141" s="2" t="s">
        <v>279</v>
      </c>
      <c r="C141" s="2" t="s">
        <v>280</v>
      </c>
      <c r="D141" s="2" t="s">
        <v>281</v>
      </c>
      <c r="E141" s="4"/>
      <c r="F141" s="8"/>
      <c r="G141" s="4"/>
      <c r="H141" s="8"/>
      <c r="I141" s="7"/>
      <c r="J141" s="7"/>
      <c r="K141" s="4"/>
      <c r="L141" s="8"/>
      <c r="M141" s="4"/>
      <c r="N141" s="8"/>
      <c r="O141" s="7"/>
      <c r="P141" s="7"/>
    </row>
    <row r="142">
      <c r="A142" s="2" t="s">
        <v>278</v>
      </c>
      <c r="B142" s="2" t="s">
        <v>619</v>
      </c>
      <c r="C142" s="2" t="s">
        <v>280</v>
      </c>
      <c r="D142" s="2" t="s">
        <v>281</v>
      </c>
      <c r="E142" s="4"/>
      <c r="F142" s="8"/>
      <c r="G142" s="4"/>
      <c r="H142" s="8"/>
      <c r="I142" s="7"/>
      <c r="J142" s="7"/>
      <c r="K142" s="4"/>
      <c r="L142" s="8"/>
      <c r="M142" s="4"/>
      <c r="N142" s="8"/>
      <c r="O142" s="7"/>
      <c r="P142" s="7"/>
    </row>
    <row r="143">
      <c r="A143" s="2" t="s">
        <v>278</v>
      </c>
      <c r="B143" s="2" t="s">
        <v>217</v>
      </c>
      <c r="C143" s="2" t="s">
        <v>280</v>
      </c>
      <c r="D143" s="2" t="s">
        <v>281</v>
      </c>
      <c r="E143" s="4"/>
      <c r="F143" s="8"/>
      <c r="G143" s="4"/>
      <c r="H143" s="8"/>
      <c r="I143" s="7"/>
      <c r="J143" s="7"/>
      <c r="K143" s="4"/>
      <c r="L143" s="8"/>
      <c r="M143" s="4"/>
      <c r="N143" s="8"/>
      <c r="O143" s="7"/>
      <c r="P143" s="7"/>
    </row>
    <row r="144">
      <c r="A144" s="2" t="s">
        <v>278</v>
      </c>
      <c r="B144" s="2" t="s">
        <v>2227</v>
      </c>
      <c r="C144" s="2" t="s">
        <v>280</v>
      </c>
      <c r="D144" s="2" t="s">
        <v>281</v>
      </c>
      <c r="E144" s="4"/>
      <c r="F144" s="8"/>
      <c r="G144" s="4"/>
      <c r="H144" s="8"/>
      <c r="I144" s="7"/>
      <c r="J144" s="7"/>
      <c r="K144" s="4"/>
      <c r="L144" s="8"/>
      <c r="M144" s="4"/>
      <c r="N144" s="8"/>
      <c r="O144" s="7"/>
      <c r="P144" s="7"/>
    </row>
    <row r="145">
      <c r="A145" s="2" t="s">
        <v>278</v>
      </c>
      <c r="B145" s="2" t="s">
        <v>1546</v>
      </c>
      <c r="C145" s="2" t="s">
        <v>280</v>
      </c>
      <c r="D145" s="2" t="s">
        <v>281</v>
      </c>
      <c r="E145" s="4"/>
      <c r="F145" s="8"/>
      <c r="G145" s="4"/>
      <c r="H145" s="8"/>
      <c r="I145" s="7"/>
      <c r="J145" s="7"/>
      <c r="K145" s="4"/>
      <c r="L145" s="8"/>
      <c r="M145" s="4"/>
      <c r="N145" s="8"/>
      <c r="O145" s="7"/>
      <c r="P145" s="7"/>
    </row>
    <row r="146">
      <c r="A146" s="2" t="s">
        <v>278</v>
      </c>
      <c r="B146" s="2" t="s">
        <v>698</v>
      </c>
      <c r="C146" s="2" t="s">
        <v>280</v>
      </c>
      <c r="D146" s="2" t="s">
        <v>281</v>
      </c>
      <c r="E146" s="4"/>
      <c r="F146" s="8"/>
      <c r="G146" s="4"/>
      <c r="H146" s="8"/>
      <c r="I146" s="7"/>
      <c r="J146" s="7"/>
      <c r="K146" s="4"/>
      <c r="L146" s="8"/>
      <c r="M146" s="4"/>
      <c r="N146" s="8"/>
      <c r="O146" s="7"/>
      <c r="P146" s="7"/>
    </row>
    <row r="147">
      <c r="A147" s="2" t="s">
        <v>514</v>
      </c>
      <c r="B147" s="2" t="s">
        <v>1139</v>
      </c>
      <c r="C147" s="2" t="s">
        <v>516</v>
      </c>
      <c r="D147" s="2" t="s">
        <v>517</v>
      </c>
      <c r="E147" s="4"/>
      <c r="F147" s="8"/>
      <c r="G147" s="4"/>
      <c r="H147" s="8"/>
      <c r="I147" s="7"/>
      <c r="J147" s="7"/>
      <c r="K147" s="4"/>
      <c r="L147" s="8"/>
      <c r="M147" s="4"/>
      <c r="N147" s="8"/>
      <c r="O147" s="7"/>
      <c r="P147" s="7"/>
    </row>
    <row r="148">
      <c r="A148" s="2" t="s">
        <v>514</v>
      </c>
      <c r="B148" s="2" t="s">
        <v>1962</v>
      </c>
      <c r="C148" s="2" t="s">
        <v>516</v>
      </c>
      <c r="D148" s="2" t="s">
        <v>517</v>
      </c>
      <c r="E148" s="4"/>
      <c r="F148" s="8"/>
      <c r="G148" s="4"/>
      <c r="H148" s="8"/>
      <c r="I148" s="7"/>
      <c r="J148" s="7"/>
      <c r="K148" s="4"/>
      <c r="L148" s="8"/>
      <c r="M148" s="4"/>
      <c r="N148" s="8"/>
      <c r="O148" s="7"/>
      <c r="P148" s="7"/>
    </row>
    <row r="149">
      <c r="A149" s="2" t="s">
        <v>514</v>
      </c>
      <c r="B149" s="2" t="s">
        <v>2678</v>
      </c>
      <c r="C149" s="2" t="s">
        <v>516</v>
      </c>
      <c r="D149" s="2" t="s">
        <v>517</v>
      </c>
      <c r="E149" s="4"/>
      <c r="F149" s="8"/>
      <c r="G149" s="4"/>
      <c r="H149" s="8"/>
      <c r="I149" s="7"/>
      <c r="J149" s="7"/>
      <c r="K149" s="4"/>
      <c r="L149" s="8"/>
      <c r="M149" s="4"/>
      <c r="N149" s="8"/>
      <c r="O149" s="7"/>
      <c r="P149" s="7"/>
    </row>
    <row r="150">
      <c r="A150" s="2" t="s">
        <v>514</v>
      </c>
      <c r="B150" s="2" t="s">
        <v>360</v>
      </c>
      <c r="C150" s="2" t="s">
        <v>516</v>
      </c>
      <c r="D150" s="2" t="s">
        <v>517</v>
      </c>
      <c r="E150" s="4"/>
      <c r="F150" s="8"/>
      <c r="G150" s="4"/>
      <c r="H150" s="8"/>
      <c r="I150" s="7"/>
      <c r="J150" s="7"/>
      <c r="K150" s="4"/>
      <c r="L150" s="8"/>
      <c r="M150" s="4"/>
      <c r="N150" s="8"/>
      <c r="O150" s="7"/>
      <c r="P150" s="7"/>
    </row>
    <row r="151">
      <c r="A151" s="2" t="s">
        <v>514</v>
      </c>
      <c r="B151" s="2" t="s">
        <v>279</v>
      </c>
      <c r="C151" s="2" t="s">
        <v>516</v>
      </c>
      <c r="D151" s="2" t="s">
        <v>517</v>
      </c>
      <c r="E151" s="4"/>
      <c r="F151" s="8"/>
      <c r="G151" s="4"/>
      <c r="H151" s="8"/>
      <c r="I151" s="7"/>
      <c r="J151" s="7"/>
      <c r="K151" s="4"/>
      <c r="L151" s="8"/>
      <c r="M151" s="4"/>
      <c r="N151" s="8"/>
      <c r="O151" s="7"/>
      <c r="P151" s="7"/>
    </row>
    <row r="152">
      <c r="A152" s="2" t="s">
        <v>514</v>
      </c>
      <c r="B152" s="2" t="s">
        <v>515</v>
      </c>
      <c r="C152" s="2" t="s">
        <v>516</v>
      </c>
      <c r="D152" s="2" t="s">
        <v>517</v>
      </c>
      <c r="E152" s="4"/>
      <c r="F152" s="8"/>
      <c r="G152" s="4"/>
      <c r="H152" s="8"/>
      <c r="I152" s="7"/>
      <c r="J152" s="7"/>
      <c r="K152" s="4"/>
      <c r="L152" s="8"/>
      <c r="M152" s="4"/>
      <c r="N152" s="8"/>
      <c r="O152" s="7"/>
      <c r="P152" s="7"/>
    </row>
    <row r="153">
      <c r="A153" s="2" t="s">
        <v>715</v>
      </c>
      <c r="B153" s="2" t="s">
        <v>1139</v>
      </c>
      <c r="C153" s="2" t="s">
        <v>716</v>
      </c>
      <c r="D153" s="2" t="s">
        <v>971</v>
      </c>
      <c r="E153" s="4"/>
      <c r="F153" s="8"/>
      <c r="G153" s="4"/>
      <c r="H153" s="8"/>
      <c r="I153" s="7"/>
      <c r="J153" s="7"/>
      <c r="K153" s="4"/>
      <c r="L153" s="8"/>
      <c r="M153" s="4"/>
      <c r="N153" s="8"/>
      <c r="O153" s="7"/>
      <c r="P153" s="7"/>
    </row>
    <row r="154">
      <c r="A154" s="2" t="s">
        <v>715</v>
      </c>
      <c r="B154" s="2" t="s">
        <v>1026</v>
      </c>
      <c r="C154" s="2" t="s">
        <v>716</v>
      </c>
      <c r="D154" s="2" t="s">
        <v>717</v>
      </c>
      <c r="E154" s="4"/>
      <c r="F154" s="8"/>
      <c r="G154" s="4"/>
      <c r="H154" s="8"/>
      <c r="I154" s="7"/>
      <c r="J154" s="7"/>
      <c r="K154" s="4"/>
      <c r="L154" s="8"/>
      <c r="M154" s="4"/>
      <c r="N154" s="8"/>
      <c r="O154" s="7"/>
      <c r="P154" s="7"/>
    </row>
    <row r="155">
      <c r="A155" s="2" t="s">
        <v>715</v>
      </c>
      <c r="B155" s="2" t="s">
        <v>6039</v>
      </c>
      <c r="C155" s="2" t="s">
        <v>716</v>
      </c>
      <c r="D155" s="2" t="s">
        <v>717</v>
      </c>
      <c r="E155" s="4"/>
      <c r="F155" s="8"/>
      <c r="G155" s="4"/>
      <c r="H155" s="8"/>
      <c r="I155" s="7"/>
      <c r="J155" s="7"/>
      <c r="K155" s="4"/>
      <c r="L155" s="8"/>
      <c r="M155" s="4"/>
      <c r="N155" s="8"/>
      <c r="O155" s="7"/>
      <c r="P155" s="7"/>
    </row>
    <row r="156">
      <c r="A156" s="2" t="s">
        <v>715</v>
      </c>
      <c r="B156" s="2" t="s">
        <v>1299</v>
      </c>
      <c r="C156" s="2" t="s">
        <v>4165</v>
      </c>
      <c r="D156" s="2" t="s">
        <v>4166</v>
      </c>
      <c r="E156" s="4"/>
      <c r="F156" s="8"/>
      <c r="G156" s="4"/>
      <c r="H156" s="8"/>
      <c r="I156" s="7"/>
      <c r="J156" s="7"/>
      <c r="K156" s="4"/>
      <c r="L156" s="8"/>
      <c r="M156" s="4"/>
      <c r="N156" s="8"/>
      <c r="O156" s="7"/>
      <c r="P156" s="7"/>
    </row>
    <row r="157">
      <c r="A157" s="2" t="s">
        <v>715</v>
      </c>
      <c r="B157" s="2" t="s">
        <v>1299</v>
      </c>
      <c r="C157" s="2" t="s">
        <v>716</v>
      </c>
      <c r="D157" s="2" t="s">
        <v>717</v>
      </c>
      <c r="E157" s="4"/>
      <c r="F157" s="8"/>
      <c r="G157" s="4"/>
      <c r="H157" s="8"/>
      <c r="I157" s="7"/>
      <c r="J157" s="7"/>
      <c r="K157" s="4"/>
      <c r="L157" s="8"/>
      <c r="M157" s="4"/>
      <c r="N157" s="8"/>
      <c r="O157" s="7"/>
      <c r="P157" s="7"/>
    </row>
    <row r="158">
      <c r="A158" s="2" t="s">
        <v>715</v>
      </c>
      <c r="B158" s="2" t="s">
        <v>360</v>
      </c>
      <c r="C158" s="2" t="s">
        <v>815</v>
      </c>
      <c r="D158" s="2" t="s">
        <v>816</v>
      </c>
      <c r="E158" s="4"/>
      <c r="F158" s="8"/>
      <c r="G158" s="4"/>
      <c r="H158" s="8"/>
      <c r="I158" s="7"/>
      <c r="J158" s="7"/>
      <c r="K158" s="4"/>
      <c r="L158" s="8"/>
      <c r="M158" s="4"/>
      <c r="N158" s="8"/>
      <c r="O158" s="7"/>
      <c r="P158" s="7"/>
    </row>
    <row r="159">
      <c r="A159" s="2" t="s">
        <v>715</v>
      </c>
      <c r="B159" s="2" t="s">
        <v>360</v>
      </c>
      <c r="C159" s="2" t="s">
        <v>716</v>
      </c>
      <c r="D159" s="2" t="s">
        <v>971</v>
      </c>
      <c r="E159" s="4" t="s">
        <v>227</v>
      </c>
      <c r="F159" s="8" t="s">
        <v>227</v>
      </c>
      <c r="G159" s="4" t="s">
        <v>227</v>
      </c>
      <c r="H159" s="8" t="s">
        <v>227</v>
      </c>
      <c r="I159" s="7" t="s">
        <v>227</v>
      </c>
      <c r="J159" s="7" t="s">
        <v>227</v>
      </c>
      <c r="K159" s="4"/>
      <c r="L159" s="8"/>
      <c r="M159" s="4"/>
      <c r="N159" s="8"/>
      <c r="O159" s="7"/>
      <c r="P159" s="7"/>
    </row>
    <row r="160">
      <c r="A160" s="2" t="s">
        <v>715</v>
      </c>
      <c r="B160" s="2" t="s">
        <v>360</v>
      </c>
      <c r="C160" s="2" t="s">
        <v>716</v>
      </c>
      <c r="D160" s="2" t="s">
        <v>1924</v>
      </c>
      <c r="E160" s="4" t="s">
        <v>227</v>
      </c>
      <c r="F160" s="8" t="s">
        <v>227</v>
      </c>
      <c r="G160" s="4" t="s">
        <v>227</v>
      </c>
      <c r="H160" s="8" t="s">
        <v>227</v>
      </c>
      <c r="I160" s="7" t="s">
        <v>227</v>
      </c>
      <c r="J160" s="7" t="s">
        <v>227</v>
      </c>
      <c r="K160" s="4"/>
      <c r="L160" s="8"/>
      <c r="M160" s="4"/>
      <c r="N160" s="8"/>
      <c r="O160" s="7"/>
      <c r="P160" s="7"/>
    </row>
    <row r="161">
      <c r="A161" s="2" t="s">
        <v>715</v>
      </c>
      <c r="B161" s="2" t="s">
        <v>360</v>
      </c>
      <c r="C161" s="2" t="s">
        <v>716</v>
      </c>
      <c r="D161" s="2" t="s">
        <v>1078</v>
      </c>
      <c r="E161" s="4" t="s">
        <v>227</v>
      </c>
      <c r="F161" s="8" t="s">
        <v>227</v>
      </c>
      <c r="G161" s="4" t="s">
        <v>227</v>
      </c>
      <c r="H161" s="8" t="s">
        <v>227</v>
      </c>
      <c r="I161" s="7" t="s">
        <v>227</v>
      </c>
      <c r="J161" s="7" t="s">
        <v>227</v>
      </c>
      <c r="K161" s="4"/>
      <c r="L161" s="8"/>
      <c r="M161" s="4"/>
      <c r="N161" s="8"/>
      <c r="O161" s="7"/>
      <c r="P161" s="7"/>
    </row>
    <row r="162">
      <c r="A162" s="2" t="s">
        <v>715</v>
      </c>
      <c r="B162" s="2" t="s">
        <v>360</v>
      </c>
      <c r="C162" s="2" t="s">
        <v>716</v>
      </c>
      <c r="D162" s="2" t="s">
        <v>1774</v>
      </c>
      <c r="E162" s="4" t="s">
        <v>227</v>
      </c>
      <c r="F162" s="8" t="s">
        <v>227</v>
      </c>
      <c r="G162" s="4" t="s">
        <v>227</v>
      </c>
      <c r="H162" s="8" t="s">
        <v>227</v>
      </c>
      <c r="I162" s="7" t="s">
        <v>227</v>
      </c>
      <c r="J162" s="7" t="s">
        <v>227</v>
      </c>
      <c r="K162" s="4"/>
      <c r="L162" s="8"/>
      <c r="M162" s="4"/>
      <c r="N162" s="8"/>
      <c r="O162" s="7"/>
      <c r="P162" s="7"/>
    </row>
    <row r="163">
      <c r="A163" s="2" t="s">
        <v>715</v>
      </c>
      <c r="B163" s="2" t="s">
        <v>360</v>
      </c>
      <c r="C163" s="2" t="s">
        <v>716</v>
      </c>
      <c r="D163" s="2" t="s">
        <v>717</v>
      </c>
      <c r="E163" s="4" t="s">
        <v>227</v>
      </c>
      <c r="F163" s="8" t="s">
        <v>227</v>
      </c>
      <c r="G163" s="4" t="s">
        <v>227</v>
      </c>
      <c r="H163" s="8" t="s">
        <v>227</v>
      </c>
      <c r="I163" s="7" t="s">
        <v>227</v>
      </c>
      <c r="J163" s="7" t="s">
        <v>227</v>
      </c>
      <c r="K163" s="4"/>
      <c r="L163" s="8"/>
      <c r="M163" s="4"/>
      <c r="N163" s="8"/>
      <c r="O163" s="7"/>
      <c r="P163" s="7"/>
    </row>
    <row r="164">
      <c r="A164" s="2" t="s">
        <v>715</v>
      </c>
      <c r="B164" s="2" t="s">
        <v>360</v>
      </c>
      <c r="C164" s="2" t="s">
        <v>716</v>
      </c>
      <c r="D164" s="2" t="s">
        <v>3401</v>
      </c>
      <c r="E164" s="4" t="s">
        <v>227</v>
      </c>
      <c r="F164" s="8" t="s">
        <v>227</v>
      </c>
      <c r="G164" s="4" t="s">
        <v>227</v>
      </c>
      <c r="H164" s="8" t="s">
        <v>227</v>
      </c>
      <c r="I164" s="7" t="s">
        <v>227</v>
      </c>
      <c r="J164" s="7" t="s">
        <v>227</v>
      </c>
      <c r="K164" s="4"/>
      <c r="L164" s="8"/>
      <c r="M164" s="4"/>
      <c r="N164" s="8"/>
      <c r="O164" s="7"/>
      <c r="P164" s="7"/>
    </row>
    <row r="165">
      <c r="A165" s="2" t="s">
        <v>715</v>
      </c>
      <c r="B165" s="2" t="s">
        <v>1210</v>
      </c>
      <c r="C165" s="2" t="s">
        <v>716</v>
      </c>
      <c r="D165" s="2" t="s">
        <v>717</v>
      </c>
      <c r="E165" s="4"/>
      <c r="F165" s="8"/>
      <c r="G165" s="4"/>
      <c r="H165" s="8"/>
      <c r="I165" s="7"/>
      <c r="J165" s="7"/>
      <c r="K165" s="4"/>
      <c r="L165" s="8"/>
      <c r="M165" s="4"/>
      <c r="N165" s="8"/>
      <c r="O165" s="7"/>
      <c r="P165" s="7"/>
    </row>
    <row r="166">
      <c r="A166" s="2" t="s">
        <v>618</v>
      </c>
      <c r="B166" s="2" t="s">
        <v>1299</v>
      </c>
      <c r="C166" s="2" t="s">
        <v>687</v>
      </c>
      <c r="D166" s="2" t="s">
        <v>990</v>
      </c>
      <c r="E166" s="4" t="s">
        <v>227</v>
      </c>
      <c r="F166" s="8" t="s">
        <v>227</v>
      </c>
      <c r="G166" s="4" t="s">
        <v>227</v>
      </c>
      <c r="H166" s="8" t="s">
        <v>227</v>
      </c>
      <c r="I166" s="7" t="s">
        <v>227</v>
      </c>
      <c r="J166" s="7" t="s">
        <v>227</v>
      </c>
      <c r="K166" s="4"/>
      <c r="L166" s="8"/>
      <c r="M166" s="4"/>
      <c r="N166" s="8"/>
      <c r="O166" s="7"/>
      <c r="P166" s="7"/>
    </row>
    <row r="167">
      <c r="A167" s="2" t="s">
        <v>618</v>
      </c>
      <c r="B167" s="2" t="s">
        <v>1299</v>
      </c>
      <c r="C167" s="2" t="s">
        <v>687</v>
      </c>
      <c r="D167" s="2" t="s">
        <v>699</v>
      </c>
      <c r="E167" s="4" t="s">
        <v>227</v>
      </c>
      <c r="F167" s="8" t="s">
        <v>227</v>
      </c>
      <c r="G167" s="4" t="s">
        <v>227</v>
      </c>
      <c r="H167" s="8" t="s">
        <v>227</v>
      </c>
      <c r="I167" s="7" t="s">
        <v>227</v>
      </c>
      <c r="J167" s="7" t="s">
        <v>227</v>
      </c>
      <c r="K167" s="4"/>
      <c r="L167" s="8"/>
      <c r="M167" s="4"/>
      <c r="N167" s="8"/>
      <c r="O167" s="7"/>
      <c r="P167" s="7"/>
    </row>
    <row r="168">
      <c r="A168" s="2" t="s">
        <v>618</v>
      </c>
      <c r="B168" s="2" t="s">
        <v>1299</v>
      </c>
      <c r="C168" s="2" t="s">
        <v>687</v>
      </c>
      <c r="D168" s="2" t="s">
        <v>688</v>
      </c>
      <c r="E168" s="4" t="s">
        <v>227</v>
      </c>
      <c r="F168" s="8" t="s">
        <v>227</v>
      </c>
      <c r="G168" s="4" t="s">
        <v>227</v>
      </c>
      <c r="H168" s="8" t="s">
        <v>227</v>
      </c>
      <c r="I168" s="7" t="s">
        <v>227</v>
      </c>
      <c r="J168" s="7" t="s">
        <v>227</v>
      </c>
      <c r="K168" s="4"/>
      <c r="L168" s="8"/>
      <c r="M168" s="4"/>
      <c r="N168" s="8"/>
      <c r="O168" s="7"/>
      <c r="P168" s="7"/>
    </row>
    <row r="169">
      <c r="A169" s="2" t="s">
        <v>618</v>
      </c>
      <c r="B169" s="2" t="s">
        <v>1299</v>
      </c>
      <c r="C169" s="2" t="s">
        <v>620</v>
      </c>
      <c r="D169" s="2" t="s">
        <v>669</v>
      </c>
      <c r="E169" s="4" t="s">
        <v>227</v>
      </c>
      <c r="F169" s="8" t="s">
        <v>227</v>
      </c>
      <c r="G169" s="4" t="s">
        <v>227</v>
      </c>
      <c r="H169" s="8" t="s">
        <v>227</v>
      </c>
      <c r="I169" s="7" t="s">
        <v>227</v>
      </c>
      <c r="J169" s="7" t="s">
        <v>227</v>
      </c>
      <c r="K169" s="4"/>
      <c r="L169" s="8"/>
      <c r="M169" s="4"/>
      <c r="N169" s="8"/>
      <c r="O169" s="7"/>
      <c r="P169" s="7"/>
    </row>
    <row r="170">
      <c r="A170" s="2" t="s">
        <v>618</v>
      </c>
      <c r="B170" s="2" t="s">
        <v>1299</v>
      </c>
      <c r="C170" s="2" t="s">
        <v>620</v>
      </c>
      <c r="D170" s="2" t="s">
        <v>621</v>
      </c>
      <c r="E170" s="4" t="s">
        <v>227</v>
      </c>
      <c r="F170" s="8" t="s">
        <v>227</v>
      </c>
      <c r="G170" s="4" t="s">
        <v>227</v>
      </c>
      <c r="H170" s="8" t="s">
        <v>227</v>
      </c>
      <c r="I170" s="7" t="s">
        <v>227</v>
      </c>
      <c r="J170" s="7" t="s">
        <v>227</v>
      </c>
      <c r="K170" s="4"/>
      <c r="L170" s="8"/>
      <c r="M170" s="4"/>
      <c r="N170" s="8"/>
      <c r="O170" s="7"/>
      <c r="P170" s="7"/>
    </row>
    <row r="171">
      <c r="A171" s="2" t="s">
        <v>618</v>
      </c>
      <c r="B171" s="2" t="s">
        <v>619</v>
      </c>
      <c r="C171" s="2" t="s">
        <v>687</v>
      </c>
      <c r="D171" s="2" t="s">
        <v>699</v>
      </c>
      <c r="E171" s="4"/>
      <c r="F171" s="8"/>
      <c r="G171" s="4"/>
      <c r="H171" s="8"/>
      <c r="I171" s="7"/>
      <c r="J171" s="7"/>
      <c r="K171" s="4"/>
      <c r="L171" s="8"/>
      <c r="M171" s="4"/>
      <c r="N171" s="8"/>
      <c r="O171" s="7"/>
      <c r="P171" s="7"/>
    </row>
    <row r="172">
      <c r="A172" s="2" t="s">
        <v>618</v>
      </c>
      <c r="B172" s="2" t="s">
        <v>619</v>
      </c>
      <c r="C172" s="2" t="s">
        <v>620</v>
      </c>
      <c r="D172" s="2" t="s">
        <v>669</v>
      </c>
      <c r="E172" s="4" t="s">
        <v>227</v>
      </c>
      <c r="F172" s="8" t="s">
        <v>227</v>
      </c>
      <c r="G172" s="4" t="s">
        <v>227</v>
      </c>
      <c r="H172" s="8" t="s">
        <v>227</v>
      </c>
      <c r="I172" s="7" t="s">
        <v>227</v>
      </c>
      <c r="J172" s="7" t="s">
        <v>227</v>
      </c>
      <c r="K172" s="4"/>
      <c r="L172" s="8"/>
      <c r="M172" s="4"/>
      <c r="N172" s="8"/>
      <c r="O172" s="7"/>
      <c r="P172" s="7"/>
    </row>
    <row r="173">
      <c r="A173" s="2" t="s">
        <v>618</v>
      </c>
      <c r="B173" s="2" t="s">
        <v>619</v>
      </c>
      <c r="C173" s="2" t="s">
        <v>620</v>
      </c>
      <c r="D173" s="2" t="s">
        <v>621</v>
      </c>
      <c r="E173" s="4" t="s">
        <v>227</v>
      </c>
      <c r="F173" s="8" t="s">
        <v>227</v>
      </c>
      <c r="G173" s="4" t="s">
        <v>227</v>
      </c>
      <c r="H173" s="8" t="s">
        <v>227</v>
      </c>
      <c r="I173" s="7" t="s">
        <v>227</v>
      </c>
      <c r="J173" s="7" t="s">
        <v>227</v>
      </c>
      <c r="K173" s="4"/>
      <c r="L173" s="8"/>
      <c r="M173" s="4"/>
      <c r="N173" s="8"/>
      <c r="O173" s="7"/>
      <c r="P173" s="7"/>
    </row>
    <row r="174">
      <c r="A174" s="2" t="s">
        <v>618</v>
      </c>
      <c r="B174" s="2" t="s">
        <v>1546</v>
      </c>
      <c r="C174" s="2" t="s">
        <v>687</v>
      </c>
      <c r="D174" s="2" t="s">
        <v>699</v>
      </c>
      <c r="E174" s="4" t="s">
        <v>227</v>
      </c>
      <c r="F174" s="8" t="s">
        <v>227</v>
      </c>
      <c r="G174" s="4" t="s">
        <v>227</v>
      </c>
      <c r="H174" s="8" t="s">
        <v>227</v>
      </c>
      <c r="I174" s="7" t="s">
        <v>227</v>
      </c>
      <c r="J174" s="7" t="s">
        <v>227</v>
      </c>
      <c r="K174" s="4"/>
      <c r="L174" s="8"/>
      <c r="M174" s="4"/>
      <c r="N174" s="8"/>
      <c r="O174" s="7"/>
      <c r="P174" s="7"/>
    </row>
    <row r="175">
      <c r="A175" s="2" t="s">
        <v>618</v>
      </c>
      <c r="B175" s="2" t="s">
        <v>1546</v>
      </c>
      <c r="C175" s="2" t="s">
        <v>687</v>
      </c>
      <c r="D175" s="2" t="s">
        <v>688</v>
      </c>
      <c r="E175" s="4" t="s">
        <v>227</v>
      </c>
      <c r="F175" s="8" t="s">
        <v>227</v>
      </c>
      <c r="G175" s="4" t="s">
        <v>227</v>
      </c>
      <c r="H175" s="8" t="s">
        <v>227</v>
      </c>
      <c r="I175" s="7" t="s">
        <v>227</v>
      </c>
      <c r="J175" s="7" t="s">
        <v>227</v>
      </c>
      <c r="K175" s="4"/>
      <c r="L175" s="8"/>
      <c r="M175" s="4"/>
      <c r="N175" s="8"/>
      <c r="O175" s="7"/>
      <c r="P175" s="7"/>
    </row>
    <row r="176">
      <c r="A176" s="2" t="s">
        <v>618</v>
      </c>
      <c r="B176" s="2" t="s">
        <v>1546</v>
      </c>
      <c r="C176" s="2" t="s">
        <v>1652</v>
      </c>
      <c r="D176" s="2" t="s">
        <v>3952</v>
      </c>
      <c r="E176" s="4"/>
      <c r="F176" s="8"/>
      <c r="G176" s="4"/>
      <c r="H176" s="8"/>
      <c r="I176" s="7"/>
      <c r="J176" s="7"/>
      <c r="K176" s="4"/>
      <c r="L176" s="8"/>
      <c r="M176" s="4"/>
      <c r="N176" s="8"/>
      <c r="O176" s="7"/>
      <c r="P176" s="7"/>
    </row>
    <row r="177">
      <c r="A177" s="2" t="s">
        <v>618</v>
      </c>
      <c r="B177" s="2" t="s">
        <v>1546</v>
      </c>
      <c r="C177" s="2" t="s">
        <v>620</v>
      </c>
      <c r="D177" s="2" t="s">
        <v>669</v>
      </c>
      <c r="E177" s="4" t="s">
        <v>227</v>
      </c>
      <c r="F177" s="8" t="s">
        <v>227</v>
      </c>
      <c r="G177" s="4" t="s">
        <v>227</v>
      </c>
      <c r="H177" s="8" t="s">
        <v>227</v>
      </c>
      <c r="I177" s="7" t="s">
        <v>227</v>
      </c>
      <c r="J177" s="7" t="s">
        <v>227</v>
      </c>
      <c r="K177" s="4"/>
      <c r="L177" s="8"/>
      <c r="M177" s="4"/>
      <c r="N177" s="8"/>
      <c r="O177" s="7"/>
      <c r="P177" s="7"/>
    </row>
    <row r="178">
      <c r="A178" s="2" t="s">
        <v>618</v>
      </c>
      <c r="B178" s="2" t="s">
        <v>1546</v>
      </c>
      <c r="C178" s="2" t="s">
        <v>620</v>
      </c>
      <c r="D178" s="2" t="s">
        <v>621</v>
      </c>
      <c r="E178" s="4" t="s">
        <v>227</v>
      </c>
      <c r="F178" s="8" t="s">
        <v>227</v>
      </c>
      <c r="G178" s="4" t="s">
        <v>227</v>
      </c>
      <c r="H178" s="8" t="s">
        <v>227</v>
      </c>
      <c r="I178" s="7" t="s">
        <v>227</v>
      </c>
      <c r="J178" s="7" t="s">
        <v>227</v>
      </c>
      <c r="K178" s="4"/>
      <c r="L178" s="8"/>
      <c r="M178" s="4"/>
      <c r="N178" s="8"/>
      <c r="O178" s="7"/>
      <c r="P178" s="7"/>
    </row>
    <row r="179">
      <c r="A179" s="2" t="s">
        <v>618</v>
      </c>
      <c r="B179" s="2" t="s">
        <v>4151</v>
      </c>
      <c r="C179" s="2" t="s">
        <v>687</v>
      </c>
      <c r="D179" s="2" t="s">
        <v>699</v>
      </c>
      <c r="E179" s="4"/>
      <c r="F179" s="8"/>
      <c r="G179" s="4"/>
      <c r="H179" s="8"/>
      <c r="I179" s="7"/>
      <c r="J179" s="7"/>
      <c r="K179" s="4"/>
      <c r="L179" s="8"/>
      <c r="M179" s="4"/>
      <c r="N179" s="8"/>
      <c r="O179" s="7"/>
      <c r="P179" s="7"/>
    </row>
    <row r="180">
      <c r="A180" s="2" t="s">
        <v>618</v>
      </c>
      <c r="B180" s="2" t="s">
        <v>4151</v>
      </c>
      <c r="C180" s="2" t="s">
        <v>1652</v>
      </c>
      <c r="D180" s="2" t="s">
        <v>4160</v>
      </c>
      <c r="E180" s="4"/>
      <c r="F180" s="8"/>
      <c r="G180" s="4"/>
      <c r="H180" s="8"/>
      <c r="I180" s="7"/>
      <c r="J180" s="7"/>
      <c r="K180" s="4"/>
      <c r="L180" s="8"/>
      <c r="M180" s="4"/>
      <c r="N180" s="8"/>
      <c r="O180" s="7"/>
      <c r="P18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7:E8"/>
    <mergeCell ref="F7:F8"/>
    <mergeCell ref="G7:G8"/>
    <mergeCell ref="H7:H8"/>
    <mergeCell ref="I7:I8"/>
    <mergeCell ref="J7:J8"/>
    <mergeCell ref="E17:E18"/>
    <mergeCell ref="F17:F18"/>
    <mergeCell ref="G17:G18"/>
    <mergeCell ref="H17:H18"/>
    <mergeCell ref="I17:I18"/>
    <mergeCell ref="J17:J18"/>
    <mergeCell ref="E19:E21"/>
    <mergeCell ref="F19:F21"/>
    <mergeCell ref="G19:G21"/>
    <mergeCell ref="H19:H21"/>
    <mergeCell ref="I19:I21"/>
    <mergeCell ref="J19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1:E42"/>
    <mergeCell ref="F41:F42"/>
    <mergeCell ref="G41:G42"/>
    <mergeCell ref="H41:H42"/>
    <mergeCell ref="I41:I42"/>
    <mergeCell ref="J41:J42"/>
    <mergeCell ref="E43:E44"/>
    <mergeCell ref="F43:F44"/>
    <mergeCell ref="G43:G44"/>
    <mergeCell ref="H43:H44"/>
    <mergeCell ref="I43:I44"/>
    <mergeCell ref="J43:J44"/>
    <mergeCell ref="E45:E46"/>
    <mergeCell ref="F45:F46"/>
    <mergeCell ref="G45:G46"/>
    <mergeCell ref="H45:H46"/>
    <mergeCell ref="I45:I46"/>
    <mergeCell ref="J45:J46"/>
    <mergeCell ref="E47:E48"/>
    <mergeCell ref="F47:F48"/>
    <mergeCell ref="G47:G48"/>
    <mergeCell ref="H47:H48"/>
    <mergeCell ref="I47:I48"/>
    <mergeCell ref="J47:J48"/>
    <mergeCell ref="E49:E50"/>
    <mergeCell ref="F49:F50"/>
    <mergeCell ref="G49:G50"/>
    <mergeCell ref="H49:H50"/>
    <mergeCell ref="I49:I50"/>
    <mergeCell ref="J49:J50"/>
    <mergeCell ref="E71:E72"/>
    <mergeCell ref="F71:F72"/>
    <mergeCell ref="G71:G72"/>
    <mergeCell ref="H71:H72"/>
    <mergeCell ref="I71:I72"/>
    <mergeCell ref="J71:J72"/>
    <mergeCell ref="E80:E81"/>
    <mergeCell ref="F80:F81"/>
    <mergeCell ref="G80:G81"/>
    <mergeCell ref="H80:H81"/>
    <mergeCell ref="I80:I81"/>
    <mergeCell ref="J80:J81"/>
    <mergeCell ref="E84:E85"/>
    <mergeCell ref="F84:F85"/>
    <mergeCell ref="G84:G85"/>
    <mergeCell ref="H84:H85"/>
    <mergeCell ref="I84:I85"/>
    <mergeCell ref="J84:J85"/>
    <mergeCell ref="E86:E87"/>
    <mergeCell ref="F86:F87"/>
    <mergeCell ref="G86:G87"/>
    <mergeCell ref="H86:H87"/>
    <mergeCell ref="I86:I87"/>
    <mergeCell ref="J86:J87"/>
    <mergeCell ref="E88:E89"/>
    <mergeCell ref="F88:F89"/>
    <mergeCell ref="G88:G89"/>
    <mergeCell ref="H88:H89"/>
    <mergeCell ref="I88:I89"/>
    <mergeCell ref="J88:J89"/>
    <mergeCell ref="E90:E91"/>
    <mergeCell ref="F90:F91"/>
    <mergeCell ref="G90:G91"/>
    <mergeCell ref="H90:H91"/>
    <mergeCell ref="I90:I91"/>
    <mergeCell ref="J90:J91"/>
    <mergeCell ref="E98:E99"/>
    <mergeCell ref="F98:F99"/>
    <mergeCell ref="G98:G99"/>
    <mergeCell ref="H98:H99"/>
    <mergeCell ref="I98:I99"/>
    <mergeCell ref="J98:J99"/>
    <mergeCell ref="E106:E107"/>
    <mergeCell ref="F106:F107"/>
    <mergeCell ref="G106:G107"/>
    <mergeCell ref="H106:H107"/>
    <mergeCell ref="I106:I107"/>
    <mergeCell ref="J106:J107"/>
    <mergeCell ref="E114:E116"/>
    <mergeCell ref="F114:F116"/>
    <mergeCell ref="G114:G116"/>
    <mergeCell ref="H114:H116"/>
    <mergeCell ref="I114:I116"/>
    <mergeCell ref="J114:J116"/>
    <mergeCell ref="E159:E164"/>
    <mergeCell ref="F159:F164"/>
    <mergeCell ref="G159:G164"/>
    <mergeCell ref="H159:H164"/>
    <mergeCell ref="I159:I164"/>
    <mergeCell ref="J159:J164"/>
    <mergeCell ref="E166:E168"/>
    <mergeCell ref="F166:F168"/>
    <mergeCell ref="G166:G168"/>
    <mergeCell ref="H166:H168"/>
    <mergeCell ref="I166:I168"/>
    <mergeCell ref="J166:J168"/>
    <mergeCell ref="E169:E170"/>
    <mergeCell ref="F169:F170"/>
    <mergeCell ref="G169:G170"/>
    <mergeCell ref="H169:H170"/>
    <mergeCell ref="I169:I170"/>
    <mergeCell ref="J169:J170"/>
    <mergeCell ref="E172:E173"/>
    <mergeCell ref="F172:F173"/>
    <mergeCell ref="G172:G173"/>
    <mergeCell ref="H172:H173"/>
    <mergeCell ref="I172:I173"/>
    <mergeCell ref="J172:J173"/>
    <mergeCell ref="E174:E175"/>
    <mergeCell ref="F174:F175"/>
    <mergeCell ref="G174:G175"/>
    <mergeCell ref="H174:H175"/>
    <mergeCell ref="I174:I175"/>
    <mergeCell ref="J174:J175"/>
    <mergeCell ref="E177:E178"/>
    <mergeCell ref="F177:F178"/>
    <mergeCell ref="G177:G178"/>
    <mergeCell ref="H177:H178"/>
    <mergeCell ref="I177:I178"/>
    <mergeCell ref="J177:J17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6124</v>
      </c>
      <c r="C2" s="0" t="s">
        <v>6125</v>
      </c>
      <c r="D2" s="0" t="s">
        <v>6126</v>
      </c>
      <c r="E2" s="0" t="s">
        <v>58</v>
      </c>
    </row>
    <row r="3">
      <c r="A3" s="1" t="s">
        <v>58</v>
      </c>
      <c r="B3" s="1" t="s">
        <v>60</v>
      </c>
      <c r="C3" s="1" t="s">
        <v>61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58</v>
      </c>
      <c r="B4" s="1" t="s">
        <v>60</v>
      </c>
      <c r="C4" s="1" t="s">
        <v>61</v>
      </c>
      <c r="D4" s="1" t="s">
        <v>35</v>
      </c>
      <c r="E4" s="1" t="s">
        <v>35</v>
      </c>
      <c r="F4" s="1" t="s">
        <v>36</v>
      </c>
      <c r="G4" s="1" t="s">
        <v>36</v>
      </c>
      <c r="H4" s="1" t="s">
        <v>6127</v>
      </c>
      <c r="I4" s="1" t="s">
        <v>6128</v>
      </c>
      <c r="J4" s="1" t="s">
        <v>35</v>
      </c>
      <c r="K4" s="1" t="s">
        <v>35</v>
      </c>
      <c r="L4" s="1" t="s">
        <v>36</v>
      </c>
      <c r="M4" s="1" t="s">
        <v>36</v>
      </c>
      <c r="N4" s="1" t="s">
        <v>6129</v>
      </c>
      <c r="O4" s="1" t="s">
        <v>6130</v>
      </c>
    </row>
    <row r="5">
      <c r="A5" s="1" t="s">
        <v>58</v>
      </c>
      <c r="B5" s="1" t="s">
        <v>60</v>
      </c>
      <c r="C5" s="1" t="s">
        <v>61</v>
      </c>
      <c r="D5" s="1" t="s">
        <v>6131</v>
      </c>
      <c r="E5" s="1" t="s">
        <v>6132</v>
      </c>
      <c r="F5" s="1" t="s">
        <v>6131</v>
      </c>
      <c r="G5" s="1" t="s">
        <v>6132</v>
      </c>
      <c r="H5" s="1" t="s">
        <v>6127</v>
      </c>
      <c r="I5" s="1" t="s">
        <v>6128</v>
      </c>
      <c r="J5" s="1" t="s">
        <v>6133</v>
      </c>
      <c r="K5" s="1" t="s">
        <v>6134</v>
      </c>
      <c r="L5" s="1" t="s">
        <v>6133</v>
      </c>
      <c r="M5" s="1" t="s">
        <v>6134</v>
      </c>
      <c r="N5" s="1" t="s">
        <v>6129</v>
      </c>
      <c r="O5" s="1" t="s">
        <v>6130</v>
      </c>
    </row>
    <row r="6">
      <c r="A6" s="2" t="s">
        <v>667</v>
      </c>
      <c r="B6" s="2" t="s">
        <v>1796</v>
      </c>
      <c r="C6" s="2" t="s">
        <v>1797</v>
      </c>
      <c r="D6" s="4"/>
      <c r="E6" s="8"/>
      <c r="F6" s="4"/>
      <c r="G6" s="8"/>
      <c r="H6" s="7"/>
      <c r="I6" s="7"/>
      <c r="J6" s="4"/>
      <c r="K6" s="8"/>
      <c r="L6" s="4"/>
      <c r="M6" s="8"/>
      <c r="N6" s="7"/>
      <c r="O6" s="7"/>
    </row>
    <row r="7">
      <c r="A7" s="2" t="s">
        <v>667</v>
      </c>
      <c r="B7" s="2" t="s">
        <v>687</v>
      </c>
      <c r="C7" s="2" t="s">
        <v>990</v>
      </c>
      <c r="D7" s="4" t="s">
        <v>227</v>
      </c>
      <c r="E7" s="8" t="s">
        <v>227</v>
      </c>
      <c r="F7" s="4" t="s">
        <v>227</v>
      </c>
      <c r="G7" s="8" t="s">
        <v>227</v>
      </c>
      <c r="H7" s="7" t="s">
        <v>227</v>
      </c>
      <c r="I7" s="7" t="s">
        <v>227</v>
      </c>
      <c r="J7" s="4"/>
      <c r="K7" s="8"/>
      <c r="L7" s="4"/>
      <c r="M7" s="8"/>
      <c r="N7" s="7"/>
      <c r="O7" s="7"/>
    </row>
    <row r="8">
      <c r="A8" s="2" t="s">
        <v>667</v>
      </c>
      <c r="B8" s="2" t="s">
        <v>687</v>
      </c>
      <c r="C8" s="2" t="s">
        <v>699</v>
      </c>
      <c r="D8" s="4" t="s">
        <v>227</v>
      </c>
      <c r="E8" s="8" t="s">
        <v>227</v>
      </c>
      <c r="F8" s="4" t="s">
        <v>227</v>
      </c>
      <c r="G8" s="8" t="s">
        <v>227</v>
      </c>
      <c r="H8" s="7" t="s">
        <v>227</v>
      </c>
      <c r="I8" s="7" t="s">
        <v>227</v>
      </c>
      <c r="J8" s="4"/>
      <c r="K8" s="8"/>
      <c r="L8" s="4"/>
      <c r="M8" s="8"/>
      <c r="N8" s="7"/>
      <c r="O8" s="7"/>
    </row>
    <row r="9">
      <c r="A9" s="2" t="s">
        <v>667</v>
      </c>
      <c r="B9" s="2" t="s">
        <v>687</v>
      </c>
      <c r="C9" s="2" t="s">
        <v>688</v>
      </c>
      <c r="D9" s="4" t="s">
        <v>227</v>
      </c>
      <c r="E9" s="8" t="s">
        <v>227</v>
      </c>
      <c r="F9" s="4" t="s">
        <v>227</v>
      </c>
      <c r="G9" s="8" t="s">
        <v>227</v>
      </c>
      <c r="H9" s="7" t="s">
        <v>227</v>
      </c>
      <c r="I9" s="7" t="s">
        <v>227</v>
      </c>
      <c r="J9" s="4"/>
      <c r="K9" s="8"/>
      <c r="L9" s="4"/>
      <c r="M9" s="8"/>
      <c r="N9" s="7"/>
      <c r="O9" s="7"/>
    </row>
    <row r="10">
      <c r="A10" s="2" t="s">
        <v>667</v>
      </c>
      <c r="B10" s="2" t="s">
        <v>1652</v>
      </c>
      <c r="C10" s="2" t="s">
        <v>4950</v>
      </c>
      <c r="D10" s="4" t="s">
        <v>227</v>
      </c>
      <c r="E10" s="8" t="s">
        <v>227</v>
      </c>
      <c r="F10" s="4" t="s">
        <v>227</v>
      </c>
      <c r="G10" s="8" t="s">
        <v>227</v>
      </c>
      <c r="H10" s="7" t="s">
        <v>227</v>
      </c>
      <c r="I10" s="7" t="s">
        <v>227</v>
      </c>
      <c r="J10" s="4"/>
      <c r="K10" s="8"/>
      <c r="L10" s="4"/>
      <c r="M10" s="8"/>
      <c r="N10" s="7"/>
      <c r="O10" s="7"/>
    </row>
    <row r="11">
      <c r="A11" s="2" t="s">
        <v>667</v>
      </c>
      <c r="B11" s="2" t="s">
        <v>1652</v>
      </c>
      <c r="C11" s="2" t="s">
        <v>1653</v>
      </c>
      <c r="D11" s="4" t="s">
        <v>227</v>
      </c>
      <c r="E11" s="8" t="s">
        <v>227</v>
      </c>
      <c r="F11" s="4" t="s">
        <v>227</v>
      </c>
      <c r="G11" s="8" t="s">
        <v>227</v>
      </c>
      <c r="H11" s="7" t="s">
        <v>227</v>
      </c>
      <c r="I11" s="7" t="s">
        <v>227</v>
      </c>
      <c r="J11" s="4"/>
      <c r="K11" s="8"/>
      <c r="L11" s="4"/>
      <c r="M11" s="8"/>
      <c r="N11" s="7"/>
      <c r="O11" s="7"/>
    </row>
    <row r="12">
      <c r="A12" s="2" t="s">
        <v>667</v>
      </c>
      <c r="B12" s="2" t="s">
        <v>1652</v>
      </c>
      <c r="C12" s="2" t="s">
        <v>3952</v>
      </c>
      <c r="D12" s="4" t="s">
        <v>227</v>
      </c>
      <c r="E12" s="8" t="s">
        <v>227</v>
      </c>
      <c r="F12" s="4" t="s">
        <v>227</v>
      </c>
      <c r="G12" s="8" t="s">
        <v>227</v>
      </c>
      <c r="H12" s="7" t="s">
        <v>227</v>
      </c>
      <c r="I12" s="7" t="s">
        <v>227</v>
      </c>
      <c r="J12" s="4"/>
      <c r="K12" s="8"/>
      <c r="L12" s="4"/>
      <c r="M12" s="8"/>
      <c r="N12" s="7"/>
      <c r="O12" s="7"/>
    </row>
    <row r="13">
      <c r="A13" s="2" t="s">
        <v>667</v>
      </c>
      <c r="B13" s="2" t="s">
        <v>620</v>
      </c>
      <c r="C13" s="2" t="s">
        <v>669</v>
      </c>
      <c r="D13" s="4" t="s">
        <v>227</v>
      </c>
      <c r="E13" s="8" t="s">
        <v>227</v>
      </c>
      <c r="F13" s="4" t="s">
        <v>227</v>
      </c>
      <c r="G13" s="8" t="s">
        <v>227</v>
      </c>
      <c r="H13" s="7" t="s">
        <v>227</v>
      </c>
      <c r="I13" s="7" t="s">
        <v>227</v>
      </c>
      <c r="J13" s="4"/>
      <c r="K13" s="8"/>
      <c r="L13" s="4"/>
      <c r="M13" s="8"/>
      <c r="N13" s="7"/>
      <c r="O13" s="7"/>
    </row>
    <row r="14">
      <c r="A14" s="2" t="s">
        <v>667</v>
      </c>
      <c r="B14" s="2" t="s">
        <v>620</v>
      </c>
      <c r="C14" s="2" t="s">
        <v>621</v>
      </c>
      <c r="D14" s="4" t="s">
        <v>227</v>
      </c>
      <c r="E14" s="8" t="s">
        <v>227</v>
      </c>
      <c r="F14" s="4" t="s">
        <v>227</v>
      </c>
      <c r="G14" s="8" t="s">
        <v>227</v>
      </c>
      <c r="H14" s="7" t="s">
        <v>227</v>
      </c>
      <c r="I14" s="7" t="s">
        <v>227</v>
      </c>
      <c r="J14" s="4"/>
      <c r="K14" s="8"/>
      <c r="L14" s="4"/>
      <c r="M14" s="8"/>
      <c r="N14" s="7"/>
      <c r="O14" s="7"/>
    </row>
    <row r="15">
      <c r="A15" s="2" t="s">
        <v>667</v>
      </c>
      <c r="B15" s="2" t="s">
        <v>1027</v>
      </c>
      <c r="C15" s="2" t="s">
        <v>1028</v>
      </c>
      <c r="D15" s="4" t="s">
        <v>227</v>
      </c>
      <c r="E15" s="8" t="s">
        <v>227</v>
      </c>
      <c r="F15" s="4" t="s">
        <v>227</v>
      </c>
      <c r="G15" s="8" t="s">
        <v>227</v>
      </c>
      <c r="H15" s="7" t="s">
        <v>227</v>
      </c>
      <c r="I15" s="7" t="s">
        <v>227</v>
      </c>
      <c r="J15" s="4"/>
      <c r="K15" s="8"/>
      <c r="L15" s="4"/>
      <c r="M15" s="8"/>
      <c r="N15" s="7"/>
      <c r="O15" s="7"/>
    </row>
    <row r="16">
      <c r="A16" s="2" t="s">
        <v>667</v>
      </c>
      <c r="B16" s="2" t="s">
        <v>1027</v>
      </c>
      <c r="C16" s="2" t="s">
        <v>2748</v>
      </c>
      <c r="D16" s="4" t="s">
        <v>227</v>
      </c>
      <c r="E16" s="8" t="s">
        <v>227</v>
      </c>
      <c r="F16" s="4" t="s">
        <v>227</v>
      </c>
      <c r="G16" s="8" t="s">
        <v>227</v>
      </c>
      <c r="H16" s="7" t="s">
        <v>227</v>
      </c>
      <c r="I16" s="7" t="s">
        <v>227</v>
      </c>
      <c r="J16" s="4"/>
      <c r="K16" s="8"/>
      <c r="L16" s="4"/>
      <c r="M16" s="8"/>
      <c r="N16" s="7"/>
      <c r="O16" s="7"/>
    </row>
    <row r="17">
      <c r="A17" s="2" t="s">
        <v>667</v>
      </c>
      <c r="B17" s="2" t="s">
        <v>868</v>
      </c>
      <c r="C17" s="2" t="s">
        <v>869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  <row r="18">
      <c r="A18" s="2" t="s">
        <v>3640</v>
      </c>
      <c r="B18" s="2" t="s">
        <v>3641</v>
      </c>
      <c r="C18" s="2" t="s">
        <v>3642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542</v>
      </c>
      <c r="B19" s="2" t="s">
        <v>1039</v>
      </c>
      <c r="C19" s="2" t="s">
        <v>5847</v>
      </c>
      <c r="D19" s="4" t="s">
        <v>227</v>
      </c>
      <c r="E19" s="8" t="s">
        <v>227</v>
      </c>
      <c r="F19" s="4" t="s">
        <v>227</v>
      </c>
      <c r="G19" s="8" t="s">
        <v>227</v>
      </c>
      <c r="H19" s="7" t="s">
        <v>227</v>
      </c>
      <c r="I19" s="7" t="s">
        <v>227</v>
      </c>
      <c r="J19" s="4"/>
      <c r="K19" s="8"/>
      <c r="L19" s="4"/>
      <c r="M19" s="8"/>
      <c r="N19" s="7"/>
      <c r="O19" s="7"/>
    </row>
    <row r="20">
      <c r="A20" s="2" t="s">
        <v>542</v>
      </c>
      <c r="B20" s="2" t="s">
        <v>1039</v>
      </c>
      <c r="C20" s="2" t="s">
        <v>4061</v>
      </c>
      <c r="D20" s="4" t="s">
        <v>227</v>
      </c>
      <c r="E20" s="8" t="s">
        <v>227</v>
      </c>
      <c r="F20" s="4" t="s">
        <v>227</v>
      </c>
      <c r="G20" s="8" t="s">
        <v>227</v>
      </c>
      <c r="H20" s="7" t="s">
        <v>227</v>
      </c>
      <c r="I20" s="7" t="s">
        <v>227</v>
      </c>
      <c r="J20" s="4"/>
      <c r="K20" s="8"/>
      <c r="L20" s="4"/>
      <c r="M20" s="8"/>
      <c r="N20" s="7"/>
      <c r="O20" s="7"/>
    </row>
    <row r="21">
      <c r="A21" s="2" t="s">
        <v>542</v>
      </c>
      <c r="B21" s="2" t="s">
        <v>1039</v>
      </c>
      <c r="C21" s="2" t="s">
        <v>545</v>
      </c>
      <c r="D21" s="4" t="s">
        <v>227</v>
      </c>
      <c r="E21" s="8" t="s">
        <v>227</v>
      </c>
      <c r="F21" s="4" t="s">
        <v>227</v>
      </c>
      <c r="G21" s="8" t="s">
        <v>227</v>
      </c>
      <c r="H21" s="7" t="s">
        <v>227</v>
      </c>
      <c r="I21" s="7" t="s">
        <v>227</v>
      </c>
      <c r="J21" s="4"/>
      <c r="K21" s="8"/>
      <c r="L21" s="4"/>
      <c r="M21" s="8"/>
      <c r="N21" s="7"/>
      <c r="O21" s="7"/>
    </row>
    <row r="22">
      <c r="A22" s="2" t="s">
        <v>542</v>
      </c>
      <c r="B22" s="2" t="s">
        <v>1039</v>
      </c>
      <c r="C22" s="2" t="s">
        <v>1377</v>
      </c>
      <c r="D22" s="4" t="s">
        <v>227</v>
      </c>
      <c r="E22" s="8" t="s">
        <v>227</v>
      </c>
      <c r="F22" s="4" t="s">
        <v>227</v>
      </c>
      <c r="G22" s="8" t="s">
        <v>227</v>
      </c>
      <c r="H22" s="7" t="s">
        <v>227</v>
      </c>
      <c r="I22" s="7" t="s">
        <v>227</v>
      </c>
      <c r="J22" s="4"/>
      <c r="K22" s="8"/>
      <c r="L22" s="4"/>
      <c r="M22" s="8"/>
      <c r="N22" s="7"/>
      <c r="O22" s="7"/>
    </row>
    <row r="23">
      <c r="A23" s="2" t="s">
        <v>542</v>
      </c>
      <c r="B23" s="2" t="s">
        <v>1052</v>
      </c>
      <c r="C23" s="2" t="s">
        <v>1053</v>
      </c>
      <c r="D23" s="4" t="s">
        <v>227</v>
      </c>
      <c r="E23" s="8" t="s">
        <v>227</v>
      </c>
      <c r="F23" s="4" t="s">
        <v>227</v>
      </c>
      <c r="G23" s="8" t="s">
        <v>227</v>
      </c>
      <c r="H23" s="7" t="s">
        <v>227</v>
      </c>
      <c r="I23" s="7" t="s">
        <v>227</v>
      </c>
      <c r="J23" s="4"/>
      <c r="K23" s="8"/>
      <c r="L23" s="4"/>
      <c r="M23" s="8"/>
      <c r="N23" s="7"/>
      <c r="O23" s="7"/>
    </row>
    <row r="24">
      <c r="A24" s="2" t="s">
        <v>542</v>
      </c>
      <c r="B24" s="2" t="s">
        <v>1052</v>
      </c>
      <c r="C24" s="2" t="s">
        <v>545</v>
      </c>
      <c r="D24" s="4" t="s">
        <v>227</v>
      </c>
      <c r="E24" s="8" t="s">
        <v>227</v>
      </c>
      <c r="F24" s="4" t="s">
        <v>227</v>
      </c>
      <c r="G24" s="8" t="s">
        <v>227</v>
      </c>
      <c r="H24" s="7" t="s">
        <v>227</v>
      </c>
      <c r="I24" s="7" t="s">
        <v>227</v>
      </c>
      <c r="J24" s="4"/>
      <c r="K24" s="8"/>
      <c r="L24" s="4"/>
      <c r="M24" s="8"/>
      <c r="N24" s="7"/>
      <c r="O24" s="7"/>
    </row>
    <row r="25">
      <c r="A25" s="2" t="s">
        <v>542</v>
      </c>
      <c r="B25" s="2" t="s">
        <v>4378</v>
      </c>
      <c r="C25" s="2" t="s">
        <v>4379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542</v>
      </c>
      <c r="B26" s="2" t="s">
        <v>561</v>
      </c>
      <c r="C26" s="2" t="s">
        <v>562</v>
      </c>
      <c r="D26" s="4" t="s">
        <v>227</v>
      </c>
      <c r="E26" s="8" t="s">
        <v>227</v>
      </c>
      <c r="F26" s="4" t="s">
        <v>227</v>
      </c>
      <c r="G26" s="8" t="s">
        <v>227</v>
      </c>
      <c r="H26" s="7" t="s">
        <v>227</v>
      </c>
      <c r="I26" s="7" t="s">
        <v>227</v>
      </c>
      <c r="J26" s="4"/>
      <c r="K26" s="8"/>
      <c r="L26" s="4"/>
      <c r="M26" s="8"/>
      <c r="N26" s="7"/>
      <c r="O26" s="7"/>
    </row>
    <row r="27">
      <c r="A27" s="2" t="s">
        <v>542</v>
      </c>
      <c r="B27" s="2" t="s">
        <v>561</v>
      </c>
      <c r="C27" s="2" t="s">
        <v>2785</v>
      </c>
      <c r="D27" s="4" t="s">
        <v>227</v>
      </c>
      <c r="E27" s="8" t="s">
        <v>227</v>
      </c>
      <c r="F27" s="4" t="s">
        <v>227</v>
      </c>
      <c r="G27" s="8" t="s">
        <v>227</v>
      </c>
      <c r="H27" s="7" t="s">
        <v>227</v>
      </c>
      <c r="I27" s="7" t="s">
        <v>227</v>
      </c>
      <c r="J27" s="4"/>
      <c r="K27" s="8"/>
      <c r="L27" s="4"/>
      <c r="M27" s="8"/>
      <c r="N27" s="7"/>
      <c r="O27" s="7"/>
    </row>
    <row r="28">
      <c r="A28" s="2" t="s">
        <v>542</v>
      </c>
      <c r="B28" s="2" t="s">
        <v>544</v>
      </c>
      <c r="C28" s="2" t="s">
        <v>545</v>
      </c>
      <c r="D28" s="4" t="s">
        <v>227</v>
      </c>
      <c r="E28" s="8" t="s">
        <v>227</v>
      </c>
      <c r="F28" s="4" t="s">
        <v>227</v>
      </c>
      <c r="G28" s="8" t="s">
        <v>227</v>
      </c>
      <c r="H28" s="7" t="s">
        <v>227</v>
      </c>
      <c r="I28" s="7" t="s">
        <v>227</v>
      </c>
      <c r="J28" s="4"/>
      <c r="K28" s="8"/>
      <c r="L28" s="4"/>
      <c r="M28" s="8"/>
      <c r="N28" s="7"/>
      <c r="O28" s="7"/>
    </row>
    <row r="29">
      <c r="A29" s="2" t="s">
        <v>542</v>
      </c>
      <c r="B29" s="2" t="s">
        <v>544</v>
      </c>
      <c r="C29" s="2" t="s">
        <v>1377</v>
      </c>
      <c r="D29" s="4" t="s">
        <v>227</v>
      </c>
      <c r="E29" s="8" t="s">
        <v>227</v>
      </c>
      <c r="F29" s="4" t="s">
        <v>227</v>
      </c>
      <c r="G29" s="8" t="s">
        <v>227</v>
      </c>
      <c r="H29" s="7" t="s">
        <v>227</v>
      </c>
      <c r="I29" s="7" t="s">
        <v>227</v>
      </c>
      <c r="J29" s="4"/>
      <c r="K29" s="8"/>
      <c r="L29" s="4"/>
      <c r="M29" s="8"/>
      <c r="N29" s="7"/>
      <c r="O29" s="7"/>
    </row>
    <row r="30">
      <c r="A30" s="2" t="s">
        <v>216</v>
      </c>
      <c r="B30" s="2" t="s">
        <v>1448</v>
      </c>
      <c r="C30" s="2" t="s">
        <v>1836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216</v>
      </c>
      <c r="B31" s="2" t="s">
        <v>687</v>
      </c>
      <c r="C31" s="2" t="s">
        <v>1903</v>
      </c>
      <c r="D31" s="4" t="s">
        <v>227</v>
      </c>
      <c r="E31" s="8" t="s">
        <v>227</v>
      </c>
      <c r="F31" s="4" t="s">
        <v>227</v>
      </c>
      <c r="G31" s="8" t="s">
        <v>227</v>
      </c>
      <c r="H31" s="7" t="s">
        <v>227</v>
      </c>
      <c r="I31" s="7" t="s">
        <v>227</v>
      </c>
      <c r="J31" s="4"/>
      <c r="K31" s="8"/>
      <c r="L31" s="4"/>
      <c r="M31" s="8"/>
      <c r="N31" s="7"/>
      <c r="O31" s="7"/>
    </row>
    <row r="32">
      <c r="A32" s="2" t="s">
        <v>216</v>
      </c>
      <c r="B32" s="2" t="s">
        <v>687</v>
      </c>
      <c r="C32" s="2" t="s">
        <v>3536</v>
      </c>
      <c r="D32" s="4" t="s">
        <v>227</v>
      </c>
      <c r="E32" s="8" t="s">
        <v>227</v>
      </c>
      <c r="F32" s="4" t="s">
        <v>227</v>
      </c>
      <c r="G32" s="8" t="s">
        <v>227</v>
      </c>
      <c r="H32" s="7" t="s">
        <v>227</v>
      </c>
      <c r="I32" s="7" t="s">
        <v>227</v>
      </c>
      <c r="J32" s="4"/>
      <c r="K32" s="8"/>
      <c r="L32" s="4"/>
      <c r="M32" s="8"/>
      <c r="N32" s="7"/>
      <c r="O32" s="7"/>
    </row>
    <row r="33">
      <c r="A33" s="2" t="s">
        <v>216</v>
      </c>
      <c r="B33" s="2" t="s">
        <v>218</v>
      </c>
      <c r="C33" s="2" t="s">
        <v>219</v>
      </c>
      <c r="D33" s="4"/>
      <c r="E33" s="8"/>
      <c r="F33" s="4"/>
      <c r="G33" s="8"/>
      <c r="H33" s="7"/>
      <c r="I33" s="7"/>
      <c r="J33" s="4"/>
      <c r="K33" s="8"/>
      <c r="L33" s="4"/>
      <c r="M33" s="8"/>
      <c r="N33" s="7"/>
      <c r="O33" s="7"/>
    </row>
    <row r="34">
      <c r="A34" s="2" t="s">
        <v>216</v>
      </c>
      <c r="B34" s="2" t="s">
        <v>1027</v>
      </c>
      <c r="C34" s="2" t="s">
        <v>5440</v>
      </c>
      <c r="D34" s="4"/>
      <c r="E34" s="8"/>
      <c r="F34" s="4"/>
      <c r="G34" s="8"/>
      <c r="H34" s="7"/>
      <c r="I34" s="7"/>
      <c r="J34" s="4"/>
      <c r="K34" s="8"/>
      <c r="L34" s="4"/>
      <c r="M34" s="8"/>
      <c r="N34" s="7"/>
      <c r="O34" s="7"/>
    </row>
    <row r="35">
      <c r="A35" s="2" t="s">
        <v>216</v>
      </c>
      <c r="B35" s="2" t="s">
        <v>1423</v>
      </c>
      <c r="C35" s="2" t="s">
        <v>5440</v>
      </c>
      <c r="D35" s="4"/>
      <c r="E35" s="8"/>
      <c r="F35" s="4"/>
      <c r="G35" s="8"/>
      <c r="H35" s="7"/>
      <c r="I35" s="7"/>
      <c r="J35" s="4"/>
      <c r="K35" s="8"/>
      <c r="L35" s="4"/>
      <c r="M35" s="8"/>
      <c r="N35" s="7"/>
      <c r="O35" s="7"/>
    </row>
    <row r="36">
      <c r="A36" s="2" t="s">
        <v>216</v>
      </c>
      <c r="B36" s="2" t="s">
        <v>868</v>
      </c>
      <c r="C36" s="2" t="s">
        <v>1836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744</v>
      </c>
      <c r="B37" s="2" t="s">
        <v>745</v>
      </c>
      <c r="C37" s="2" t="s">
        <v>746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744</v>
      </c>
      <c r="B38" s="2" t="s">
        <v>4110</v>
      </c>
      <c r="C38" s="2" t="s">
        <v>517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744</v>
      </c>
      <c r="B39" s="2" t="s">
        <v>768</v>
      </c>
      <c r="C39" s="2" t="s">
        <v>769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697</v>
      </c>
      <c r="B40" s="2" t="s">
        <v>1448</v>
      </c>
      <c r="C40" s="2" t="s">
        <v>1449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697</v>
      </c>
      <c r="B41" s="2" t="s">
        <v>687</v>
      </c>
      <c r="C41" s="2" t="s">
        <v>699</v>
      </c>
      <c r="D41" s="4" t="s">
        <v>227</v>
      </c>
      <c r="E41" s="8" t="s">
        <v>227</v>
      </c>
      <c r="F41" s="4" t="s">
        <v>227</v>
      </c>
      <c r="G41" s="8" t="s">
        <v>227</v>
      </c>
      <c r="H41" s="7" t="s">
        <v>227</v>
      </c>
      <c r="I41" s="7" t="s">
        <v>227</v>
      </c>
      <c r="J41" s="4"/>
      <c r="K41" s="8"/>
      <c r="L41" s="4"/>
      <c r="M41" s="8"/>
      <c r="N41" s="7"/>
      <c r="O41" s="7"/>
    </row>
    <row r="42">
      <c r="A42" s="2" t="s">
        <v>697</v>
      </c>
      <c r="B42" s="2" t="s">
        <v>687</v>
      </c>
      <c r="C42" s="2" t="s">
        <v>688</v>
      </c>
      <c r="D42" s="4" t="s">
        <v>227</v>
      </c>
      <c r="E42" s="8" t="s">
        <v>227</v>
      </c>
      <c r="F42" s="4" t="s">
        <v>227</v>
      </c>
      <c r="G42" s="8" t="s">
        <v>227</v>
      </c>
      <c r="H42" s="7" t="s">
        <v>227</v>
      </c>
      <c r="I42" s="7" t="s">
        <v>227</v>
      </c>
      <c r="J42" s="4"/>
      <c r="K42" s="8"/>
      <c r="L42" s="4"/>
      <c r="M42" s="8"/>
      <c r="N42" s="7"/>
      <c r="O42" s="7"/>
    </row>
    <row r="43">
      <c r="A43" s="2" t="s">
        <v>697</v>
      </c>
      <c r="B43" s="2" t="s">
        <v>1963</v>
      </c>
      <c r="C43" s="2" t="s">
        <v>1964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697</v>
      </c>
      <c r="B44" s="2" t="s">
        <v>1982</v>
      </c>
      <c r="C44" s="2" t="s">
        <v>1983</v>
      </c>
      <c r="D44" s="4" t="s">
        <v>227</v>
      </c>
      <c r="E44" s="8" t="s">
        <v>227</v>
      </c>
      <c r="F44" s="4" t="s">
        <v>227</v>
      </c>
      <c r="G44" s="8" t="s">
        <v>227</v>
      </c>
      <c r="H44" s="7" t="s">
        <v>227</v>
      </c>
      <c r="I44" s="7" t="s">
        <v>227</v>
      </c>
      <c r="J44" s="4"/>
      <c r="K44" s="8"/>
      <c r="L44" s="4"/>
      <c r="M44" s="8"/>
      <c r="N44" s="7"/>
      <c r="O44" s="7"/>
    </row>
    <row r="45">
      <c r="A45" s="2" t="s">
        <v>697</v>
      </c>
      <c r="B45" s="2" t="s">
        <v>1982</v>
      </c>
      <c r="C45" s="2" t="s">
        <v>3093</v>
      </c>
      <c r="D45" s="4" t="s">
        <v>227</v>
      </c>
      <c r="E45" s="8" t="s">
        <v>227</v>
      </c>
      <c r="F45" s="4" t="s">
        <v>227</v>
      </c>
      <c r="G45" s="8" t="s">
        <v>227</v>
      </c>
      <c r="H45" s="7" t="s">
        <v>227</v>
      </c>
      <c r="I45" s="7" t="s">
        <v>227</v>
      </c>
      <c r="J45" s="4"/>
      <c r="K45" s="8"/>
      <c r="L45" s="4"/>
      <c r="M45" s="8"/>
      <c r="N45" s="7"/>
      <c r="O45" s="7"/>
    </row>
    <row r="46">
      <c r="A46" s="2" t="s">
        <v>697</v>
      </c>
      <c r="B46" s="2" t="s">
        <v>1027</v>
      </c>
      <c r="C46" s="2" t="s">
        <v>2748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697</v>
      </c>
      <c r="B47" s="2" t="s">
        <v>1423</v>
      </c>
      <c r="C47" s="2" t="s">
        <v>1424</v>
      </c>
      <c r="D47" s="4"/>
      <c r="E47" s="8"/>
      <c r="F47" s="4"/>
      <c r="G47" s="8"/>
      <c r="H47" s="7"/>
      <c r="I47" s="7"/>
      <c r="J47" s="4"/>
      <c r="K47" s="8"/>
      <c r="L47" s="4"/>
      <c r="M47" s="8"/>
      <c r="N47" s="7"/>
      <c r="O47" s="7"/>
    </row>
    <row r="48">
      <c r="A48" s="2" t="s">
        <v>697</v>
      </c>
      <c r="B48" s="2" t="s">
        <v>868</v>
      </c>
      <c r="C48" s="2" t="s">
        <v>869</v>
      </c>
      <c r="D48" s="4" t="s">
        <v>227</v>
      </c>
      <c r="E48" s="8" t="s">
        <v>227</v>
      </c>
      <c r="F48" s="4" t="s">
        <v>227</v>
      </c>
      <c r="G48" s="8" t="s">
        <v>227</v>
      </c>
      <c r="H48" s="7" t="s">
        <v>227</v>
      </c>
      <c r="I48" s="7" t="s">
        <v>227</v>
      </c>
      <c r="J48" s="4"/>
      <c r="K48" s="8"/>
      <c r="L48" s="4"/>
      <c r="M48" s="8"/>
      <c r="N48" s="7"/>
      <c r="O48" s="7"/>
    </row>
    <row r="49">
      <c r="A49" s="2" t="s">
        <v>697</v>
      </c>
      <c r="B49" s="2" t="s">
        <v>868</v>
      </c>
      <c r="C49" s="2" t="s">
        <v>1334</v>
      </c>
      <c r="D49" s="4" t="s">
        <v>227</v>
      </c>
      <c r="E49" s="8" t="s">
        <v>227</v>
      </c>
      <c r="F49" s="4" t="s">
        <v>227</v>
      </c>
      <c r="G49" s="8" t="s">
        <v>227</v>
      </c>
      <c r="H49" s="7" t="s">
        <v>227</v>
      </c>
      <c r="I49" s="7" t="s">
        <v>227</v>
      </c>
      <c r="J49" s="4"/>
      <c r="K49" s="8"/>
      <c r="L49" s="4"/>
      <c r="M49" s="8"/>
      <c r="N49" s="7"/>
      <c r="O49" s="7"/>
    </row>
    <row r="50">
      <c r="A50" s="2" t="s">
        <v>573</v>
      </c>
      <c r="B50" s="2" t="s">
        <v>856</v>
      </c>
      <c r="C50" s="2" t="s">
        <v>857</v>
      </c>
      <c r="D50" s="4" t="s">
        <v>227</v>
      </c>
      <c r="E50" s="8" t="s">
        <v>227</v>
      </c>
      <c r="F50" s="4" t="s">
        <v>227</v>
      </c>
      <c r="G50" s="8" t="s">
        <v>227</v>
      </c>
      <c r="H50" s="7" t="s">
        <v>227</v>
      </c>
      <c r="I50" s="7" t="s">
        <v>227</v>
      </c>
      <c r="J50" s="4"/>
      <c r="K50" s="8"/>
      <c r="L50" s="4"/>
      <c r="M50" s="8"/>
      <c r="N50" s="7"/>
      <c r="O50" s="7"/>
    </row>
    <row r="51">
      <c r="A51" s="2" t="s">
        <v>573</v>
      </c>
      <c r="B51" s="2" t="s">
        <v>856</v>
      </c>
      <c r="C51" s="2" t="s">
        <v>933</v>
      </c>
      <c r="D51" s="4" t="s">
        <v>227</v>
      </c>
      <c r="E51" s="8" t="s">
        <v>227</v>
      </c>
      <c r="F51" s="4" t="s">
        <v>227</v>
      </c>
      <c r="G51" s="8" t="s">
        <v>227</v>
      </c>
      <c r="H51" s="7" t="s">
        <v>227</v>
      </c>
      <c r="I51" s="7" t="s">
        <v>227</v>
      </c>
      <c r="J51" s="4"/>
      <c r="K51" s="8"/>
      <c r="L51" s="4"/>
      <c r="M51" s="8"/>
      <c r="N51" s="7"/>
      <c r="O51" s="7"/>
    </row>
    <row r="52">
      <c r="A52" s="2" t="s">
        <v>573</v>
      </c>
      <c r="B52" s="2" t="s">
        <v>832</v>
      </c>
      <c r="C52" s="2" t="s">
        <v>5167</v>
      </c>
      <c r="D52" s="4" t="s">
        <v>227</v>
      </c>
      <c r="E52" s="8" t="s">
        <v>227</v>
      </c>
      <c r="F52" s="4" t="s">
        <v>227</v>
      </c>
      <c r="G52" s="8" t="s">
        <v>227</v>
      </c>
      <c r="H52" s="7" t="s">
        <v>227</v>
      </c>
      <c r="I52" s="7" t="s">
        <v>227</v>
      </c>
      <c r="J52" s="4"/>
      <c r="K52" s="8"/>
      <c r="L52" s="4"/>
      <c r="M52" s="8"/>
      <c r="N52" s="7"/>
      <c r="O52" s="7"/>
    </row>
    <row r="53">
      <c r="A53" s="2" t="s">
        <v>573</v>
      </c>
      <c r="B53" s="2" t="s">
        <v>832</v>
      </c>
      <c r="C53" s="2" t="s">
        <v>833</v>
      </c>
      <c r="D53" s="4" t="s">
        <v>227</v>
      </c>
      <c r="E53" s="8" t="s">
        <v>227</v>
      </c>
      <c r="F53" s="4" t="s">
        <v>227</v>
      </c>
      <c r="G53" s="8" t="s">
        <v>227</v>
      </c>
      <c r="H53" s="7" t="s">
        <v>227</v>
      </c>
      <c r="I53" s="7" t="s">
        <v>227</v>
      </c>
      <c r="J53" s="4"/>
      <c r="K53" s="8"/>
      <c r="L53" s="4"/>
      <c r="M53" s="8"/>
      <c r="N53" s="7"/>
      <c r="O53" s="7"/>
    </row>
    <row r="54">
      <c r="A54" s="2" t="s">
        <v>573</v>
      </c>
      <c r="B54" s="2" t="s">
        <v>2722</v>
      </c>
      <c r="C54" s="2" t="s">
        <v>2723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573</v>
      </c>
      <c r="B55" s="2" t="s">
        <v>4427</v>
      </c>
      <c r="C55" s="2" t="s">
        <v>4428</v>
      </c>
      <c r="D55" s="4"/>
      <c r="E55" s="8"/>
      <c r="F55" s="4"/>
      <c r="G55" s="8"/>
      <c r="H55" s="7"/>
      <c r="I55" s="7"/>
      <c r="J55" s="4"/>
      <c r="K55" s="8"/>
      <c r="L55" s="4"/>
      <c r="M55" s="8"/>
      <c r="N55" s="7"/>
      <c r="O55" s="7"/>
    </row>
    <row r="56">
      <c r="A56" s="2" t="s">
        <v>573</v>
      </c>
      <c r="B56" s="2" t="s">
        <v>4004</v>
      </c>
      <c r="C56" s="2" t="s">
        <v>4005</v>
      </c>
      <c r="D56" s="4"/>
      <c r="E56" s="8"/>
      <c r="F56" s="4"/>
      <c r="G56" s="8"/>
      <c r="H56" s="7"/>
      <c r="I56" s="7"/>
      <c r="J56" s="4"/>
      <c r="K56" s="8"/>
      <c r="L56" s="4"/>
      <c r="M56" s="8"/>
      <c r="N56" s="7"/>
      <c r="O56" s="7"/>
    </row>
    <row r="57">
      <c r="A57" s="2" t="s">
        <v>573</v>
      </c>
      <c r="B57" s="2" t="s">
        <v>1515</v>
      </c>
      <c r="C57" s="2" t="s">
        <v>4964</v>
      </c>
      <c r="D57" s="4" t="s">
        <v>227</v>
      </c>
      <c r="E57" s="8" t="s">
        <v>227</v>
      </c>
      <c r="F57" s="4" t="s">
        <v>227</v>
      </c>
      <c r="G57" s="8" t="s">
        <v>227</v>
      </c>
      <c r="H57" s="7" t="s">
        <v>227</v>
      </c>
      <c r="I57" s="7" t="s">
        <v>227</v>
      </c>
      <c r="J57" s="4"/>
      <c r="K57" s="8"/>
      <c r="L57" s="4"/>
      <c r="M57" s="8"/>
      <c r="N57" s="7"/>
      <c r="O57" s="7"/>
    </row>
    <row r="58">
      <c r="A58" s="2" t="s">
        <v>573</v>
      </c>
      <c r="B58" s="2" t="s">
        <v>1515</v>
      </c>
      <c r="C58" s="2" t="s">
        <v>1516</v>
      </c>
      <c r="D58" s="4" t="s">
        <v>227</v>
      </c>
      <c r="E58" s="8" t="s">
        <v>227</v>
      </c>
      <c r="F58" s="4" t="s">
        <v>227</v>
      </c>
      <c r="G58" s="8" t="s">
        <v>227</v>
      </c>
      <c r="H58" s="7" t="s">
        <v>227</v>
      </c>
      <c r="I58" s="7" t="s">
        <v>227</v>
      </c>
      <c r="J58" s="4"/>
      <c r="K58" s="8"/>
      <c r="L58" s="4"/>
      <c r="M58" s="8"/>
      <c r="N58" s="7"/>
      <c r="O58" s="7"/>
    </row>
    <row r="59">
      <c r="A59" s="2" t="s">
        <v>573</v>
      </c>
      <c r="B59" s="2" t="s">
        <v>1182</v>
      </c>
      <c r="C59" s="2" t="s">
        <v>1183</v>
      </c>
      <c r="D59" s="4"/>
      <c r="E59" s="8"/>
      <c r="F59" s="4"/>
      <c r="G59" s="8"/>
      <c r="H59" s="7"/>
      <c r="I59" s="7"/>
      <c r="J59" s="4"/>
      <c r="K59" s="8"/>
      <c r="L59" s="4"/>
      <c r="M59" s="8"/>
      <c r="N59" s="7"/>
      <c r="O59" s="7"/>
    </row>
    <row r="60">
      <c r="A60" s="2" t="s">
        <v>573</v>
      </c>
      <c r="B60" s="2" t="s">
        <v>3118</v>
      </c>
      <c r="C60" s="2" t="s">
        <v>3119</v>
      </c>
      <c r="D60" s="4"/>
      <c r="E60" s="8"/>
      <c r="F60" s="4"/>
      <c r="G60" s="8"/>
      <c r="H60" s="7"/>
      <c r="I60" s="7"/>
      <c r="J60" s="4"/>
      <c r="K60" s="8"/>
      <c r="L60" s="4"/>
      <c r="M60" s="8"/>
      <c r="N60" s="7"/>
      <c r="O60" s="7"/>
    </row>
    <row r="61">
      <c r="A61" s="2" t="s">
        <v>573</v>
      </c>
      <c r="B61" s="2" t="s">
        <v>1230</v>
      </c>
      <c r="C61" s="2" t="s">
        <v>1231</v>
      </c>
      <c r="D61" s="4"/>
      <c r="E61" s="8"/>
      <c r="F61" s="4"/>
      <c r="G61" s="8"/>
      <c r="H61" s="7"/>
      <c r="I61" s="7"/>
      <c r="J61" s="4"/>
      <c r="K61" s="8"/>
      <c r="L61" s="4"/>
      <c r="M61" s="8"/>
      <c r="N61" s="7"/>
      <c r="O61" s="7"/>
    </row>
    <row r="62">
      <c r="A62" s="2" t="s">
        <v>573</v>
      </c>
      <c r="B62" s="2" t="s">
        <v>4418</v>
      </c>
      <c r="C62" s="2" t="s">
        <v>4419</v>
      </c>
      <c r="D62" s="4"/>
      <c r="E62" s="8"/>
      <c r="F62" s="4"/>
      <c r="G62" s="8"/>
      <c r="H62" s="7"/>
      <c r="I62" s="7"/>
      <c r="J62" s="4"/>
      <c r="K62" s="8"/>
      <c r="L62" s="4"/>
      <c r="M62" s="8"/>
      <c r="N62" s="7"/>
      <c r="O62" s="7"/>
    </row>
    <row r="63">
      <c r="A63" s="2" t="s">
        <v>573</v>
      </c>
      <c r="B63" s="2" t="s">
        <v>574</v>
      </c>
      <c r="C63" s="2" t="s">
        <v>961</v>
      </c>
      <c r="D63" s="4" t="s">
        <v>227</v>
      </c>
      <c r="E63" s="8" t="s">
        <v>227</v>
      </c>
      <c r="F63" s="4" t="s">
        <v>227</v>
      </c>
      <c r="G63" s="8" t="s">
        <v>227</v>
      </c>
      <c r="H63" s="7" t="s">
        <v>227</v>
      </c>
      <c r="I63" s="7" t="s">
        <v>227</v>
      </c>
      <c r="J63" s="4"/>
      <c r="K63" s="8"/>
      <c r="L63" s="4"/>
      <c r="M63" s="8"/>
      <c r="N63" s="7"/>
      <c r="O63" s="7"/>
    </row>
    <row r="64">
      <c r="A64" s="2" t="s">
        <v>573</v>
      </c>
      <c r="B64" s="2" t="s">
        <v>574</v>
      </c>
      <c r="C64" s="2" t="s">
        <v>575</v>
      </c>
      <c r="D64" s="4" t="s">
        <v>227</v>
      </c>
      <c r="E64" s="8" t="s">
        <v>227</v>
      </c>
      <c r="F64" s="4" t="s">
        <v>227</v>
      </c>
      <c r="G64" s="8" t="s">
        <v>227</v>
      </c>
      <c r="H64" s="7" t="s">
        <v>227</v>
      </c>
      <c r="I64" s="7" t="s">
        <v>227</v>
      </c>
      <c r="J64" s="4"/>
      <c r="K64" s="8"/>
      <c r="L64" s="4"/>
      <c r="M64" s="8"/>
      <c r="N64" s="7"/>
      <c r="O64" s="7"/>
    </row>
    <row r="65">
      <c r="A65" s="2" t="s">
        <v>573</v>
      </c>
      <c r="B65" s="2" t="s">
        <v>574</v>
      </c>
      <c r="C65" s="2" t="s">
        <v>1014</v>
      </c>
      <c r="D65" s="4" t="s">
        <v>227</v>
      </c>
      <c r="E65" s="8" t="s">
        <v>227</v>
      </c>
      <c r="F65" s="4" t="s">
        <v>227</v>
      </c>
      <c r="G65" s="8" t="s">
        <v>227</v>
      </c>
      <c r="H65" s="7" t="s">
        <v>227</v>
      </c>
      <c r="I65" s="7" t="s">
        <v>227</v>
      </c>
      <c r="J65" s="4"/>
      <c r="K65" s="8"/>
      <c r="L65" s="4"/>
      <c r="M65" s="8"/>
      <c r="N65" s="7"/>
      <c r="O65" s="7"/>
    </row>
    <row r="66">
      <c r="A66" s="2" t="s">
        <v>573</v>
      </c>
      <c r="B66" s="2" t="s">
        <v>3832</v>
      </c>
      <c r="C66" s="2" t="s">
        <v>3833</v>
      </c>
      <c r="D66" s="4"/>
      <c r="E66" s="8"/>
      <c r="F66" s="4"/>
      <c r="G66" s="8"/>
      <c r="H66" s="7"/>
      <c r="I66" s="7"/>
      <c r="J66" s="4"/>
      <c r="K66" s="8"/>
      <c r="L66" s="4"/>
      <c r="M66" s="8"/>
      <c r="N66" s="7"/>
      <c r="O66" s="7"/>
    </row>
    <row r="67">
      <c r="A67" s="2" t="s">
        <v>573</v>
      </c>
      <c r="B67" s="2" t="s">
        <v>3621</v>
      </c>
      <c r="C67" s="2" t="s">
        <v>3622</v>
      </c>
      <c r="D67" s="4" t="s">
        <v>227</v>
      </c>
      <c r="E67" s="8" t="s">
        <v>227</v>
      </c>
      <c r="F67" s="4" t="s">
        <v>227</v>
      </c>
      <c r="G67" s="8" t="s">
        <v>227</v>
      </c>
      <c r="H67" s="7" t="s">
        <v>227</v>
      </c>
      <c r="I67" s="7" t="s">
        <v>227</v>
      </c>
      <c r="J67" s="4"/>
      <c r="K67" s="8"/>
      <c r="L67" s="4"/>
      <c r="M67" s="8"/>
      <c r="N67" s="7"/>
      <c r="O67" s="7"/>
    </row>
    <row r="68">
      <c r="A68" s="2" t="s">
        <v>573</v>
      </c>
      <c r="B68" s="2" t="s">
        <v>3621</v>
      </c>
      <c r="C68" s="2" t="s">
        <v>5139</v>
      </c>
      <c r="D68" s="4" t="s">
        <v>227</v>
      </c>
      <c r="E68" s="8" t="s">
        <v>227</v>
      </c>
      <c r="F68" s="4" t="s">
        <v>227</v>
      </c>
      <c r="G68" s="8" t="s">
        <v>227</v>
      </c>
      <c r="H68" s="7" t="s">
        <v>227</v>
      </c>
      <c r="I68" s="7" t="s">
        <v>227</v>
      </c>
      <c r="J68" s="4"/>
      <c r="K68" s="8"/>
      <c r="L68" s="4"/>
      <c r="M68" s="8"/>
      <c r="N68" s="7"/>
      <c r="O68" s="7"/>
    </row>
    <row r="69">
      <c r="A69" s="2" t="s">
        <v>573</v>
      </c>
      <c r="B69" s="2" t="s">
        <v>3621</v>
      </c>
      <c r="C69" s="2" t="s">
        <v>3894</v>
      </c>
      <c r="D69" s="4" t="s">
        <v>227</v>
      </c>
      <c r="E69" s="8" t="s">
        <v>227</v>
      </c>
      <c r="F69" s="4" t="s">
        <v>227</v>
      </c>
      <c r="G69" s="8" t="s">
        <v>227</v>
      </c>
      <c r="H69" s="7" t="s">
        <v>227</v>
      </c>
      <c r="I69" s="7" t="s">
        <v>227</v>
      </c>
      <c r="J69" s="4"/>
      <c r="K69" s="8"/>
      <c r="L69" s="4"/>
      <c r="M69" s="8"/>
      <c r="N69" s="7"/>
      <c r="O69" s="7"/>
    </row>
    <row r="70">
      <c r="A70" s="2" t="s">
        <v>573</v>
      </c>
      <c r="B70" s="2" t="s">
        <v>2841</v>
      </c>
      <c r="C70" s="2" t="s">
        <v>2842</v>
      </c>
      <c r="D70" s="4"/>
      <c r="E70" s="8"/>
      <c r="F70" s="4"/>
      <c r="G70" s="8"/>
      <c r="H70" s="7"/>
      <c r="I70" s="7"/>
      <c r="J70" s="4"/>
      <c r="K70" s="8"/>
      <c r="L70" s="4"/>
      <c r="M70" s="8"/>
      <c r="N70" s="7"/>
      <c r="O70" s="7"/>
    </row>
    <row r="71">
      <c r="A71" s="2" t="s">
        <v>573</v>
      </c>
      <c r="B71" s="2" t="s">
        <v>4783</v>
      </c>
      <c r="C71" s="2" t="s">
        <v>2842</v>
      </c>
      <c r="D71" s="4"/>
      <c r="E71" s="8"/>
      <c r="F71" s="4"/>
      <c r="G71" s="8"/>
      <c r="H71" s="7"/>
      <c r="I71" s="7"/>
      <c r="J71" s="4"/>
      <c r="K71" s="8"/>
      <c r="L71" s="4"/>
      <c r="M71" s="8"/>
      <c r="N71" s="7"/>
      <c r="O71" s="7"/>
    </row>
    <row r="72">
      <c r="A72" s="2" t="s">
        <v>1001</v>
      </c>
      <c r="B72" s="2" t="s">
        <v>2594</v>
      </c>
      <c r="C72" s="2" t="s">
        <v>2595</v>
      </c>
      <c r="D72" s="4"/>
      <c r="E72" s="8"/>
      <c r="F72" s="4"/>
      <c r="G72" s="8"/>
      <c r="H72" s="7"/>
      <c r="I72" s="7"/>
      <c r="J72" s="4"/>
      <c r="K72" s="8"/>
      <c r="L72" s="4"/>
      <c r="M72" s="8"/>
      <c r="N72" s="7"/>
      <c r="O72" s="7"/>
    </row>
    <row r="73">
      <c r="A73" s="2" t="s">
        <v>1001</v>
      </c>
      <c r="B73" s="2" t="s">
        <v>3884</v>
      </c>
      <c r="C73" s="2" t="s">
        <v>3885</v>
      </c>
      <c r="D73" s="4"/>
      <c r="E73" s="8"/>
      <c r="F73" s="4"/>
      <c r="G73" s="8"/>
      <c r="H73" s="7"/>
      <c r="I73" s="7"/>
      <c r="J73" s="4"/>
      <c r="K73" s="8"/>
      <c r="L73" s="4"/>
      <c r="M73" s="8"/>
      <c r="N73" s="7"/>
      <c r="O73" s="7"/>
    </row>
    <row r="74">
      <c r="A74" s="2" t="s">
        <v>1001</v>
      </c>
      <c r="B74" s="2" t="s">
        <v>4736</v>
      </c>
      <c r="C74" s="2" t="s">
        <v>4737</v>
      </c>
      <c r="D74" s="4"/>
      <c r="E74" s="8"/>
      <c r="F74" s="4"/>
      <c r="G74" s="8"/>
      <c r="H74" s="7"/>
      <c r="I74" s="7"/>
      <c r="J74" s="4"/>
      <c r="K74" s="8"/>
      <c r="L74" s="4"/>
      <c r="M74" s="8"/>
      <c r="N74" s="7"/>
      <c r="O74" s="7"/>
    </row>
    <row r="75">
      <c r="A75" s="2" t="s">
        <v>1001</v>
      </c>
      <c r="B75" s="2" t="s">
        <v>1002</v>
      </c>
      <c r="C75" s="2" t="s">
        <v>1003</v>
      </c>
      <c r="D75" s="4"/>
      <c r="E75" s="8"/>
      <c r="F75" s="4"/>
      <c r="G75" s="8"/>
      <c r="H75" s="7"/>
      <c r="I75" s="7"/>
      <c r="J75" s="4"/>
      <c r="K75" s="8"/>
      <c r="L75" s="4"/>
      <c r="M75" s="8"/>
      <c r="N75" s="7"/>
      <c r="O75" s="7"/>
    </row>
    <row r="76">
      <c r="A76" s="2" t="s">
        <v>1001</v>
      </c>
      <c r="B76" s="2" t="s">
        <v>1952</v>
      </c>
      <c r="C76" s="2" t="s">
        <v>1953</v>
      </c>
      <c r="D76" s="4"/>
      <c r="E76" s="8"/>
      <c r="F76" s="4"/>
      <c r="G76" s="8"/>
      <c r="H76" s="7"/>
      <c r="I76" s="7"/>
      <c r="J76" s="4"/>
      <c r="K76" s="8"/>
      <c r="L76" s="4"/>
      <c r="M76" s="8"/>
      <c r="N76" s="7"/>
      <c r="O76" s="7"/>
    </row>
    <row r="77">
      <c r="A77" s="2" t="s">
        <v>1001</v>
      </c>
      <c r="B77" s="2" t="s">
        <v>1140</v>
      </c>
      <c r="C77" s="2" t="s">
        <v>1141</v>
      </c>
      <c r="D77" s="4"/>
      <c r="E77" s="8"/>
      <c r="F77" s="4"/>
      <c r="G77" s="8"/>
      <c r="H77" s="7"/>
      <c r="I77" s="7"/>
      <c r="J77" s="4"/>
      <c r="K77" s="8"/>
      <c r="L77" s="4"/>
      <c r="M77" s="8"/>
      <c r="N77" s="7"/>
      <c r="O77" s="7"/>
    </row>
    <row r="78">
      <c r="A78" s="2" t="s">
        <v>1616</v>
      </c>
      <c r="B78" s="2" t="s">
        <v>1617</v>
      </c>
      <c r="C78" s="2" t="s">
        <v>1618</v>
      </c>
      <c r="D78" s="4"/>
      <c r="E78" s="8"/>
      <c r="F78" s="4"/>
      <c r="G78" s="8"/>
      <c r="H78" s="7"/>
      <c r="I78" s="7"/>
      <c r="J78" s="4"/>
      <c r="K78" s="8"/>
      <c r="L78" s="4"/>
      <c r="M78" s="8"/>
      <c r="N78" s="7"/>
      <c r="O78" s="7"/>
    </row>
    <row r="79">
      <c r="A79" s="2" t="s">
        <v>635</v>
      </c>
      <c r="B79" s="2" t="s">
        <v>637</v>
      </c>
      <c r="C79" s="2" t="s">
        <v>638</v>
      </c>
      <c r="D79" s="4"/>
      <c r="E79" s="8"/>
      <c r="F79" s="4"/>
      <c r="G79" s="8"/>
      <c r="H79" s="7"/>
      <c r="I79" s="7"/>
      <c r="J79" s="4"/>
      <c r="K79" s="8"/>
      <c r="L79" s="4"/>
      <c r="M79" s="8"/>
      <c r="N79" s="7"/>
      <c r="O79" s="7"/>
    </row>
    <row r="80">
      <c r="A80" s="2" t="s">
        <v>278</v>
      </c>
      <c r="B80" s="2" t="s">
        <v>1423</v>
      </c>
      <c r="C80" s="2" t="s">
        <v>1424</v>
      </c>
      <c r="D80" s="4"/>
      <c r="E80" s="8"/>
      <c r="F80" s="4"/>
      <c r="G80" s="8"/>
      <c r="H80" s="7"/>
      <c r="I80" s="7"/>
      <c r="J80" s="4"/>
      <c r="K80" s="8"/>
      <c r="L80" s="4"/>
      <c r="M80" s="8"/>
      <c r="N80" s="7"/>
      <c r="O80" s="7"/>
    </row>
    <row r="81">
      <c r="A81" s="2" t="s">
        <v>278</v>
      </c>
      <c r="B81" s="2" t="s">
        <v>280</v>
      </c>
      <c r="C81" s="2" t="s">
        <v>281</v>
      </c>
      <c r="D81" s="4"/>
      <c r="E81" s="8"/>
      <c r="F81" s="4"/>
      <c r="G81" s="8"/>
      <c r="H81" s="7"/>
      <c r="I81" s="7"/>
      <c r="J81" s="4"/>
      <c r="K81" s="8"/>
      <c r="L81" s="4"/>
      <c r="M81" s="8"/>
      <c r="N81" s="7"/>
      <c r="O81" s="7"/>
    </row>
    <row r="82">
      <c r="A82" s="2" t="s">
        <v>514</v>
      </c>
      <c r="B82" s="2" t="s">
        <v>516</v>
      </c>
      <c r="C82" s="2" t="s">
        <v>517</v>
      </c>
      <c r="D82" s="4"/>
      <c r="E82" s="8"/>
      <c r="F82" s="4"/>
      <c r="G82" s="8"/>
      <c r="H82" s="7"/>
      <c r="I82" s="7"/>
      <c r="J82" s="4"/>
      <c r="K82" s="8"/>
      <c r="L82" s="4"/>
      <c r="M82" s="8"/>
      <c r="N82" s="7"/>
      <c r="O82" s="7"/>
    </row>
    <row r="83">
      <c r="A83" s="2" t="s">
        <v>715</v>
      </c>
      <c r="B83" s="2" t="s">
        <v>4165</v>
      </c>
      <c r="C83" s="2" t="s">
        <v>4166</v>
      </c>
      <c r="D83" s="4"/>
      <c r="E83" s="8"/>
      <c r="F83" s="4"/>
      <c r="G83" s="8"/>
      <c r="H83" s="7"/>
      <c r="I83" s="7"/>
      <c r="J83" s="4"/>
      <c r="K83" s="8"/>
      <c r="L83" s="4"/>
      <c r="M83" s="8"/>
      <c r="N83" s="7"/>
      <c r="O83" s="7"/>
    </row>
    <row r="84">
      <c r="A84" s="2" t="s">
        <v>715</v>
      </c>
      <c r="B84" s="2" t="s">
        <v>815</v>
      </c>
      <c r="C84" s="2" t="s">
        <v>816</v>
      </c>
      <c r="D84" s="4"/>
      <c r="E84" s="8"/>
      <c r="F84" s="4"/>
      <c r="G84" s="8"/>
      <c r="H84" s="7"/>
      <c r="I84" s="7"/>
      <c r="J84" s="4"/>
      <c r="K84" s="8"/>
      <c r="L84" s="4"/>
      <c r="M84" s="8"/>
      <c r="N84" s="7"/>
      <c r="O84" s="7"/>
    </row>
    <row r="85">
      <c r="A85" s="2" t="s">
        <v>715</v>
      </c>
      <c r="B85" s="2" t="s">
        <v>716</v>
      </c>
      <c r="C85" s="2" t="s">
        <v>971</v>
      </c>
      <c r="D85" s="4" t="s">
        <v>227</v>
      </c>
      <c r="E85" s="8" t="s">
        <v>227</v>
      </c>
      <c r="F85" s="4" t="s">
        <v>227</v>
      </c>
      <c r="G85" s="8" t="s">
        <v>227</v>
      </c>
      <c r="H85" s="7" t="s">
        <v>227</v>
      </c>
      <c r="I85" s="7" t="s">
        <v>227</v>
      </c>
      <c r="J85" s="4"/>
      <c r="K85" s="8"/>
      <c r="L85" s="4"/>
      <c r="M85" s="8"/>
      <c r="N85" s="7"/>
      <c r="O85" s="7"/>
    </row>
    <row r="86">
      <c r="A86" s="2" t="s">
        <v>715</v>
      </c>
      <c r="B86" s="2" t="s">
        <v>716</v>
      </c>
      <c r="C86" s="2" t="s">
        <v>1924</v>
      </c>
      <c r="D86" s="4" t="s">
        <v>227</v>
      </c>
      <c r="E86" s="8" t="s">
        <v>227</v>
      </c>
      <c r="F86" s="4" t="s">
        <v>227</v>
      </c>
      <c r="G86" s="8" t="s">
        <v>227</v>
      </c>
      <c r="H86" s="7" t="s">
        <v>227</v>
      </c>
      <c r="I86" s="7" t="s">
        <v>227</v>
      </c>
      <c r="J86" s="4"/>
      <c r="K86" s="8"/>
      <c r="L86" s="4"/>
      <c r="M86" s="8"/>
      <c r="N86" s="7"/>
      <c r="O86" s="7"/>
    </row>
    <row r="87">
      <c r="A87" s="2" t="s">
        <v>715</v>
      </c>
      <c r="B87" s="2" t="s">
        <v>716</v>
      </c>
      <c r="C87" s="2" t="s">
        <v>1078</v>
      </c>
      <c r="D87" s="4" t="s">
        <v>227</v>
      </c>
      <c r="E87" s="8" t="s">
        <v>227</v>
      </c>
      <c r="F87" s="4" t="s">
        <v>227</v>
      </c>
      <c r="G87" s="8" t="s">
        <v>227</v>
      </c>
      <c r="H87" s="7" t="s">
        <v>227</v>
      </c>
      <c r="I87" s="7" t="s">
        <v>227</v>
      </c>
      <c r="J87" s="4"/>
      <c r="K87" s="8"/>
      <c r="L87" s="4"/>
      <c r="M87" s="8"/>
      <c r="N87" s="7"/>
      <c r="O87" s="7"/>
    </row>
    <row r="88">
      <c r="A88" s="2" t="s">
        <v>715</v>
      </c>
      <c r="B88" s="2" t="s">
        <v>716</v>
      </c>
      <c r="C88" s="2" t="s">
        <v>1774</v>
      </c>
      <c r="D88" s="4" t="s">
        <v>227</v>
      </c>
      <c r="E88" s="8" t="s">
        <v>227</v>
      </c>
      <c r="F88" s="4" t="s">
        <v>227</v>
      </c>
      <c r="G88" s="8" t="s">
        <v>227</v>
      </c>
      <c r="H88" s="7" t="s">
        <v>227</v>
      </c>
      <c r="I88" s="7" t="s">
        <v>227</v>
      </c>
      <c r="J88" s="4"/>
      <c r="K88" s="8"/>
      <c r="L88" s="4"/>
      <c r="M88" s="8"/>
      <c r="N88" s="7"/>
      <c r="O88" s="7"/>
    </row>
    <row r="89">
      <c r="A89" s="2" t="s">
        <v>715</v>
      </c>
      <c r="B89" s="2" t="s">
        <v>716</v>
      </c>
      <c r="C89" s="2" t="s">
        <v>717</v>
      </c>
      <c r="D89" s="4" t="s">
        <v>227</v>
      </c>
      <c r="E89" s="8" t="s">
        <v>227</v>
      </c>
      <c r="F89" s="4" t="s">
        <v>227</v>
      </c>
      <c r="G89" s="8" t="s">
        <v>227</v>
      </c>
      <c r="H89" s="7" t="s">
        <v>227</v>
      </c>
      <c r="I89" s="7" t="s">
        <v>227</v>
      </c>
      <c r="J89" s="4"/>
      <c r="K89" s="8"/>
      <c r="L89" s="4"/>
      <c r="M89" s="8"/>
      <c r="N89" s="7"/>
      <c r="O89" s="7"/>
    </row>
    <row r="90">
      <c r="A90" s="2" t="s">
        <v>715</v>
      </c>
      <c r="B90" s="2" t="s">
        <v>716</v>
      </c>
      <c r="C90" s="2" t="s">
        <v>3401</v>
      </c>
      <c r="D90" s="4" t="s">
        <v>227</v>
      </c>
      <c r="E90" s="8" t="s">
        <v>227</v>
      </c>
      <c r="F90" s="4" t="s">
        <v>227</v>
      </c>
      <c r="G90" s="8" t="s">
        <v>227</v>
      </c>
      <c r="H90" s="7" t="s">
        <v>227</v>
      </c>
      <c r="I90" s="7" t="s">
        <v>227</v>
      </c>
      <c r="J90" s="4"/>
      <c r="K90" s="8"/>
      <c r="L90" s="4"/>
      <c r="M90" s="8"/>
      <c r="N90" s="7"/>
      <c r="O90" s="7"/>
    </row>
    <row r="91">
      <c r="A91" s="2" t="s">
        <v>618</v>
      </c>
      <c r="B91" s="2" t="s">
        <v>687</v>
      </c>
      <c r="C91" s="2" t="s">
        <v>990</v>
      </c>
      <c r="D91" s="4" t="s">
        <v>227</v>
      </c>
      <c r="E91" s="8" t="s">
        <v>227</v>
      </c>
      <c r="F91" s="4" t="s">
        <v>227</v>
      </c>
      <c r="G91" s="8" t="s">
        <v>227</v>
      </c>
      <c r="H91" s="7" t="s">
        <v>227</v>
      </c>
      <c r="I91" s="7" t="s">
        <v>227</v>
      </c>
      <c r="J91" s="4"/>
      <c r="K91" s="8"/>
      <c r="L91" s="4"/>
      <c r="M91" s="8"/>
      <c r="N91" s="7"/>
      <c r="O91" s="7"/>
    </row>
    <row r="92">
      <c r="A92" s="2" t="s">
        <v>618</v>
      </c>
      <c r="B92" s="2" t="s">
        <v>687</v>
      </c>
      <c r="C92" s="2" t="s">
        <v>699</v>
      </c>
      <c r="D92" s="4" t="s">
        <v>227</v>
      </c>
      <c r="E92" s="8" t="s">
        <v>227</v>
      </c>
      <c r="F92" s="4" t="s">
        <v>227</v>
      </c>
      <c r="G92" s="8" t="s">
        <v>227</v>
      </c>
      <c r="H92" s="7" t="s">
        <v>227</v>
      </c>
      <c r="I92" s="7" t="s">
        <v>227</v>
      </c>
      <c r="J92" s="4"/>
      <c r="K92" s="8"/>
      <c r="L92" s="4"/>
      <c r="M92" s="8"/>
      <c r="N92" s="7"/>
      <c r="O92" s="7"/>
    </row>
    <row r="93">
      <c r="A93" s="2" t="s">
        <v>618</v>
      </c>
      <c r="B93" s="2" t="s">
        <v>687</v>
      </c>
      <c r="C93" s="2" t="s">
        <v>688</v>
      </c>
      <c r="D93" s="4" t="s">
        <v>227</v>
      </c>
      <c r="E93" s="8" t="s">
        <v>227</v>
      </c>
      <c r="F93" s="4" t="s">
        <v>227</v>
      </c>
      <c r="G93" s="8" t="s">
        <v>227</v>
      </c>
      <c r="H93" s="7" t="s">
        <v>227</v>
      </c>
      <c r="I93" s="7" t="s">
        <v>227</v>
      </c>
      <c r="J93" s="4"/>
      <c r="K93" s="8"/>
      <c r="L93" s="4"/>
      <c r="M93" s="8"/>
      <c r="N93" s="7"/>
      <c r="O93" s="7"/>
    </row>
    <row r="94">
      <c r="A94" s="2" t="s">
        <v>618</v>
      </c>
      <c r="B94" s="2" t="s">
        <v>1652</v>
      </c>
      <c r="C94" s="2" t="s">
        <v>4160</v>
      </c>
      <c r="D94" s="4" t="s">
        <v>227</v>
      </c>
      <c r="E94" s="8" t="s">
        <v>227</v>
      </c>
      <c r="F94" s="4" t="s">
        <v>227</v>
      </c>
      <c r="G94" s="8" t="s">
        <v>227</v>
      </c>
      <c r="H94" s="7" t="s">
        <v>227</v>
      </c>
      <c r="I94" s="7" t="s">
        <v>227</v>
      </c>
      <c r="J94" s="4"/>
      <c r="K94" s="8"/>
      <c r="L94" s="4"/>
      <c r="M94" s="8"/>
      <c r="N94" s="7"/>
      <c r="O94" s="7"/>
    </row>
    <row r="95">
      <c r="A95" s="2" t="s">
        <v>618</v>
      </c>
      <c r="B95" s="2" t="s">
        <v>1652</v>
      </c>
      <c r="C95" s="2" t="s">
        <v>3952</v>
      </c>
      <c r="D95" s="4" t="s">
        <v>227</v>
      </c>
      <c r="E95" s="8" t="s">
        <v>227</v>
      </c>
      <c r="F95" s="4" t="s">
        <v>227</v>
      </c>
      <c r="G95" s="8" t="s">
        <v>227</v>
      </c>
      <c r="H95" s="7" t="s">
        <v>227</v>
      </c>
      <c r="I95" s="7" t="s">
        <v>227</v>
      </c>
      <c r="J95" s="4"/>
      <c r="K95" s="8"/>
      <c r="L95" s="4"/>
      <c r="M95" s="8"/>
      <c r="N95" s="7"/>
      <c r="O95" s="7"/>
    </row>
    <row r="96">
      <c r="A96" s="2" t="s">
        <v>618</v>
      </c>
      <c r="B96" s="2" t="s">
        <v>620</v>
      </c>
      <c r="C96" s="2" t="s">
        <v>669</v>
      </c>
      <c r="D96" s="4" t="s">
        <v>227</v>
      </c>
      <c r="E96" s="8" t="s">
        <v>227</v>
      </c>
      <c r="F96" s="4" t="s">
        <v>227</v>
      </c>
      <c r="G96" s="8" t="s">
        <v>227</v>
      </c>
      <c r="H96" s="7" t="s">
        <v>227</v>
      </c>
      <c r="I96" s="7" t="s">
        <v>227</v>
      </c>
      <c r="J96" s="4"/>
      <c r="K96" s="8"/>
      <c r="L96" s="4"/>
      <c r="M96" s="8"/>
      <c r="N96" s="7"/>
      <c r="O96" s="7"/>
    </row>
    <row r="97">
      <c r="A97" s="2" t="s">
        <v>618</v>
      </c>
      <c r="B97" s="2" t="s">
        <v>620</v>
      </c>
      <c r="C97" s="2" t="s">
        <v>621</v>
      </c>
      <c r="D97" s="4" t="s">
        <v>227</v>
      </c>
      <c r="E97" s="8" t="s">
        <v>227</v>
      </c>
      <c r="F97" s="4" t="s">
        <v>227</v>
      </c>
      <c r="G97" s="8" t="s">
        <v>227</v>
      </c>
      <c r="H97" s="7" t="s">
        <v>227</v>
      </c>
      <c r="I97" s="7" t="s">
        <v>227</v>
      </c>
      <c r="J97" s="4"/>
      <c r="K97" s="8"/>
      <c r="L97" s="4"/>
      <c r="M97" s="8"/>
      <c r="N97" s="7"/>
      <c r="O9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7:D9"/>
    <mergeCell ref="E7:E9"/>
    <mergeCell ref="F7:F9"/>
    <mergeCell ref="G7:G9"/>
    <mergeCell ref="H7:H9"/>
    <mergeCell ref="I7:I9"/>
    <mergeCell ref="D10:D12"/>
    <mergeCell ref="E10:E12"/>
    <mergeCell ref="F10:F12"/>
    <mergeCell ref="G10:G12"/>
    <mergeCell ref="H10:H12"/>
    <mergeCell ref="I10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9:D22"/>
    <mergeCell ref="E19:E22"/>
    <mergeCell ref="F19:F22"/>
    <mergeCell ref="G19:G22"/>
    <mergeCell ref="H19:H22"/>
    <mergeCell ref="I19:I22"/>
    <mergeCell ref="D23:D24"/>
    <mergeCell ref="E23:E24"/>
    <mergeCell ref="F23:F24"/>
    <mergeCell ref="G23:G24"/>
    <mergeCell ref="H23:H24"/>
    <mergeCell ref="I23:I24"/>
    <mergeCell ref="D26:D27"/>
    <mergeCell ref="E26:E27"/>
    <mergeCell ref="F26:F27"/>
    <mergeCell ref="G26:G27"/>
    <mergeCell ref="H26:H27"/>
    <mergeCell ref="I26:I27"/>
    <mergeCell ref="D28:D29"/>
    <mergeCell ref="E28:E29"/>
    <mergeCell ref="F28:F29"/>
    <mergeCell ref="G28:G29"/>
    <mergeCell ref="H28:H29"/>
    <mergeCell ref="I28:I29"/>
    <mergeCell ref="D31:D32"/>
    <mergeCell ref="E31:E32"/>
    <mergeCell ref="F31:F32"/>
    <mergeCell ref="G31:G32"/>
    <mergeCell ref="H31:H32"/>
    <mergeCell ref="I31:I32"/>
    <mergeCell ref="D41:D42"/>
    <mergeCell ref="E41:E42"/>
    <mergeCell ref="F41:F42"/>
    <mergeCell ref="G41:G42"/>
    <mergeCell ref="H41:H42"/>
    <mergeCell ref="I41:I42"/>
    <mergeCell ref="D44:D45"/>
    <mergeCell ref="E44:E45"/>
    <mergeCell ref="F44:F45"/>
    <mergeCell ref="G44:G45"/>
    <mergeCell ref="H44:H45"/>
    <mergeCell ref="I44:I45"/>
    <mergeCell ref="D48:D49"/>
    <mergeCell ref="E48:E49"/>
    <mergeCell ref="F48:F49"/>
    <mergeCell ref="G48:G49"/>
    <mergeCell ref="H48:H49"/>
    <mergeCell ref="I48:I49"/>
    <mergeCell ref="D50:D51"/>
    <mergeCell ref="E50:E51"/>
    <mergeCell ref="F50:F51"/>
    <mergeCell ref="G50:G51"/>
    <mergeCell ref="H50:H51"/>
    <mergeCell ref="I50:I51"/>
    <mergeCell ref="D52:D53"/>
    <mergeCell ref="E52:E53"/>
    <mergeCell ref="F52:F53"/>
    <mergeCell ref="G52:G53"/>
    <mergeCell ref="H52:H53"/>
    <mergeCell ref="I52:I53"/>
    <mergeCell ref="D57:D58"/>
    <mergeCell ref="E57:E58"/>
    <mergeCell ref="F57:F58"/>
    <mergeCell ref="G57:G58"/>
    <mergeCell ref="H57:H58"/>
    <mergeCell ref="I57:I58"/>
    <mergeCell ref="D63:D65"/>
    <mergeCell ref="E63:E65"/>
    <mergeCell ref="F63:F65"/>
    <mergeCell ref="G63:G65"/>
    <mergeCell ref="H63:H65"/>
    <mergeCell ref="I63:I65"/>
    <mergeCell ref="D67:D69"/>
    <mergeCell ref="E67:E69"/>
    <mergeCell ref="F67:F69"/>
    <mergeCell ref="G67:G69"/>
    <mergeCell ref="H67:H69"/>
    <mergeCell ref="I67:I69"/>
    <mergeCell ref="D85:D90"/>
    <mergeCell ref="E85:E90"/>
    <mergeCell ref="F85:F90"/>
    <mergeCell ref="G85:G90"/>
    <mergeCell ref="H85:H90"/>
    <mergeCell ref="I85:I90"/>
    <mergeCell ref="D91:D93"/>
    <mergeCell ref="E91:E93"/>
    <mergeCell ref="F91:F93"/>
    <mergeCell ref="G91:G93"/>
    <mergeCell ref="H91:H93"/>
    <mergeCell ref="I91:I93"/>
    <mergeCell ref="D94:D95"/>
    <mergeCell ref="E94:E95"/>
    <mergeCell ref="F94:F95"/>
    <mergeCell ref="G94:G95"/>
    <mergeCell ref="H94:H95"/>
    <mergeCell ref="I94:I95"/>
    <mergeCell ref="D96:D97"/>
    <mergeCell ref="E96:E97"/>
    <mergeCell ref="F96:F97"/>
    <mergeCell ref="G96:G97"/>
    <mergeCell ref="H96:H97"/>
    <mergeCell ref="I96:I97"/>
  </mergeCells>
  <headerFooter/>
</worksheet>
</file>